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tables/table1.xml" ContentType="application/vnd.openxmlformats-officedocument.spreadsheetml.table+xml"/>
  <Override PartName="/xl/customProperty2.bin" ContentType="application/vnd.openxmlformats-officedocument.spreadsheetml.customProperty"/>
  <Override PartName="/xl/customProperty3.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6827"/>
  <workbookPr/>
  <mc:AlternateContent xmlns:mc="http://schemas.openxmlformats.org/markup-compatibility/2006">
    <mc:Choice Requires="x15">
      <x15ac:absPath xmlns:x15ac="http://schemas.microsoft.com/office/spreadsheetml/2010/11/ac" url="C:\Users\nagudelo\Downloads\"/>
    </mc:Choice>
  </mc:AlternateContent>
  <xr:revisionPtr revIDLastSave="0" documentId="8_{FE356EEC-792B-4A7C-B22C-C553117D22A1}" xr6:coauthVersionLast="47" xr6:coauthVersionMax="47" xr10:uidLastSave="{00000000-0000-0000-0000-000000000000}"/>
  <bookViews>
    <workbookView xWindow="-110" yWindow="-110" windowWidth="19420" windowHeight="10300"/>
  </bookViews>
  <sheets>
    <sheet name="PAA Vr 24 - 2023 " sheetId="1" r:id="rId1"/>
    <sheet name="Resumen inversión 2022-2023" sheetId="5" state="hidden" r:id="rId2"/>
    <sheet name="VR" sheetId="7" state="hidden" r:id="rId3"/>
    <sheet name="ppto 2023 por área y proyecto" sheetId="3" state="hidden" r:id="rId4"/>
    <sheet name="ppto 2023 por CG" sheetId="8" state="hidden" r:id="rId5"/>
    <sheet name="Metas inversión pp" sheetId="6" state="hidden" r:id="rId6"/>
    <sheet name="Metas inversión" sheetId="4" state="hidden" r:id="rId7"/>
  </sheets>
  <externalReferences>
    <externalReference r:id="rId8"/>
    <externalReference r:id="rId9"/>
  </externalReferences>
  <definedNames>
    <definedName name="_xlnm._FilterDatabase" localSheetId="0" hidden="1">#N/A</definedName>
    <definedName name="INSU" localSheetId="6">#N/A</definedName>
    <definedName name="INSU" localSheetId="5">#N/A</definedName>
    <definedName name="INSU" localSheetId="1">#N/A</definedName>
    <definedName name="INSU">#N/A</definedName>
    <definedName name="INSUMOS" localSheetId="6">#N/A</definedName>
    <definedName name="INSUMOS">#N/A</definedName>
    <definedName name="MZ_COMPROMISOS">'[1]TD CRPS'!$A$5:$C$573</definedName>
    <definedName name="MZ_GIROS">'[2]T.D. GIROS Reservas'!$A$1:$D$167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5" i="1" l="1"/>
  <c r="M10" i="1"/>
  <c r="M9" i="1"/>
  <c r="M70" i="1"/>
  <c r="M69" i="1"/>
  <c r="M11" i="1"/>
  <c r="M28" i="1"/>
  <c r="M13" i="1"/>
  <c r="M5" i="1" s="1"/>
  <c r="L3" i="1" s="1"/>
  <c r="M12" i="1"/>
  <c r="M16" i="1"/>
  <c r="M19" i="1"/>
  <c r="M26" i="1"/>
  <c r="M25" i="1"/>
  <c r="M58" i="1"/>
  <c r="M50" i="1"/>
  <c r="M49" i="1"/>
  <c r="M17" i="1"/>
  <c r="M7" i="1"/>
  <c r="M24" i="1"/>
  <c r="M23" i="1"/>
  <c r="M8" i="1"/>
  <c r="M48" i="1"/>
  <c r="M47" i="1"/>
  <c r="M27" i="1"/>
  <c r="M21" i="1"/>
  <c r="M18" i="1"/>
  <c r="M29" i="1"/>
  <c r="M170" i="1"/>
  <c r="M371" i="1"/>
  <c r="M299" i="1"/>
  <c r="M392" i="1"/>
  <c r="M348" i="1"/>
  <c r="M345" i="1"/>
  <c r="M336" i="1"/>
  <c r="M171" i="1"/>
  <c r="M297" i="1"/>
  <c r="M91" i="1"/>
  <c r="M574" i="1"/>
  <c r="M537" i="1"/>
  <c r="M536" i="1"/>
  <c r="M433" i="1"/>
  <c r="M432" i="1"/>
  <c r="M693" i="1"/>
  <c r="M677" i="1"/>
  <c r="M77" i="1"/>
  <c r="M75" i="1"/>
  <c r="M143" i="1"/>
  <c r="M142" i="1"/>
  <c r="M140" i="1"/>
  <c r="M139" i="1"/>
  <c r="M135" i="1"/>
  <c r="M134" i="1"/>
  <c r="M114" i="1"/>
  <c r="M825" i="1"/>
  <c r="M778" i="1"/>
  <c r="M431" i="1"/>
  <c r="M426" i="1"/>
  <c r="M422" i="1"/>
  <c r="M421" i="1"/>
  <c r="M420" i="1"/>
  <c r="M419" i="1"/>
  <c r="M408" i="1"/>
  <c r="M405" i="1"/>
  <c r="M712" i="1"/>
  <c r="M590" i="1"/>
  <c r="M585" i="1"/>
  <c r="M104" i="1"/>
  <c r="M106" i="1"/>
  <c r="M102" i="1"/>
  <c r="M100" i="1"/>
  <c r="M99" i="1"/>
  <c r="M98" i="1"/>
  <c r="M97" i="1"/>
  <c r="M96" i="1"/>
  <c r="M95" i="1"/>
  <c r="M94" i="1"/>
  <c r="M93" i="1"/>
  <c r="M89" i="1"/>
  <c r="M88" i="1"/>
  <c r="M87" i="1"/>
  <c r="M374" i="1"/>
  <c r="M521" i="1"/>
  <c r="M518" i="1"/>
  <c r="M630" i="1"/>
  <c r="M232" i="1"/>
  <c r="M443" i="1"/>
  <c r="M573" i="1"/>
  <c r="M470" i="1"/>
  <c r="M457" i="1"/>
  <c r="M456" i="1"/>
  <c r="M454" i="1"/>
  <c r="M453" i="1"/>
  <c r="M452" i="1"/>
  <c r="M448" i="1"/>
  <c r="M447" i="1"/>
  <c r="M469" i="1"/>
  <c r="M634" i="1"/>
  <c r="M522" i="1"/>
  <c r="M523" i="1"/>
  <c r="M746" i="1"/>
  <c r="M754" i="1"/>
  <c r="M765" i="1"/>
  <c r="M547" i="1"/>
  <c r="M302" i="1"/>
  <c r="M110" i="1"/>
  <c r="M242" i="1"/>
  <c r="M231" i="1"/>
  <c r="M220" i="1"/>
  <c r="M218" i="1"/>
  <c r="M748" i="1"/>
  <c r="M747" i="1"/>
  <c r="M173" i="1"/>
  <c r="M680" i="1"/>
  <c r="M107" i="1"/>
  <c r="M130" i="1"/>
  <c r="M131" i="1"/>
  <c r="M758" i="1"/>
  <c r="M288" i="1"/>
  <c r="M663" i="1"/>
  <c r="M283" i="1"/>
  <c r="M667" i="1"/>
  <c r="M656" i="1"/>
  <c r="M655" i="1"/>
  <c r="M738" i="1"/>
  <c r="M668" i="1"/>
  <c r="M661" i="1"/>
  <c r="M658" i="1"/>
  <c r="M657" i="1"/>
  <c r="M647" i="1"/>
  <c r="M269" i="1"/>
  <c r="M441" i="1"/>
  <c r="M740" i="1"/>
  <c r="M169" i="1"/>
  <c r="M250" i="1"/>
  <c r="M259" i="1"/>
  <c r="M749" i="1"/>
  <c r="F3" i="4"/>
  <c r="I3" i="4" s="1"/>
  <c r="I12" i="4" s="1"/>
  <c r="G4" i="4"/>
  <c r="I4" i="4"/>
  <c r="G5" i="4"/>
  <c r="I5" i="4"/>
  <c r="F6" i="4"/>
  <c r="G6" i="4" s="1"/>
  <c r="G7" i="4"/>
  <c r="I7" i="4"/>
  <c r="F8" i="4"/>
  <c r="G9" i="4"/>
  <c r="I9" i="4"/>
  <c r="G10" i="4"/>
  <c r="I10" i="4"/>
  <c r="G11" i="4"/>
  <c r="I11" i="4"/>
  <c r="D12" i="4"/>
  <c r="D28" i="4" s="1"/>
  <c r="E12" i="4"/>
  <c r="H12" i="4"/>
  <c r="G16" i="4"/>
  <c r="G19" i="4" s="1"/>
  <c r="G17" i="4"/>
  <c r="G18" i="4"/>
  <c r="D19" i="4"/>
  <c r="E19" i="4"/>
  <c r="F19" i="4"/>
  <c r="D25" i="4"/>
  <c r="E25" i="4"/>
  <c r="F25" i="4"/>
  <c r="G25" i="4"/>
  <c r="F3" i="6"/>
  <c r="H3" i="6" s="1"/>
  <c r="H4" i="6"/>
  <c r="H5" i="6"/>
  <c r="F6" i="6"/>
  <c r="F12" i="6" s="1"/>
  <c r="H7" i="6"/>
  <c r="F8" i="6"/>
  <c r="H9" i="6"/>
  <c r="H10" i="6"/>
  <c r="H11" i="6"/>
  <c r="D12" i="6"/>
  <c r="D28" i="6" s="1"/>
  <c r="E12" i="6"/>
  <c r="G12" i="6"/>
  <c r="G16" i="6"/>
  <c r="G19" i="6" s="1"/>
  <c r="G17" i="6"/>
  <c r="G18" i="6"/>
  <c r="D19" i="6"/>
  <c r="E19" i="6"/>
  <c r="F19" i="6"/>
  <c r="D25" i="6"/>
  <c r="E25" i="6"/>
  <c r="F25" i="6"/>
  <c r="G25" i="6"/>
  <c r="C20" i="8"/>
  <c r="D20" i="8"/>
  <c r="E20" i="8"/>
  <c r="F20" i="8"/>
  <c r="G20" i="8"/>
  <c r="C56" i="8"/>
  <c r="D56" i="8"/>
  <c r="E56" i="8"/>
  <c r="F56" i="8"/>
  <c r="G56" i="8"/>
  <c r="C73" i="8"/>
  <c r="D73" i="8"/>
  <c r="E73" i="8"/>
  <c r="F73" i="8"/>
  <c r="G73" i="8"/>
  <c r="C17" i="3"/>
  <c r="D17" i="3"/>
  <c r="D53" i="3"/>
  <c r="E17" i="3"/>
  <c r="F17" i="3"/>
  <c r="G17" i="3"/>
  <c r="C34" i="3"/>
  <c r="C53" i="3"/>
  <c r="D34" i="3"/>
  <c r="E34" i="3"/>
  <c r="F34" i="3"/>
  <c r="F53" i="3"/>
  <c r="G34" i="3"/>
  <c r="C51" i="3"/>
  <c r="D51" i="3"/>
  <c r="E51" i="3"/>
  <c r="F51" i="3"/>
  <c r="G51" i="3"/>
  <c r="G53" i="3"/>
  <c r="E53" i="3"/>
  <c r="J5" i="5"/>
  <c r="K5" i="5" s="1"/>
  <c r="J6" i="5"/>
  <c r="K6" i="5"/>
  <c r="J7" i="5"/>
  <c r="K7" i="5" s="1"/>
  <c r="H8" i="5"/>
  <c r="I8" i="5"/>
  <c r="J8" i="5" s="1"/>
  <c r="K8" i="5" s="1"/>
  <c r="M76" i="1"/>
  <c r="M78" i="1"/>
  <c r="M79" i="1"/>
  <c r="M80" i="1"/>
  <c r="M81" i="1"/>
  <c r="M82" i="1"/>
  <c r="M83" i="1"/>
  <c r="M84" i="1"/>
  <c r="M85" i="1"/>
  <c r="M86" i="1"/>
  <c r="M105" i="1"/>
  <c r="M108" i="1"/>
  <c r="M111" i="1"/>
  <c r="M115" i="1"/>
  <c r="M116" i="1"/>
  <c r="M117" i="1"/>
  <c r="M118" i="1"/>
  <c r="M119" i="1"/>
  <c r="M122" i="1"/>
  <c r="M124" i="1"/>
  <c r="M125" i="1"/>
  <c r="M126" i="1"/>
  <c r="M127" i="1"/>
  <c r="M128" i="1"/>
  <c r="M129" i="1"/>
  <c r="M132" i="1"/>
  <c r="M133" i="1"/>
  <c r="M137" i="1"/>
  <c r="M138" i="1"/>
  <c r="M144" i="1"/>
  <c r="M145" i="1"/>
  <c r="M146" i="1"/>
  <c r="M147" i="1"/>
  <c r="M149" i="1"/>
  <c r="M150" i="1"/>
  <c r="M151" i="1"/>
  <c r="M152" i="1"/>
  <c r="M153" i="1"/>
  <c r="M154" i="1"/>
  <c r="M155" i="1"/>
  <c r="M156" i="1"/>
  <c r="M157" i="1"/>
  <c r="M158" i="1"/>
  <c r="M159" i="1"/>
  <c r="M160" i="1"/>
  <c r="M161" i="1"/>
  <c r="M162" i="1"/>
  <c r="M163" i="1"/>
  <c r="M164" i="1"/>
  <c r="M166" i="1"/>
  <c r="M167" i="1"/>
  <c r="M168" i="1"/>
  <c r="M172" i="1"/>
  <c r="M174" i="1"/>
  <c r="M175" i="1"/>
  <c r="M176" i="1"/>
  <c r="M177" i="1"/>
  <c r="M178" i="1"/>
  <c r="M179" i="1"/>
  <c r="M180" i="1"/>
  <c r="M181" i="1"/>
  <c r="M182" i="1"/>
  <c r="M183" i="1"/>
  <c r="M186" i="1"/>
  <c r="M188" i="1"/>
  <c r="M191" i="1"/>
  <c r="M192" i="1"/>
  <c r="M193" i="1"/>
  <c r="M194" i="1"/>
  <c r="M195" i="1"/>
  <c r="M196" i="1"/>
  <c r="M197" i="1"/>
  <c r="M198" i="1"/>
  <c r="M200" i="1"/>
  <c r="M201" i="1"/>
  <c r="M202" i="1"/>
  <c r="M203" i="1"/>
  <c r="M204" i="1"/>
  <c r="M205" i="1"/>
  <c r="M206" i="1"/>
  <c r="M207" i="1"/>
  <c r="M208" i="1"/>
  <c r="M212" i="1"/>
  <c r="M213" i="1"/>
  <c r="M214" i="1"/>
  <c r="M215" i="1"/>
  <c r="M216" i="1"/>
  <c r="M217" i="1"/>
  <c r="M219" i="1"/>
  <c r="M221" i="1"/>
  <c r="M222" i="1"/>
  <c r="M223" i="1"/>
  <c r="M225" i="1"/>
  <c r="M226" i="1"/>
  <c r="M230" i="1"/>
  <c r="M233" i="1"/>
  <c r="M235" i="1"/>
  <c r="M239" i="1"/>
  <c r="M241" i="1"/>
  <c r="M245" i="1"/>
  <c r="M246" i="1"/>
  <c r="M251" i="1"/>
  <c r="M252" i="1"/>
  <c r="M254" i="1"/>
  <c r="M255" i="1"/>
  <c r="M256" i="1"/>
  <c r="M257" i="1"/>
  <c r="M258" i="1"/>
  <c r="M260" i="1"/>
  <c r="M261" i="1"/>
  <c r="M262" i="1"/>
  <c r="M264" i="1"/>
  <c r="M265" i="1"/>
  <c r="M266" i="1"/>
  <c r="M267" i="1"/>
  <c r="M268" i="1"/>
  <c r="M270" i="1"/>
  <c r="M271" i="1"/>
  <c r="M272" i="1"/>
  <c r="M273" i="1"/>
  <c r="M274" i="1"/>
  <c r="M275" i="1"/>
  <c r="M276" i="1"/>
  <c r="M277" i="1"/>
  <c r="M278" i="1"/>
  <c r="M279" i="1"/>
  <c r="M280" i="1"/>
  <c r="M281" i="1"/>
  <c r="M282" i="1"/>
  <c r="M284" i="1"/>
  <c r="M285" i="1"/>
  <c r="M286" i="1"/>
  <c r="M287" i="1"/>
  <c r="M289" i="1"/>
  <c r="M290" i="1"/>
  <c r="M291" i="1"/>
  <c r="M292" i="1"/>
  <c r="M293" i="1"/>
  <c r="M294" i="1"/>
  <c r="M295" i="1"/>
  <c r="M296" i="1"/>
  <c r="M298" i="1"/>
  <c r="M300" i="1"/>
  <c r="M301" i="1"/>
  <c r="M303" i="1"/>
  <c r="M304" i="1"/>
  <c r="M306" i="1"/>
  <c r="M307" i="1"/>
  <c r="M308" i="1"/>
  <c r="M310" i="1"/>
  <c r="M311" i="1"/>
  <c r="M313" i="1"/>
  <c r="M314" i="1"/>
  <c r="M315" i="1"/>
  <c r="M316" i="1"/>
  <c r="M317" i="1"/>
  <c r="M318" i="1"/>
  <c r="M319" i="1"/>
  <c r="M320" i="1"/>
  <c r="M321" i="1"/>
  <c r="M326" i="1"/>
  <c r="M327" i="1"/>
  <c r="M332" i="1"/>
  <c r="M333" i="1"/>
  <c r="M334" i="1"/>
  <c r="M335" i="1"/>
  <c r="M337" i="1"/>
  <c r="M338" i="1"/>
  <c r="M339" i="1"/>
  <c r="M340" i="1"/>
  <c r="M344" i="1"/>
  <c r="M342" i="1"/>
  <c r="M343" i="1"/>
  <c r="M341" i="1"/>
  <c r="M346" i="1"/>
  <c r="M347" i="1"/>
  <c r="M351" i="1"/>
  <c r="M352" i="1"/>
  <c r="M354" i="1"/>
  <c r="M355" i="1"/>
  <c r="M356" i="1"/>
  <c r="M357" i="1"/>
  <c r="M358" i="1"/>
  <c r="M359" i="1"/>
  <c r="M360" i="1"/>
  <c r="M361" i="1"/>
  <c r="M362" i="1"/>
  <c r="M363" i="1"/>
  <c r="M364" i="1"/>
  <c r="M365" i="1"/>
  <c r="M366" i="1"/>
  <c r="M367" i="1"/>
  <c r="M368" i="1"/>
  <c r="M369" i="1"/>
  <c r="M370" i="1"/>
  <c r="M372" i="1"/>
  <c r="M373" i="1"/>
  <c r="M375" i="1"/>
  <c r="M376" i="1"/>
  <c r="M377" i="1"/>
  <c r="M380" i="1"/>
  <c r="M381" i="1"/>
  <c r="M382" i="1"/>
  <c r="M383" i="1"/>
  <c r="M384" i="1"/>
  <c r="M385" i="1"/>
  <c r="M386" i="1"/>
  <c r="M387" i="1"/>
  <c r="M388" i="1"/>
  <c r="M389" i="1"/>
  <c r="M390" i="1"/>
  <c r="M391" i="1"/>
  <c r="M393" i="1"/>
  <c r="M394" i="1"/>
  <c r="M395" i="1"/>
  <c r="M396" i="1"/>
  <c r="M397" i="1"/>
  <c r="M399" i="1"/>
  <c r="M400" i="1"/>
  <c r="M401" i="1"/>
  <c r="M402" i="1"/>
  <c r="M403" i="1"/>
  <c r="M404" i="1"/>
  <c r="M407" i="1"/>
  <c r="M409" i="1"/>
  <c r="M411" i="1"/>
  <c r="M412" i="1"/>
  <c r="M415" i="1"/>
  <c r="M416" i="1"/>
  <c r="M417" i="1"/>
  <c r="M418" i="1"/>
  <c r="M423" i="1"/>
  <c r="M424" i="1"/>
  <c r="M425" i="1"/>
  <c r="M427" i="1"/>
  <c r="M428" i="1"/>
  <c r="M429" i="1"/>
  <c r="M430" i="1"/>
  <c r="M434" i="1"/>
  <c r="M435" i="1"/>
  <c r="M438" i="1"/>
  <c r="M439" i="1"/>
  <c r="M445" i="1"/>
  <c r="M446" i="1"/>
  <c r="M450" i="1"/>
  <c r="M467" i="1"/>
  <c r="M472" i="1"/>
  <c r="M473" i="1"/>
  <c r="M474" i="1"/>
  <c r="M475" i="1"/>
  <c r="M476" i="1"/>
  <c r="M479" i="1"/>
  <c r="M480" i="1"/>
  <c r="M481" i="1"/>
  <c r="M482" i="1"/>
  <c r="M483" i="1"/>
  <c r="M488" i="1"/>
  <c r="M490" i="1"/>
  <c r="M493" i="1"/>
  <c r="M497" i="1"/>
  <c r="M500" i="1"/>
  <c r="M507" i="1"/>
  <c r="M508" i="1"/>
  <c r="M509" i="1"/>
  <c r="M513" i="1"/>
  <c r="M514" i="1"/>
  <c r="M515" i="1"/>
  <c r="M517" i="1"/>
  <c r="M524" i="1"/>
  <c r="M525" i="1"/>
  <c r="M529" i="1"/>
  <c r="M531" i="1"/>
  <c r="M532" i="1"/>
  <c r="M534" i="1"/>
  <c r="M535" i="1"/>
  <c r="M538" i="1"/>
  <c r="M540" i="1"/>
  <c r="M541" i="1"/>
  <c r="M545" i="1"/>
  <c r="M546" i="1"/>
  <c r="M548" i="1"/>
  <c r="M549" i="1"/>
  <c r="M550" i="1"/>
  <c r="M551" i="1"/>
  <c r="M552" i="1"/>
  <c r="M553" i="1"/>
  <c r="M556" i="1"/>
  <c r="M557" i="1"/>
  <c r="M560" i="1"/>
  <c r="M561" i="1"/>
  <c r="M562" i="1"/>
  <c r="M563" i="1"/>
  <c r="M564" i="1"/>
  <c r="M565" i="1"/>
  <c r="M566" i="1"/>
  <c r="M567" i="1"/>
  <c r="M568" i="1"/>
  <c r="M569" i="1"/>
  <c r="M571" i="1"/>
  <c r="M572" i="1"/>
  <c r="M575" i="1"/>
  <c r="M576" i="1"/>
  <c r="M577" i="1"/>
  <c r="M578" i="1"/>
  <c r="M579" i="1"/>
  <c r="M581" i="1"/>
  <c r="M582" i="1"/>
  <c r="M583" i="1"/>
  <c r="M584" i="1"/>
  <c r="M586" i="1"/>
  <c r="M587" i="1"/>
  <c r="M588" i="1"/>
  <c r="M589" i="1"/>
  <c r="M591" i="1"/>
  <c r="M592" i="1"/>
  <c r="M597" i="1"/>
  <c r="M598" i="1"/>
  <c r="M599" i="1"/>
  <c r="M600" i="1"/>
  <c r="M601" i="1"/>
  <c r="M20" i="1"/>
  <c r="M604" i="1"/>
  <c r="M605" i="1"/>
  <c r="M606" i="1"/>
  <c r="M607" i="1"/>
  <c r="M608" i="1"/>
  <c r="M612" i="1"/>
  <c r="M616" i="1"/>
  <c r="M620" i="1"/>
  <c r="M621" i="1"/>
  <c r="M622" i="1"/>
  <c r="M637" i="1"/>
  <c r="M638" i="1"/>
  <c r="M639" i="1"/>
  <c r="M640" i="1"/>
  <c r="M641" i="1"/>
  <c r="M642" i="1"/>
  <c r="M643" i="1"/>
  <c r="M644" i="1"/>
  <c r="M645" i="1"/>
  <c r="M646" i="1"/>
  <c r="M648" i="1"/>
  <c r="M649" i="1"/>
  <c r="M650" i="1"/>
  <c r="M651" i="1"/>
  <c r="M653" i="1"/>
  <c r="M659" i="1"/>
  <c r="M660" i="1"/>
  <c r="M662" i="1"/>
  <c r="M664" i="1"/>
  <c r="M665" i="1"/>
  <c r="M666" i="1"/>
  <c r="M669" i="1"/>
  <c r="M670" i="1"/>
  <c r="M675" i="1"/>
  <c r="M676" i="1"/>
  <c r="M679" i="1"/>
  <c r="M686" i="1"/>
  <c r="M689" i="1"/>
  <c r="M692" i="1"/>
  <c r="M22" i="1"/>
  <c r="M695" i="1"/>
  <c r="M696" i="1"/>
  <c r="M703" i="1"/>
  <c r="M726" i="1"/>
  <c r="M729" i="1"/>
  <c r="M730" i="1"/>
  <c r="M733" i="1"/>
  <c r="M736" i="1"/>
  <c r="M737" i="1"/>
  <c r="M739" i="1"/>
  <c r="M741" i="1"/>
  <c r="I8" i="4"/>
  <c r="G8" i="4"/>
  <c r="I6" i="4"/>
  <c r="H8" i="6"/>
  <c r="F12" i="4" l="1"/>
  <c r="G3" i="4"/>
  <c r="G12" i="4" s="1"/>
  <c r="H6" i="6"/>
  <c r="H12" i="6" s="1"/>
</calcChain>
</file>

<file path=xl/sharedStrings.xml><?xml version="1.0" encoding="utf-8"?>
<sst xmlns="http://schemas.openxmlformats.org/spreadsheetml/2006/main" count="8228" uniqueCount="859">
  <si>
    <t>UNIDAD ADMINISTRATIVA ESPECIAL CUERPO OFICIAL DE BOMBEROS</t>
  </si>
  <si>
    <t>ID</t>
  </si>
  <si>
    <t>Rubro</t>
  </si>
  <si>
    <t>Código y Nombre del Rubro</t>
  </si>
  <si>
    <t>Dependencia</t>
  </si>
  <si>
    <t>Código UNSPSC (cada código separado por ;)</t>
  </si>
  <si>
    <t>Descripción- Objeto</t>
  </si>
  <si>
    <t>Fecha estimada de inicio de proceso de selección (día/mes/año)</t>
  </si>
  <si>
    <t>Fecha estimada de presentación de ofertas (día/mes/año)</t>
  </si>
  <si>
    <t>Duración estimada del contrato  (Meses)</t>
  </si>
  <si>
    <t xml:space="preserve">Modalidad de selección </t>
  </si>
  <si>
    <t>Fuente de los recursos</t>
  </si>
  <si>
    <t>Concepto del Gasto -POSPRE(SDH)</t>
  </si>
  <si>
    <t>Valor total estimado</t>
  </si>
  <si>
    <t>Meta Proyecto de Inversión</t>
  </si>
  <si>
    <t xml:space="preserve">Meta Producto/Meta producto </t>
  </si>
  <si>
    <t xml:space="preserve">SI SECOP/NO SECOP </t>
  </si>
  <si>
    <t>Funcionamiento</t>
  </si>
  <si>
    <t>Oficina Asesora de Planeación</t>
  </si>
  <si>
    <t>81112222;</t>
  </si>
  <si>
    <t xml:space="preserve">CCE-16 Contratación directa </t>
  </si>
  <si>
    <t>1-100-F001 VA-Recursos distrito</t>
  </si>
  <si>
    <t>O21202020080383141 Servicios de diseño y desarrollo de aplicaciones e</t>
  </si>
  <si>
    <t>N/A funcionamiento</t>
  </si>
  <si>
    <t>SI SECOP</t>
  </si>
  <si>
    <t>O23011605560000007655 - Fortalecimiento de la Planeación y Gestión de la UAECOB Bogotá</t>
  </si>
  <si>
    <t>Prestación de servicios de apoyo a la gestión con autonomía técnica y administrativa, en la Oficina Asesora de Planeación de la UAECOB, para el diseño de campañas publicitarias que apoyen el uso y apropiación en los programas desarrollados para la implementación del MIPG.</t>
  </si>
  <si>
    <t>O232020200883990_Otros servicios profesionales, técnicos y empresariales n.c.p.</t>
  </si>
  <si>
    <t>1-Implementar 1 plan de ajuste y sostenibilidad del MIPG en la UAECOB</t>
  </si>
  <si>
    <t>516-Gestionar el 100% de un (1) plan de adecuación y sostenibilidad de los sistemas de gestión de la Unidad Administrativa Especial Cuerpo Oficial de Bomberos</t>
  </si>
  <si>
    <t>Prestar servicios de apoyo a la gestión para actualizar y depurar el inventario de los elementos adquiridos por la Oficina Asesora de Planeación UAECOB-OAP</t>
  </si>
  <si>
    <t>Prestación de servicios de apoyo asistencial para el desarrollo de actividades y procesos administrativos de la UAE Cuerpo Oficial de Bomberos</t>
  </si>
  <si>
    <t>O212020200883990_Otros servicios profesionales, técnicos y empresariales n.c.p.</t>
  </si>
  <si>
    <t>Prestar los servicios profesionales jurídicos para apoyar las actividades propias de la gestión contractual que adelanta la UAE Cuerpo Oficial de Bomberos</t>
  </si>
  <si>
    <t>O21202020080282199_Otros servicios jurídicos n.c.p.</t>
  </si>
  <si>
    <t>Prestar los servicios profesionales para apoyar las actividades administrativas y presupuestales que se desarrollan en la oficina asesora de planeación, en el marco del ciclo de gestión presupuestal-OAP</t>
  </si>
  <si>
    <t>Prestar servicios profesionales para apoyar en el desarrollo en la formulación de planes y programas de la OAP, incluidas las actividades de cooperación Internacional.</t>
  </si>
  <si>
    <t>Prestar servicios profesionales para apoyar a la Oficina Asesora de Planeación en la estructuración, seguimiento, reporte y gestión de los proyectos, planes y programas de la entidad, en el marco del ciclo presupuestal distrital-OAP</t>
  </si>
  <si>
    <t>Prestar servicios profesionales para apoyar la articulación de las dependencias con la planeación institucional y la gestión estratégica definida por la alta dirección-OAP</t>
  </si>
  <si>
    <t>Prestar servicios profesionales en la Oficina Asesora de Planeación de la UAE Cuerpo Oficial de Bomberos de Bogotá en el control y seguimiento del cumplimiento al Modelo Integrado de Planeación y Gestión - MIPG-OAP</t>
  </si>
  <si>
    <t>Prestar servicios profesionales a la Oficina Asesora de Planeación en el mejoramiento y fortalecimiento de la sostenibilidad del Sistema de Gestión y Desempeño, alineado con la estandarización de la información documentada y el seguimiento al Sistema de Control Interno de la UAECOB, en desarrollo del MIPG- OAP</t>
  </si>
  <si>
    <t>Prestar de apoyo a la gestión en la Oficina Asesora de Planeación de la UAECOB, en el diseño de campañas publicitarias que apoyen el uso y apropiación en los programas desarrollados para la implementación del MIPG</t>
  </si>
  <si>
    <t>Prestar servicios profesionales para gestionar las actividades de cooperación técnica interinstitucional con las Entidades del sector a nivel nacional e internacional-OAP</t>
  </si>
  <si>
    <t>Prestar servicios profesionales para apoyar la gestión de las actividades de cooperación técnica interinstitucional con las Entidades del sector a nivel nacional e internacional-OAP</t>
  </si>
  <si>
    <t>Prestar servicios profesionales para apoyar a la Oficina Asesora de Planeación en el seguimiento, control presupuestal y estratégico de los proyectos de inversión de la Entidad-OAP</t>
  </si>
  <si>
    <t>Subdirección Operativa</t>
  </si>
  <si>
    <t>2-Elaborar 1 plan de preparativos y continuidad del servicio para la UAECOB ante la eventual ocurrencia de un desastre en el Distrito Capital</t>
  </si>
  <si>
    <t>Oficina Jurídica</t>
  </si>
  <si>
    <t xml:space="preserve">Prestar servicios profesionales  para apoyar en la estructuración de las acciones de mejora, seguimiento  a la gestión contractual de la Entidad y demás procedimientos, en el marco de las funciones  de la Oficina Jurídica </t>
  </si>
  <si>
    <t>Prestar los servicios profesionales  jurídicos para apoyar las actividades propias de la gestión contractual que adelanta la Oficina Jurídica</t>
  </si>
  <si>
    <t>O232020200882199_Otros servicios jurídicos n.c.p.</t>
  </si>
  <si>
    <t xml:space="preserve">Prestar los servicios profesionales  jurídicos para apoyar las actividades propias de la gestión contractual que adelanta la Oficina Jurídica </t>
  </si>
  <si>
    <t>Prestar los servicios profesionales para realizar el acompañamiento administrativo y financiero en temas de liquidación y cierre de expedientes, como demás actuaciones administrativas requeridas de los procesos contractuales</t>
  </si>
  <si>
    <t>Prestar los servicios profesionales especializados para la representación judicial  de la Entidad y la prevención del daño antijurídico.</t>
  </si>
  <si>
    <t>Prestar los servicios de apoyo para las gestiones administrativas requeridas en la Oficina Jurídica.</t>
  </si>
  <si>
    <t>Prestar los servicios de apoyo para las gestiones documentales y administrativas requerida por la Oficina Jurídica.</t>
  </si>
  <si>
    <t>Prestar servicios profesionales  para apoyar en las acciones de control y manejo de la información y la presentación de los informes reglamentarios a los entes de control por parte de la Oficina Jurídica</t>
  </si>
  <si>
    <t>Prestar los servicios de apoyo para los tramites, gestiones y actividades propias que se requieran en los diferentes procesos disciplinarios propios de la etapa de juzgamiento de la Oficina Jurídica en la UAECOB</t>
  </si>
  <si>
    <t>Prestar los servicios profesionales jurídicos para apoyar las actuaciones procesales y procedimentales de la Oficina Jurídica</t>
  </si>
  <si>
    <t>Prestar servicios profesionales para apoyar las diferentes actuaciones jurídicas que adelanta la UACOB</t>
  </si>
  <si>
    <t>Prestar los servicios profesionales para apoyar la depuración de la cartera de cobro coactivo, así como actividades propias de la defensa judicial de la Entidad y demas actiuaciones relacionadas que requiera la Oficina Jurídica</t>
  </si>
  <si>
    <t>Prestar los servicios profesionales jurídicos especializados en el desarrollo de las funciones de la Oficina Jurídica</t>
  </si>
  <si>
    <t xml:space="preserve">81112213; 
81112501; </t>
  </si>
  <si>
    <t>Contratar el servicio de mantenimiento, soporte técnico y actualización a distancia del aplicativo PCT, utilizado por la UAE Cuerpo Oficial de Bomberos de Bogota - TIC</t>
  </si>
  <si>
    <t>81112501; 
43232102; 
43232103; 
43231512;</t>
  </si>
  <si>
    <t>"Contratar  la suscripción de licencias Suite Adobe para la UAE Cuerpo Oficial de Bomberos de Bogotá-TIC"</t>
  </si>
  <si>
    <t>CCE-99 Seléccion abreviada - acuerdo marco</t>
  </si>
  <si>
    <t>81111811;</t>
  </si>
  <si>
    <t>Contratar soporte técnico en sitio y mantenimiento correctivo con suministro de repuestos para la infraestructura tecnológica de la UAE Cuerpo Oficial de Bomberos de Bogotá y  SUPERCADES de Bogotá-TIC</t>
  </si>
  <si>
    <t>O21202020080787130 Servicios de mantenimiento y reparación de computa</t>
  </si>
  <si>
    <t>81112100;</t>
  </si>
  <si>
    <t>Contratar los servicios de canales de datos dedicados para la UAE Cuerpo Oficial de Bomberos de Bogotá-TIC</t>
  </si>
  <si>
    <t>O21202020080484290 Otros servicios de telecomunicaciones vía Internet</t>
  </si>
  <si>
    <t>O23011605560000007637 - Fortalecimiento de la infraestructura de tecnología informática y de comunicaciones de la UAECOB</t>
  </si>
  <si>
    <t>Prestar servicios profesionales en la planificación, administración y gestión de los proyectos de TIC  de la    UAE Cuerpo Oficial de Bomberos Bogotá, que fortalezcan la  ejecución y   cumplimiento a los procesos de tecnología. -TIC</t>
  </si>
  <si>
    <t>2-Implementar 100 % de la arquitectura TI conforme a las necesidades de la UAECOB</t>
  </si>
  <si>
    <t>517-Implementar al 100% una estrategia de fortalecimiento de los sistemas de información para optimizar la gestión del Cuerpo Oficial de Bomberos</t>
  </si>
  <si>
    <t>Prestar los servicios profesionales para apoyar  a la Oficina Asesora de Planeación en la gestión contractual  relacionados con los proyectos y funciones de la Oficina Asesora de Planeación -TIC</t>
  </si>
  <si>
    <t>Prestar servicios de apoyo a la gestión en la oficina asesora de planeación para la creación de productos audiovisuales y generación de contenidos digitales en la entidad</t>
  </si>
  <si>
    <t>Prestar servicios de apoyo a la gestión en el soporte y asistencia al usuario final  frente al portafolio de productos y servicios tecnológicos dispuestos por la UAE Cuerpo Oficial de Bomberos de Bogotá - TIC.</t>
  </si>
  <si>
    <t>Prestar servicios profesionales en la administración, actualización, desarrollo y mantenimiento del Sistema Integrado de Administración de Personal - SIAP. -TIC-</t>
  </si>
  <si>
    <t>Prestar servicios profesionales para administrar, gestionar y mantener las bases de datos de la UAE Cuerpo Oficial de Bomberos Bogotá. -TIC</t>
  </si>
  <si>
    <t>Prestar Servicios Profesionales para administrar y gestionar los sistemas de información y aplicativos con los que cuenta la UAE Cuerpo Oficial de Bomberos Bogotá. -TIC</t>
  </si>
  <si>
    <t>Prestar servicios profesionales en la Oficina Asesora de Planeación, para  el direccionamiento y gestión de las    actividades   de tecnología de Información y Comunicaciones  de  la  UAE Cuerpo Oficial de Bomberos Bogotá  alíneado al cumplimiento   del   plan   estratégico institucional.-TIC</t>
  </si>
  <si>
    <t>Prestar servicios profesionales  como administrador y gestor de la infraestructura de las comunicaciones y red regulada  de la UAE Cuerpo Oficial de Bomberos Bogotá-TIC</t>
  </si>
  <si>
    <t>Prestar  servicios  profesionales  para administrar y gestionar la  seguridad  y privacidad de la información dentro de la infraestructura tecnológica y de comunicaciones  utilizada por UAE Cuerpo Oficial de Bomberos de Bogotá - TIC</t>
  </si>
  <si>
    <t>1-Implementar 100 %  del modelo de seguridad y privacidad de la información en la UAECOB alineado a la Política de Gobierno Digital.</t>
  </si>
  <si>
    <t>Prestar servicios profesionales para la administración y gestión de la infraestructura tecnológica de servidores y componentes relacionados con los que cuenta la UAE Cuerpo Oficial de Bomberos de Bogotá - TIC</t>
  </si>
  <si>
    <t>Prestar Servicios profesionales para administrar y  gestionar los servicios de TI  a través de las herramientas de gestíón e infraestructura utilizados por UAE Cuerpo Oficial de Bomberos Bogotá de acuerdo con los niveles de servicios de los diferentes procesos.  -TIC.</t>
  </si>
  <si>
    <t>Prestar los servicios profesionales para el desarrollo de los procesos contractuales y  elaboración de documentos de  carácter jurídico y administrativos que requiera la Oficina Asesora de Planeación-TIC.</t>
  </si>
  <si>
    <t>Prestar los servicios profesionales administrativos y financieros en la gestión contractual relacionados con los proyectos y funciones de la Oficina Asesora de Planeación-TIC</t>
  </si>
  <si>
    <t>Prestar servicios profesionales para apoyar la implementación y control de las políticas de Seguridad de la Información y Gobierno Digital, así como el seguimiento a los planes institucionales asociados a TIC y construcción de procedimientos.</t>
  </si>
  <si>
    <t xml:space="preserve">
Prestar servicios asistenciales y de apoyo a la gestión para el desarrollo de actividades administrativas y procesos de gestión documental de la oficina asesora de planeación-TIC</t>
  </si>
  <si>
    <t xml:space="preserve">Prestar Servicios Profesionales como gestor de la Política del Sistema de Gestión de Seguridad de la Información - SGSI, Gobierno Digital, Transformación Digital y Datos abiertos que contribuyan a la estandarización y lineamientos en la UAE Cuerpo Oficial de Bomberos Bogotá. -TIC </t>
  </si>
  <si>
    <t>3-Habilitar 3 servicios ciudadanos digitales básicos en la UAECOB</t>
  </si>
  <si>
    <t>43231512; 81112501</t>
  </si>
  <si>
    <t>Contratar la adquisición, renovación y  suscripciones de licencia Microsoft para la U.A.E. Cuerpo Oficial de Bomberos de Bogotá - TIC</t>
  </si>
  <si>
    <t>O232020200883159_Otros servicios de alojamiento y suministro de infraestructura en tecnología de la información (TI)</t>
  </si>
  <si>
    <t>Contratar el alquiler de equipos tecnológicos, periféricos y servicios complementarios para la U.A.E. Cuerpo Oficial de Bomberos de Bogotá. - TIC</t>
  </si>
  <si>
    <t>72151500;72101500;73152100</t>
  </si>
  <si>
    <t>Contratar el servicio de Mantenimiento preventivo y correctivo de UPS y aires acondicionados con suministro de repuestos para todas las sedes de la U.A.E. Cuerpo Oficial de Bomberos de Bogotá.- TIC</t>
  </si>
  <si>
    <t>CCE-07 Selección abreviada subasta inversa</t>
  </si>
  <si>
    <t>O232020200883132_Servicios de soporte en tecnologías de la información (TI)</t>
  </si>
  <si>
    <t>Contratar el servicio de actualización y soporte de licenciamiento ArcGis para la U.A.E. Cuerpo Oficial de Bomberos de Bogotá.- TIC</t>
  </si>
  <si>
    <t>81112204;81112501</t>
  </si>
  <si>
    <t>Contratar la renovación , servicio de actualización y soporte de licenciamiento Oracle para Base de Datos,  y Web Logic para la U.A.E. Cuerpo Oficial de Bomberos de Bogotá - TIC</t>
  </si>
  <si>
    <t>81112200;
81112201</t>
  </si>
  <si>
    <t>Contratar el servicio de soporte del sistema misional FUOCO para la U.A.E. Cuerpo Oficial de Bomberos de Bogotá de acuerdo a lo contemplado en el anexo técnico.-TIC-</t>
  </si>
  <si>
    <t xml:space="preserve">CCE-05 Contratación directa (con ofertas) </t>
  </si>
  <si>
    <t>43233000; 81112200</t>
  </si>
  <si>
    <t>Contratar el servicio de soporte y mantenimiento del sistema de gestión documental  para la U.A.E. Cuerpo Oficial de Bomberos de Bogotá- TIC</t>
  </si>
  <si>
    <t>O232020200668014_Servicios de gestión documental</t>
  </si>
  <si>
    <t>43233200;43222500</t>
  </si>
  <si>
    <t>Contratar la renovación del licenciamiento y soporte de las plataformas de seguridad perimetral Fortinet, firewalls y WAF del edificio comando y estaciones para la U.A.E. Cuerpo Oficial de Bomberos de Bogotá - TIC</t>
  </si>
  <si>
    <t>81112001;
81112002; 
32101656; 
25173107;</t>
  </si>
  <si>
    <t>Contratar la prestación del servicio de monitoreo, control y seguimiento satelital a los vehículos de propiedad de la U.A.E. Cuerpo Oficial de Bomberos de Bogotá - TIC</t>
  </si>
  <si>
    <t>81111508;81111809;81161501;43231500;43231513</t>
  </si>
  <si>
    <t>Adicionar y prorrogar el contrato No. 447 de 2022 cuyo objeto es "Contratar el servicio para el control de acceso de visitantes del edificio comando de la UAECOB"</t>
  </si>
  <si>
    <t>CCE-10 Mínima cuantía</t>
  </si>
  <si>
    <t>32131023
39121011
43232300</t>
  </si>
  <si>
    <t>Contratar el servicio de mantenimiento para el sistema de atención de turnos de la U.A.E. Cuerpo Oficial de Bomberos de Bogotá - TIC</t>
  </si>
  <si>
    <t xml:space="preserve">72151607;72103302 </t>
  </si>
  <si>
    <t>Contratar el servicio de mantenimiento preventivo y correctivo de los radios portátiles y móviles marca motorola propiedad de la U.A.E. Cuerpo Oficial de Bomberos de Bogotá - TIC</t>
  </si>
  <si>
    <t>Contratar la renovación y soporte de licenciamiento del antivirus de la U.A.E. Cuerpo Oficial de Bomberos de Bogotá - TIC</t>
  </si>
  <si>
    <t>Contratar el soporte y mantenimiento preventivo y correctivo con repuestos para los sistemas de video vigilancia de las estaciones de la U.A.E. Cuerpo Oficial de Bomberos de Bogotá - TIC</t>
  </si>
  <si>
    <t>Subdirección de Gestión Humana</t>
  </si>
  <si>
    <t>SGH - Prestar servicios de apoyo en la Subdirección de Gestión Humana de la UAE Cuerpo Oficial de Bomberos en el proceso de ausentismos del personal.</t>
  </si>
  <si>
    <t>SGH - Prestar servicios profesionales en la Subdirección de Gestión Humana de la UAE Cuerpo Oficial de Bomberos en temas de Administración de Personal.</t>
  </si>
  <si>
    <t>SGH - Prestar sus servicios profesionales en el proceso de liquidación de demandas y conciliaciones administrativas para la Subdirección de Gestión Humana de la UAE Cuerpo Oficial de Bomberos.</t>
  </si>
  <si>
    <t>SGH - Prestar servicios profesionales en la Subdirección de Gestión Humana de la UAE Cuerpo Oficial de Bomberos en temas de liquidación de demandas y conciliaciones.</t>
  </si>
  <si>
    <t>SGH - Prestar sus servicios profesionales en la Subdirección de Gestión Humana en temas de desarrollo organizacional.</t>
  </si>
  <si>
    <t>SGH - Prestar servicios de apoyo en el sistema de gestión de seguridad y salud en el trabajo en la Subdirección de Gestión Humana de la UAE Cuerpo Oficial de Bomberos.</t>
  </si>
  <si>
    <t>SGH - Prestar servicios profesionales para la implementación y seguimiento del sistema de gestión de seguridad y salud en el trabajo en la Subdirección de Gestión Humana.</t>
  </si>
  <si>
    <t>SGH - Acompañar la simplificación de trámites de la Subdirección de Gestión Humana de la UAE Cuerpo Oficial de Bomberos de Bogotá.</t>
  </si>
  <si>
    <t xml:space="preserve">SGH - Prestar servicios profesionales en  la Subdirección de Gestión Humana de la UAE Cuerpo Oficial de Bomberos de Bogotá D.C. en lo relacionado con los procesos de administración y aplicación de los instrumentos archivísticos vigentes en el archivo de gestión de la Subdirección.
</t>
  </si>
  <si>
    <t xml:space="preserve">SGH - Ejecutar actividades de apoyo a la gestión en  la Subdirección de Gestión Humana de la UAE Cuerpo Oficial de Bomberos de Bogotá D.C. en lo relacionado con los procesos de actualización, custodia y manejo del archivo de gestión de la Subdirección.
</t>
  </si>
  <si>
    <t>SGH - Prestar sus servicios profesionales en los procesos de contratación y calidad de la Subdirección de Gestión Humana de la UAE Cuerpo Oficial de Bomberos de Bogotá D.C.</t>
  </si>
  <si>
    <t>SGH - Prestar de servicios profesionales para desarrollar actividades jurídicas en atención a los distintos requerimientos de la Subdirección de Gestión Humana.</t>
  </si>
  <si>
    <t>SGH - Prestar servicios de apoyo en la Subdirección de Gestión Humana de la UAE Cuerpo Oficial de Bomberos</t>
  </si>
  <si>
    <t>SGH - Prestar servicios profesionales para apoyar el programa de desórdenes musculo esqueléticos de la UAE Cuerpo Oficial de Bomberos de Bogotá.</t>
  </si>
  <si>
    <t>SGH - Prestar servicios profesionales y de apoyo para soportar las actividades administrativas, operativas de la dependencia.</t>
  </si>
  <si>
    <t>SGH - Prestar servicios profesionales para la implementación y seguimiento del sistema de gestión de seguridad y salud en el trabajo en la Subdirección de Gestión Humana</t>
  </si>
  <si>
    <t>O23011602300000007658 - Fortalecimiento del Cuerpo Oficial de Bomberos Bogotá</t>
  </si>
  <si>
    <t>SGH - Prestar servicios profesionales para apoyar el programa de vigilancia epidemiológico al riesgo psicosocial y actividades de seguridad y salud en el trabajo en la Subdirección de Gestión Humana.</t>
  </si>
  <si>
    <t>2-Implementar 100% del programa de capacitación, formación y entrenamiento al personal uniformado de la Unidad Administrativa Cuerpo Oficial de Bomberos de Bogotá</t>
  </si>
  <si>
    <t>222-Implementar al 100% un (1) programa de capacitación, formación y entrenamiento al personal en el marco de la Academia Bomberil de Bogotá</t>
  </si>
  <si>
    <t>SGH - Prestar servicios profesionales en el desarrollo de las actividades y de los diferentes procesos que tiene a cargo la Subdirección de Gestión Humana de la UAE Cuerpo Oficial de Bomberos de Bogotá.</t>
  </si>
  <si>
    <t>SGH - Prestar servicios de apoyo a la gestión en la Subdirección de Gestión Humana en las diferentes actividades logísticas relacionadas con  el proceso de Academia.</t>
  </si>
  <si>
    <t>SGH - SGH - Prestar servicios profesionales en la Subdirección de Gestión Humana, para el fortalecimiento trasversal del proceso de Academia.</t>
  </si>
  <si>
    <t>SGH - Prestar de servicios profesionales para desarrollar actividades jurídicas relacionadas con la academia bomberil, recobro de incapacidades y procesos administrativos de la Subdirección de Gestión Humana.</t>
  </si>
  <si>
    <t>SGH - Prestar servicios para soportar las actividades de la dependencia.</t>
  </si>
  <si>
    <t>SGH - Prestar de servicios profesionales para desarrollar actividades jurídicas relacionadas con el recobro de incapacidades y procesos administrativos de la Subdirección de Gestión Humana</t>
  </si>
  <si>
    <t>SGH - Prestar de servicios profesionales para desarrollar actividades jurídicas relacionados con los procesos contractuales a cargo de la Subdirección de Gestión Humana.</t>
  </si>
  <si>
    <t>86101600; 86101700; 86101800; 86111600; 86141500; 86121800</t>
  </si>
  <si>
    <t>CCE-06 Selección abreviada menor cuantía</t>
  </si>
  <si>
    <t>SGH - Garantizar los recursos para viáticos y tiquetes del personal</t>
  </si>
  <si>
    <t>SGH - Garantizar los Recursos para movilización del Personal para emergencias</t>
  </si>
  <si>
    <t>25101700;
25101900;
92101601;
92101603;
92101604</t>
  </si>
  <si>
    <t>Adquisición de vehículos operativos  para la UAECOB. 
(VIGENCIAS FUTURAS)</t>
  </si>
  <si>
    <t>CCE-02 Licitación pública</t>
  </si>
  <si>
    <t>1-100-F039 VA-Crédito</t>
  </si>
  <si>
    <t>O23201010030208 Otra maquinaria para usos especiales y sus partes y piezas</t>
  </si>
  <si>
    <t>7-Implementar 100% de un programa de renovación de vehículos de la Unidad Administrativa Cuerpo Oficial de Bomberos de Bogotá</t>
  </si>
  <si>
    <t>224-Implementar al 100% un programa de formación, modernización y sostenibilidad de la Unidad Administrativa Especial Cuerpo Oficial de Bomberos - UAECOB, para la respuesta efectiva en la atención de emergencias y desastres</t>
  </si>
  <si>
    <t>46181500;46181600;46181700;46181800;46181900</t>
  </si>
  <si>
    <t>Adquisición de elementos de protección personal (E.P.P.) para la atención de emergencias. - Subdirección Operativa</t>
  </si>
  <si>
    <t>6-Implementar 100% de un programa de renovación de equipo menor, herramientas, accesorios y elementos de protección personal en la UAECOB</t>
  </si>
  <si>
    <t>Prestación de servicios de apoyo a la gestión para el desarrollo de las actividades administrativas que requieran ejecutarse en las estaciones de la UAE Cuerpo Oficial de Bomberos de Bogotá SO</t>
  </si>
  <si>
    <t>Prestación de servicios de apoyo a la gestión para el desarrollo de las actividades administrativas que requieran ejecutarse en las estaciones de la UAE Cuerpo Oficial de Bomberos de Bogotá SO.</t>
  </si>
  <si>
    <t>Prestación de servicios de apoyo a la gestión para el desarrollo de las actividades administrativas que requieran ejecutarse en las estaciones de la UAE Cuerpo Oficial de Bomberos de Bogotá - SO</t>
  </si>
  <si>
    <t>Prestación de servicios de apoyo a la gestión de carácter administrativo y documental para la atención de requerimientos y solicitudes y realización de trámites relacionados con los procesos y procedimientos a cargo de la Subdirección Operativa - SO</t>
  </si>
  <si>
    <t>Prestar por sus propios medios con autonomía técnica y administrativa sus servicios profesionales para apoyar a la Subdirección Operativa en la proyección de solicitudes dirigidas a autoridades administrativas y en la proyección de respuestas a PQR´S, en el marco de los procesos y procedimientos a cargo de la dependencia. SO</t>
  </si>
  <si>
    <t>Prestación de servicios de apoyo a la gestión de carácter asistencial, administrativo y documental para la atención de requerimientos, solicitudes y tramites de la Subdirección Operativa SO</t>
  </si>
  <si>
    <t>Prestación de servicios profesionales para la elaboración, diagramación, orto tipografía y estilos de textos e informes referentes a los procesos a cargo de la Subdirección Operativa - SO</t>
  </si>
  <si>
    <t>Prestación de servicios profesionales con plena autonomía técnica y administrativa  para apoyar en el seguimiento, control y alimentación de los sistemas de información y demás requerimientos que sean propios de la gestión de la subdirección Operativa de acuerdo con las funciones establecidas SO</t>
  </si>
  <si>
    <t>Prestación de servicios de apoyo a la gestión para ejecutar las actividades que dan  soporte al proceso de comunicaciones en emergencias, del Centro de Coordinación y Comunicaciones (C.C.C.) a cargo de la Subdirección Operativa. SO</t>
  </si>
  <si>
    <t>Prestación de servicios profesionales con plena autonomía técnica y administrativa para acompañar a la Subdirección Operativa, en la estructuración, sustanciación, revisión y trámite de los actos administrativos y demás documentos a emitir por la dependencia. - SO</t>
  </si>
  <si>
    <t>Prestación de servicios profesionales para apoyar a la Subdirección Operativa , en el diligenciamiento y  seguimiento de las herramientas de gestión de los procedimientos a cargo de esta subdirección, así como la gestión , control  trámite y seguimiento de solicitudes recepcionadas en el canal de comunicación de gestión operativa. - SO</t>
  </si>
  <si>
    <t>Prestación de servicios profesionales para apoyar a la Subdirección Operativa en la elaboración, diseño y diagramación de piezas requeridas para los planes, programas, proyectos y procedimientos SO</t>
  </si>
  <si>
    <t>Prestación de servicios profesionales a la Subdirección Operativa de la UAE Cuerpo Oficial de Bomberos de Bogotá para generar información de valor e instrumentos de seguimiento a partir de los datos asociados a la ejecución y seguimiento de los procesos, planes y proyectos adelantados y ejecutados por la dependencia. SO</t>
  </si>
  <si>
    <t xml:space="preserve">Prestación de servicios profesionales para ejecutar el componente de información geográfica, georreferenciación y generación de alertas a través de las herramientas, medios o sistemas de información disponibles, para la Subdirección Operativa.
</t>
  </si>
  <si>
    <t>Prestación de servicios profesionales para ejecutar las actividades relacionadas con la disponibilidad y las novedades del personal uniformado, sirviendo de enlace entre la S.G.H. y  la Subdirección Operativa.</t>
  </si>
  <si>
    <t>Prestación de servicios profesionales para ejecutar las actividades de seguimiento, consolidación y reporte de las actividades relacionadas con el plan de fortalecimiento operativo de la Subdirección Operativa.</t>
  </si>
  <si>
    <t>Prestar servicios profesionales con plena autonomía técnica y administrativa para acompañar a la subdirección Operativa en la planeación, trámite y seguimiento de los aspectos presupuestales y financieros que disponga la dependencia, afianzando el cumplimiento y el desarrollo eficaz de las metas técnicas, administrativas y contractuales establecidas en el plan anual de adquisiciones. - SO</t>
  </si>
  <si>
    <t>Prestar por sus propios medios, con autonomía técnica y administrativa sus servicios profesionales para brindar acompañamiento jurídico a la Subdirección Operativa, en la proyección de solicitudes dirigidas a autoridades administrativas, en la sustanciación de respuestas a PQR´S y a  requerimientos que efectúen los entes de control y autoridades administrativas, en el marco de los procesos y procedimientos a cargo de la dependencia. - SO</t>
  </si>
  <si>
    <t>Prestación de servicios profesionales para apoyar las actividades concernientes al desarrollo de las condiciones básicas de bienestar tanto de los animales rescatados como las relacionadas con caninos del programa BRAE de la Subdirección Operativa.</t>
  </si>
  <si>
    <t>Prestación de servicios profesionales para ejecutar las actividades del componente de bienestar y aprovechamiento del programa BRAE de la Subdirección Operativa.</t>
  </si>
  <si>
    <t>Prestación de servicios profesionales con plena autonomía técnica y administrativa  para acompañar a la Subdirección Operativa, en el diseño, implementación, reporte y monitoreo de los diferentes procesos, procedimientos y funciones a cargo de la dependencia. - SO</t>
  </si>
  <si>
    <t>Prestación de servicios profesionales para la consolidación, seguimiento y control de los  reporte de los planes, proyectos y programas de inversión e indicadores a cargo de la Subdirección Operativa. SO</t>
  </si>
  <si>
    <t>Prestación de servicios profesionales para apoyar a la Subdirección Operativa, en la consolidación, seguimiento y reporte de las actividades del plan de mejora y mapa de riesgos relacionados con los procesos y procedimientos misionales de la dependencia. SO</t>
  </si>
  <si>
    <t>Prestación de servicios profesionales con plena autonomía técnica y administrativa para acompañar a la Subdirección Operativa, en la estructuración y definición de aspectos jurídicos en las etapas precontractuales, contractuales y postcontractuales  en el marco de los procesos y procedimientos a cargo de la dependencia. - SO</t>
  </si>
  <si>
    <t>Prestación de servicios profesionales especializados  con plena autonomía técnica y administrativa para acompañar jurídicamente  a la Subdirección Operativa en la a estructuración, revisión, seguimiento y verificación de los procesos contractuales en las diferentes etapas y brindar el acompañamiento jurídico en el desarrollo de las actividades inherentes a los procesos y procedimientos que son competencia  de la dependencia. - SO</t>
  </si>
  <si>
    <t>Oficina de Control Interno</t>
  </si>
  <si>
    <t>Prestar servicios de apoyo a la gestión como técnico   en la Oficina de Control Interno para ejecutar procesos y procedimientos administrativos y asistenciales teniendo en cuenta el Plan Anual de Auditorías.</t>
  </si>
  <si>
    <t>Prestar los servicios profesionales  en la Oficina de Control Interno para el desarrollo del Plan Anual de Auditorías.</t>
  </si>
  <si>
    <t>Dirección</t>
  </si>
  <si>
    <t>Prestar servicios como conductor a la UAECOB, en especial en el transporte de recursos que le sean indicados en la Dirección General en el marco sus funciones.</t>
  </si>
  <si>
    <t>Prestar servicios profesionales a la Dirección General en actividades de articulación interinstitucional entre las diferentes dependencias, entidades del sector, y demás que estén relacionadas con la misionalidad de la UAECOB.</t>
  </si>
  <si>
    <t>Prestar servicios profesionales para asesorar a la Dirección General en las estrategias de fortalecimiento de los procesos y procedimientos, de sostenibilidad, planes y programas que sean requeridos en el marco de la misionalidad de la UAECOB.</t>
  </si>
  <si>
    <t>Prestación de servicios profesionales jurídicos en virtud de las funciones asignadas a la Dirección General de la UAECOB, para apoyar los procesos contractuales y actividades administrativas requeridas.</t>
  </si>
  <si>
    <t>Prestar servicios profesionales en la Dirección General, para apoyar actividades administrativas, presupuestales y financieras, así como hacer seguimiento y control a los compromisos generados por las dependencias de la UAECOB, en especial los relacionadas con peticiones, quejas y reclamos allegados por entes externos e internos.</t>
  </si>
  <si>
    <t>Prestar servicios profesionales en asuntos relacionados con temas administrativos y asuntos propios requeridos por la Dirección General de la UAECOB</t>
  </si>
  <si>
    <t>"Prestar servicios profesionales a la Dirección General, con el fin de apoyar el seguimiento y manejo de la ejecución y procesos  presupuestales que coadyuven al cumplimiento de las metas establecidas en el plan de desarrollo y el plan anual de adquisiciones de la UAECOB"</t>
  </si>
  <si>
    <t>Prestar servicios de apoyo a la gestión en la UAECOB, en asuntos administrativos y asistenciales requeridos, especificamente en el seguimiento de la información.</t>
  </si>
  <si>
    <t>Dirección-Comunicaciones y Prensa</t>
  </si>
  <si>
    <t>Prestar servicios profesionales especializados en la Dirección General de la UAECOB en la organización y liderazgo de los asuntos relacionados con comunicaciones de conformidad a la misionalidad de la entidad.</t>
  </si>
  <si>
    <t>Prestación de servicios profesionales en la Dirección General en asuntos de comunicaciones y prensa, para asesorar los planes, programas y proyectos enmarcados en la misionalidad de la UAECOB.</t>
  </si>
  <si>
    <t>Prestación de servicios profesionales en asuntos de comunicaciones y prensa para apoyar la divulgación y socialización de la información relacionada con la misionalidad de la UAECOB de manera interna y externa</t>
  </si>
  <si>
    <t>"Prestar servicios profesionales en la Dirección General para el diseño gráfico y apoyo periodistico requerido en el marco de la estrategia de comunicaciones y prensa de la UEACOB".</t>
  </si>
  <si>
    <t>"Prestar servicios profesionales en la Dirección General para  el manejo de redes sociales de la entidad y apoyo periodistico requerido en el marco de la estrategia de comunicaciones y prensa de la UEACOB".</t>
  </si>
  <si>
    <t>Prestar servicios profesionales en la Dirección en asuntos de comunicaciones y prensa, para apoyar la administración de contenidos digitales en la página web y la Intranet de la UAECOB.</t>
  </si>
  <si>
    <t>Prestación de servicios profesionales en la Dirección en comunicaciones y prensa, para apoyar la difusión de la información al público interno de la UAECOB.</t>
  </si>
  <si>
    <t>Prestar servicios profesionales para apoyar el desarrollo de estrategias de la dirección general, en asuntos relacionados con comunicaciones y prensa, encaminadas al posicionamiento, imagen y divulgación corporativa de la entidad y dirigidas a sus públicos internos</t>
  </si>
  <si>
    <t>Prestar apoyo técnico en la Dirección, en asuntos de comunicaciones y prensa, para la producción, diseño y edición de material audiovisual de la UAECOB.</t>
  </si>
  <si>
    <t>Prestar apoyo en la Dirección en asuntos de comunicaciones y prensa, para apoyar la divulgación de la información generada por la UAECOB.</t>
  </si>
  <si>
    <t>Oficina de Control Disciplinario Interno</t>
  </si>
  <si>
    <t>Prestar los servicios profesionales jurídicos especializados en la Oficina de Control Disciplinario Interno de la entidad relacionados con los procesos disciplinarios que sean de conocimiento y deban adelantarse en esa dependencia en el rol de instrucción.</t>
  </si>
  <si>
    <t>Prestar los servicios profesionales jurídicos en la Oficina de Control Disciplinario Interno de la entidad relacionados con los procesos contractuales, administrativos, y las actuaciones disciplinarias que se encuentran a cargo de esa dependencia</t>
  </si>
  <si>
    <t>Prestación de servicios profesionales jurídicos para apoyar la gestión de las actuaciones disciplinarias que se encuentren a cargo y adelante la Oficina de Control Disciplinario Interno en el rol de instrucción</t>
  </si>
  <si>
    <t xml:space="preserve">Prestación de servicios de apoyo a la gestión en la Oficina de Control Disciplinario Interno para el cumplimiento de las funciones asignadas a esta dependencia, que requieran tareas de caracter administrativo </t>
  </si>
  <si>
    <t>Prestación de servicios de apoyo a la gestión a la Oficina de Control Disciplinario Interno que coadyuven a las tareas administrativas, tecnicas y asistenciales que sean requeridas para el cumplimiento de las funciones asignadas a esta esta dependencia</t>
  </si>
  <si>
    <t>Subdirección Logística</t>
  </si>
  <si>
    <t>Prestar el servicio de mantenimiento preventivo y correctivo, de latonería y pintura, incluyendo el suministro de repuestos, insumos y mano de obra especializada para los vehículos pertenecientes al parque automotor de la U.A.E. Cuerpo Oficial de Bomberos de Bogotá - SBLG</t>
  </si>
  <si>
    <t>O23202020088714199_Servicio de mantenimiento y reparación de vehículos automotores n.c.p.</t>
  </si>
  <si>
    <t>9-Ejecutar el 100% del programa de mantenimiento de vehículos y equipo menor de la UAECOB</t>
  </si>
  <si>
    <t>Prestar el servicio de instalación, alineación, balanceo y conexos, incluyendo el suministro de llantas a los vehículos del parque automotor de la U.A.E. Cuerpo Oficial de Bomberos de Bogotá - SBLG</t>
  </si>
  <si>
    <t>Suministrar combustible para los vehículos, y equipos especializados de la U.A.E. Cuerpo Oficial de Bomberos de Bogotá dentro y fuera del perímetro del Distrito Cápital - SBLG</t>
  </si>
  <si>
    <t>O2320201003053543003_Aditivos para gasolina, aceites minerales y combustible en general</t>
  </si>
  <si>
    <t>39121321;
31162800;
39121700</t>
  </si>
  <si>
    <t>8-Implementar 100% de un programa de suministros y consumibles para la atención de emergencias en la UAECOB</t>
  </si>
  <si>
    <t>72101509
46191600</t>
  </si>
  <si>
    <t>Suministrar los repuestos, accesorios e insumos de los equipos de rescate vehicular liviano y pesado marca LUKAS- SBLG</t>
  </si>
  <si>
    <t>40151601; 40151802</t>
  </si>
  <si>
    <t>Prestar el servicio de mantenimiento preventivo y correctivo de los compresores BAUER propiedad de la U.A.E. Cuerpo Oficial de Bomberos de Bogotá, incluido el suministro de repuestos, insumos y mano de obra especializada.  SBLG</t>
  </si>
  <si>
    <t>O23202020088715999_Servicio de mantenimiento y reparación de otros equipos n.c.p.</t>
  </si>
  <si>
    <t>Prestar el servicio de mantenimiento preventivo y correctivo de los equipos de rescate vehicular  Holmatro propiedad de la U.A.E. Cuerpo Oficial de Bomberos de Bogotá, incluido el suministro de repuestos, insumos y mano de obra especializada.  SBLG</t>
  </si>
  <si>
    <t>70122002;70122005;70122006;70122007;70122008;70122009;70122010; 10101500;
10121800</t>
  </si>
  <si>
    <t>Prestación de servicios médicos veterinarios, de hospitalización, con suministro de medicamentos, insumos veterinarios y alimentos para los caninos del grupo BRAE de la U.A.E. Cuerpo Oficial de Bomberos de Bogotá - SBLG</t>
  </si>
  <si>
    <t>O232020200883590_Otros servicios veterinarios</t>
  </si>
  <si>
    <t>42141501;42141502;42141503;42142101;42142103;42142105;42142108;42172010;42172013;42172016;42172201;42281502;42291902</t>
  </si>
  <si>
    <t>O2320201003083899997_Artículos n.c.p. para protección</t>
  </si>
  <si>
    <t>90101800; 
90101600;
50192700;
50192700;
50112000;
50202311;
50201709;
50161509;  
50192110;  
93131602;</t>
  </si>
  <si>
    <t>Suministrar alimentación e hidratación para la atención de emergencias, entrenamientos, capacitaciones y actividades de prevención.</t>
  </si>
  <si>
    <t>O232020200663393_Otros servicios de comidas contratadas</t>
  </si>
  <si>
    <t>Prestar servicios profesionales para acompañar a la subdirección logística en la planeación, seguimiento, actualización y gestión presupuestal en el marco de los procesos y procedimiento a cargo de la dependencia  - SBLG</t>
  </si>
  <si>
    <t>Prestación de servicios profesionales a la Subdirección Logística, para el seguimiento, control y reporte de la información referente al impacto ambiental en desarrollo de los procesos de parque automotor y equipo menor - SBLG</t>
  </si>
  <si>
    <t>Prestación de servicios profesionales para coordinar, controlar y ejercer seguimiento al proceso de equipo menor a cargo de la Subdirección Logística - SBLG</t>
  </si>
  <si>
    <t>Prestación de servicios profesionales para acompañar a la Subdirección Logística en la estructuración y definición de aspectos jurídicos y contractuales en  los diferentes procesos de contratación de bienes y servicios adelantados por la Subdirección Logística - SBLG</t>
  </si>
  <si>
    <t>Prestar por sus propios medios con plena autonomía técnica y administrativa los servicios profesionales para el diseño, desarrollo, control y soporte de herramientas tecnológicas para el funcionamiento de la subdirección logística - SBLG </t>
  </si>
  <si>
    <t>Prestación de servicios profesionales para acompañar a la Subdirección logística, en el diseño, implementación, reporte y monitoreo de los diferentes procesos, procedimientos y funciones a cargo de la subdirección - SBLG </t>
  </si>
  <si>
    <t>Prestación de servicios profesionales para acompañar a la subdirección logística, en el diligenciamiento y  seguimiento de las herramientas  de gestión de los procedimientos a cargo de esta subdirección, así como la gestión , control  trámite y seguimiento de solicitudes de mesa logística en relación con  parque automotor, equipo menor y suministros consumibles - SBLG </t>
  </si>
  <si>
    <t>Prestación de servicios profesionales para apoyar a la subdirección logística en el seguimiento a indicadores, contratos, proyectos de inversión y desarrollo de actividades presupuestales a cargo de esta dependencia. - SBLG</t>
  </si>
  <si>
    <t> Prestación de servicios profesionales para acompañar a la subdirección logística, en el diligenciamiento y  seguimiento de las herramientas  de gestión de los procedimientos a cargo de esta subdirección, así como la gestión , control  trámite y seguimiento de solicitudes de mesa logística en relación con  parque automotor, equipo menor y suministros consumibles - SBLG</t>
  </si>
  <si>
    <t>Prestación de servicios de apoyo a la gestión para realizar la revisión, verificación y mantenimiento preventivo y correctivo al equipo menor a cargo de la Subdirección Logística - SBLG</t>
  </si>
  <si>
    <t>Prestación de servicios de apoyo a la gestión en el seguimiento y control de los contratos de suministros y consumibles a cargo de la Subdirección Logística - SBLG</t>
  </si>
  <si>
    <t>Prestación de servicios de apoyo a la gestión para la Subdirección Logística en las actividades relacionadas con el componente administrativo de los procesos relacionados con consumibles y suministros y equipo menor a cargo de esta Subdirección.  - SBLG</t>
  </si>
  <si>
    <t>Prestación de servicios profesionales para apoyar la realización y ejercer el acompañamiento administrativo y financiero en la elaboración y revisión de las actas de liquidación y de cierre de expedientes, así como demás actuaciones administrativas requeridas en los procesos de contratación adelantados por la Subdirección Logistica - SBLG</t>
  </si>
  <si>
    <t xml:space="preserve">Prestación de servicios profesionales en la gestión y control administrativo y financiero de las actuaciones administrativas, procedimientos y ejecución de contratos a cargo de la Subdirección Logística – SBLG. </t>
  </si>
  <si>
    <t>Prestación de servicios profesionales para la subdirección logística en el seguimiento y control del componente ambiental, así como, apoyar los procesos de implementación,  capacitación y manejo de la herramienta tecnológica y  gestión de los procedimientos a cargo de la subdirección logística - SBLG</t>
  </si>
  <si>
    <t>Prestación de servicios profesionales para realizar el acompañamiento y apoyo en el seguimiento y control a los diferentes procesos y procedimientos del equipo menor a cargo de la Subdirección Logística - SBLG</t>
  </si>
  <si>
    <t>Prestación de servicios profesionales para realizar el seguimiento administrativo, operativo, control y monitoreo al desarrollo del proceso de mantenimiento del parque automotor, a cargo de la Subdirección Logística - SBLG</t>
  </si>
  <si>
    <t>Prestación de servicios de apoyo a la gestión para realizar la revisión, verificación y mantenimiento preventivo y correctivo al equipo menora cargo de la Subdirección Logística - SBLG</t>
  </si>
  <si>
    <t>Prestar servicios de apoyo a la gestión a la subdirección logística en el seguimiento técnico y administrativo del mantenimiento de los vehículos pertenecientes al parque automotor de la UAECOB. - SBLG</t>
  </si>
  <si>
    <t>Prestación de servicios de apoyo en el control,  actualización y seguimiento de la gestión documental tanto física como digital, así mismo , apoyo en la recepción, trámite, seguimiento, diligenciamiento de bases de datos y control de las solicitudes o requerimientos relacionados con los procesos a cargo de la subdirección logística.</t>
  </si>
  <si>
    <t>Prestación de servicios de apoyo a la gestión para realizar el seguimiento y control de las bases de datos y actualización de hojas de vida del equipo menor a cargo de la Subdirección Logística - SBLG</t>
  </si>
  <si>
    <t>Prestación de servicios profesionales para realizar el seguimiento operativo, monitoreo,  programación  de los mantenimientos preventivos y correctivos del equipo menor  a cargo de la Subdirección Logística - SBLG</t>
  </si>
  <si>
    <t>Prestación de servicios profesionales para realizar el seguimiento administrativo, operativo, control y monitoreo a los vehículos  del parque automotor, que se encuentren o sean objeto de mantenimiento a cargo de la Subdirección Logística - SBLG</t>
  </si>
  <si>
    <t>Prestación de servicios profesionales en el análisis, organización, gestión y seguimiento de los casos reportados a través de las herramientas o aplicativos implementados por la Subdirección Logística - SBLG</t>
  </si>
  <si>
    <t>Prestación de servicios profesionales para apoyar la realización y ejercer el acompañamiento administrativo y financiero en la elaboración y revisión de las actas de liquidación y de cierre de expedientes, así como demás actuaciones administrativas requeridas en los procesos de contratación adelantados por la Subdirección Logística. - SBLG</t>
  </si>
  <si>
    <t>Prestación de servicios profesionales para acompañar a la Subdirección Logística, en la estructuración y definición de aspectos jurídicos en las etapas precontractuales, contractuales y postcontractuales  en el marco de los procesos y procedimientos a cargo de la dependencia - SBLG</t>
  </si>
  <si>
    <t>Prestación de servicios profesionales para realizar el seguimiento administrativo y financiero al proceso de mantenimiento del parque automotor de la entidad, a cargo de la Subdirección Logística - SBLG</t>
  </si>
  <si>
    <t>Prestación de servicios profesionales de carácter administrativo y financiero en el marco de los procesos y procedimientos a cargo de la Subdirección Logística - SBLG</t>
  </si>
  <si>
    <t>Prestación de servicios profesionales en la formulación e implementación de estrategias de comunicación que promueva el uso y apropiación de los programas desarrolados por la Subdirección Logística - SBLG</t>
  </si>
  <si>
    <t>Prestación de servicios de apoyo a la gestión de carácter asistencial, administrativo y documental para la atención de requerimientos, solicitudes y tramites del personal operativo logístico - SBLG </t>
  </si>
  <si>
    <t>Prestación de servicios de apoyo a la gestión para realizar la revisión, verificación y mantenimiento preventivo y correctivo al equipo menor cargo de la Subdirección Logística - SBLG</t>
  </si>
  <si>
    <t>Prestación de servicios de apoyo a la gestión de carácter administrativo y documental para la atención de requerimientos y solicitudes y realización de trámites relacionados con los procesos y procedimientos a cargo de la Subdirección Logística - SBLG</t>
  </si>
  <si>
    <t>Prestación de servicios de apoyo a la gestión administrativa, operativa y documental del parque automotor que administra la Subdirección Logística- SBLG</t>
  </si>
  <si>
    <t>Prestar por sus propios medios con plena autonomía técnica y administrativa, sus servicios profesionales a la Subdirección Logistica de la UAE Cuerpo Oficial de Bomberos de Bogota D.C., generando información de valor, recomendaciones, alertas e instrumentos de seguimiento teniendo como insumo los datos y cifras asociadas a la ejecución y al seguimiento de los planes y proyectos adelantados y ejecutados por la Subdirección - SBLG</t>
  </si>
  <si>
    <t>Prestar por sus propios medios, con autonomía técnica y administrativa sus servicios profesionales para brindar acompañamiento jurídico a la Subdirección Logística, en la proyección de solicitudes dirigidas a autoridades administrativas y en la sustanciación de respuestas a PQR´S y requerimientos efectuados por los entes de control y autoridades administrativas, en el marco de los procesos y procedimientos a cargo de la dependencia - SBLG</t>
  </si>
  <si>
    <t>Prestar por sus propios medios con plena autonomía técnica y administrativa, sus servicios profesionales a la Subdirección Logistica de la UAE Cuerpo Oficial de Bomberos de Bogota D.C., para la generación de informes técnicos a partir de las fallas presentadas en los vehículos que hacen parte del parque automotor de la entidad y de las intervenciones efectuadas por los proveedores que les prestan el servicio de mantenimiento preventivo y correctivo a la UAE Cuerpo Oficial de Bomberos de Bogota D.C. - SBLG</t>
  </si>
  <si>
    <t>Adición al contrato 103-2022 Prestación de servicios profesionales para acompañar a la Subdirección Logística en la estructuración y definición de aspectos técnicos y financieros en  los diferentes procesos de contratación de bienes y servicios en las etapas precontractual, contractual y postcontractual adelantados por la Subdirección Logística - SBLG</t>
  </si>
  <si>
    <t>Subdirección de Gestión del Riesgo</t>
  </si>
  <si>
    <t>Prestar servicios profesionales a la Subdirección de Gestión del Riesgo apoyando las actividades de coordinación del proceso de Conocimiento del Riesgo._SGR</t>
  </si>
  <si>
    <t>78121600 
78131800 
92111600 
72141500</t>
  </si>
  <si>
    <t>Contratar los servicios de recolección, manipulación, almacenamiento temporal, transporte y disposición final (destrucción o devolución) de pólvora, fuegos artificiales, globos y demás artículos pirotécnicos incautados por las autoridades competentes en el Distrito Capital"_SGR.</t>
  </si>
  <si>
    <t>1-Implementar 100 % del plan de gestión de riesgo para los procesos de conocimiento y reducción en incendios, incidentes con materiales peligrosos y escenarios de riesgos</t>
  </si>
  <si>
    <t>223-Implementar al 100% un (1) programa de conocimiento y reducción en la gestión de  riesgo de incendios, incidentes con materiales peligrosos y escenarios de riesgos.</t>
  </si>
  <si>
    <t>80141900
90111500
90111600
80141900</t>
  </si>
  <si>
    <t>Prestación de servicios como operador logístico, relacionados con la organización, administración, ejecución y demás acciones logísticas con el fin de promover temáticas que fortalezcan la misionalidad de la entidad a través de la protección de la vida, el medio ambiente y el patrimonio_SGR</t>
  </si>
  <si>
    <t>43232300; 
43232500;
43233700;
86141500;
81111800;
81112500;
86141700;
86111500;</t>
  </si>
  <si>
    <t>Contratar un servicio de acceso a la herramienta LMS E-learning, que permita el desarrollo de las capacitaciones virtuales programadas en la UAECOB._SGR</t>
  </si>
  <si>
    <t xml:space="preserve">76122304 
76122404 
76122203 
76121502 
76121901 
76131701 
76121902 </t>
  </si>
  <si>
    <t>Prestación de servicio para la recolección y disposición final de residuos huérfanos para la UAE Cuerpo Oficial de Bomberos_SGR</t>
  </si>
  <si>
    <t>60121104
60121708
44111515
24121503
24112404
31201512
12352104</t>
  </si>
  <si>
    <t>Adquisición de insumos y materias primas para la producción de impresos de artes gráficas_ SGR.</t>
  </si>
  <si>
    <t>Prestar servicios profesionales para el desarrollo de actividades de planeación y desarrollo de programas y proyectos para la Subdirección de Gestión del Riesgo._SGR</t>
  </si>
  <si>
    <t>Apoyar profesionalmente la coordinación y establecimiento de los planes intersectoriales en materia de prevención y atención de incendios e incidentes con materiales peligrosos._SGR</t>
  </si>
  <si>
    <t>Prestar servicios profesionales en la Subdireccion de Gestion del Riesgo para el fortalecimiento de la capacidad predictiva relacionada con los riesgos misionales de la Entidad._SGR</t>
  </si>
  <si>
    <t>Prestar servicios profesionales en las actividades del MIPG de la Subdirección de Gestión del riesgo._SGR</t>
  </si>
  <si>
    <t>Prestar servicios profesionales para el desarrollo de los contenidos graficos, piezas comunicativa y de imagen institucional para la Subdirección de Gestión del riesgo._SGR</t>
  </si>
  <si>
    <t>Prestar servicios de apoyo para la estructuracion y seguimiento de los procesos contractuales y demas aspectos juridicos de la Subdirección de Gestión del riesgo._SGR</t>
  </si>
  <si>
    <t>Prestar servicios profesionales para el apoyo en la gestión administrativa y análisis financiero de la subdirección de gestión del riesgo._SGR</t>
  </si>
  <si>
    <t xml:space="preserve">Apoyar las actividades de la Subdirección de Gestión del Riesgo relacionadas con el seguimiento y control de sus solicitudes y peticiones._SGR </t>
  </si>
  <si>
    <t>Prestar servicios profesionales  en las actividades de soporte operacional de la UAECOB._SGR</t>
  </si>
  <si>
    <t>Prestar servicios de apoyo a la gestión en las actividades de soporte operacional de la UAECOB._SGR</t>
  </si>
  <si>
    <t>Prestar servicios de apoyo a la gestión como conductor en la Subdirección de Gestión del Riesgo._SGR</t>
  </si>
  <si>
    <t>Prestar servicios de apoyo a la gestion en las actividades de monitoreo del riesgo para la Subdirección de Gestión del Riesgo._SGR Analista</t>
  </si>
  <si>
    <t>Prestar servicios de apoyo a la gestion en las actividades de monitoreo del riesgo para la Subdirección de Gestión del Riesgo._SGR Auxiliar</t>
  </si>
  <si>
    <t>Prestar servicios profesionales en las actividades de identificacion de escenarios a cargo de la Subdirección de Gestión del Riesgo._SGR</t>
  </si>
  <si>
    <t>Prestar servicios profesionales en las actividades de análisis de información de escenarios a cargo de la Subdirección de Gestión del Riesgo.._SGR</t>
  </si>
  <si>
    <t>Prestar  servicios profesionales en las actividades de proyeccion e innovacion para la Subdirección de Gestión del Riesgo._SGR</t>
  </si>
  <si>
    <t>Prestar sus servicios profesionales en las actividades relacionadas con la emision de conceptos a cargo de la Subdirección de Gestión del Riesgo._SGR</t>
  </si>
  <si>
    <t>Prestar sus servicios de apoyo tecnico para realizar las inspecciones relacionadas con la emision de conceptos a cargo de la Subdirección de Gestión del Riesgo._SGR</t>
  </si>
  <si>
    <t>Prestar servicios profesionales para las actividades de aglomeraciones de público y Eventos con Pirotecnia  desarrollados en el Distrito._SGR</t>
  </si>
  <si>
    <t>Apoyar las actividades de la Subdirección de Gestión del riesgo relacionadas con las aglomeraciones de público  y Eventos con Pirotecnia  desarrollados en el Distrito._SGR</t>
  </si>
  <si>
    <t>Prestar servicios profesionales en las actividades de Programas y Campañas de Prevención para la Subdirección de Gestión del Riesgo._SGR</t>
  </si>
  <si>
    <t>Prestar servicios profesionales en los procesos de formacion y capacitacion de la subdirección de gestión del riesgo._SGR</t>
  </si>
  <si>
    <t>Prestación de servicios profesionales en temas de sostenibilidad, desarrollo social ambiental y económico de los diferentes procesos y procedimientos de la UAE Cuerpo Oficial de Bomberos._SGR</t>
  </si>
  <si>
    <t>Prestar servicios profesionales para la estructuracion y seguimiento de los procesos contractuales y demas aspectos juridicos de la Subdirección de Gestión del riesgo._SGR</t>
  </si>
  <si>
    <t>Subdirección de Gestión Corporativa</t>
  </si>
  <si>
    <t>Prestación de servicios de apoyo a la gestión para desarrollar actividades de tipo administrativo relacionadas con las funciones propias de la Subdirección de Gestión Corporativa-SGC</t>
  </si>
  <si>
    <t>Prestar los servicios como conductor de  la Subdireccion de Gestion Corporativa -SGC</t>
  </si>
  <si>
    <t>Prestación de Servicios Profesionales para la formulación de estrategias, indicadores y acciones requeridas por la Subdirección de Gestión Corporativa en relación con los proyectos administrativos y misionales de la UAE Cuerpo oficial de Bomberos .-SGC</t>
  </si>
  <si>
    <t>Prestar los servicios de tipo administrativo para cuadyuvar en las actividades propias de la Subdirección- SGC</t>
  </si>
  <si>
    <t>Prestar los servicios profesionales especializados para acompañar las actividades jurídicas relacionadas con la gestión contractual en las etapas precontractual, contractual y postcontractual del área administrativa de la Subdirección de Gestión Corporativa -SGC</t>
  </si>
  <si>
    <t>Prestar los servicios profesionales para la gestión administrativa y operativa de la Subdirección de Gestión Corporativa en el proceso de adquisición de bienes y servicios-SGC</t>
  </si>
  <si>
    <t>Prestar servicios profesionales como enlace con la oficina de comunicaciones para la correcta divulgación de las actividades desarrolladas por la Subdirección de Gestión Corporativa-SGC</t>
  </si>
  <si>
    <t>Prestar servicios profesionales especializados a la Subdirección de Gestión Corporativa y Dirección General de la UAECOB en la construcción ,acompañamiento, seguimiento y fortalecimiento de las estrategias de comunicación que adelante la entidad dentro del Distrito Capital- SGC</t>
  </si>
  <si>
    <t>Prestación de servicios profesionales para apoyar a la Subdirección de Gestión Corporativa en las actividades administrativas, seguros, compras e inventarios-SGC</t>
  </si>
  <si>
    <t>Prestar servicios profesionales en la Subdirección de Gestión Corporativa en lo relacionado con los procesos de inventarios.-SGC</t>
  </si>
  <si>
    <t>Prestar servicios profesionales para realizar acompañamiento en la elaboración y revisión de actas de liquidación y demás actuaciones administrativas requeridas en la etapa postcontractual del proceso de contratación adelantados por la Subdirección Gestión Corporativa.  -SGC</t>
  </si>
  <si>
    <t>Prestación de servicios profesionales en la Subdirección de Gestión Corporativa adelantando las actividades necesarias para la ejecución del programa y los procesos de seguros de la Entidad-SGC</t>
  </si>
  <si>
    <t>Prestación de servicios de apoyo a la gestión de seguros de la Subdirección de Gestión Corporativa. –SGC.</t>
  </si>
  <si>
    <t>Prestación de servicios de apoyo a la gestión en la ejecución de los planes y programas de servicio al ciudadano a cargo de la Subdirección de Gestión Corporativa.-SGC</t>
  </si>
  <si>
    <t>Prestación de servicios de apoyo a la gestión en la ejecución de los planes y programas de servicio al ciudadano a cargo de la Subdirección de Gestión Corporativa-SGC</t>
  </si>
  <si>
    <t>Prestación de servicios de apoyo a la gestión en la ejecución de los planes y programas de servicio al ciudadano a cargo de la Subdirección de Gestión Corporativa-SGC.</t>
  </si>
  <si>
    <t>Prestación de servicios profesionales para articular la gestión en la ejecución de los planes y programas de servicio al ciudadano a cargo de la Subdirección de Gestión Corporativa.-SGC</t>
  </si>
  <si>
    <t>Prestación de servicios profesionales en la Subdirección de Gestión Corporativa en las actividades relacionadas con MIPG-SGC</t>
  </si>
  <si>
    <t>72151800;
72151505;
73152108;</t>
  </si>
  <si>
    <t>Mantenimiento preventivo y correctivo, que incluye el suministro de insumos y repuestos de las plantas eléctricas ubicadas en los diferentes edificios de la Unidad Administrativa Especial del Cuerpo Oficial de Bomberos Bogotá D.C -SGC</t>
  </si>
  <si>
    <t>5-Implementar 100% de un programa de mantenimiento a las estaciones de bomberos de Bogotá</t>
  </si>
  <si>
    <t>47111500;
73152100;</t>
  </si>
  <si>
    <t>Mantenimiento preventivo y correctivo, que incluye el suministro de insumos y repuestos de las lavadoras y secadoras industriales ubicadas en las estaciones de bomberos de la UAE Cuerpo Oficial de Bomberos de Bogotá-SGC</t>
  </si>
  <si>
    <t>72121400;
72151700;
95121700;</t>
  </si>
  <si>
    <t>Mantenimiento preventivo y correctivo de los equipos gasodomésticos y solares, adecuación de las redes de gas natural y repuestos para las Estaciones de Bomberos de UAE Cuerpo Oficial de Bomberos SGC</t>
  </si>
  <si>
    <t xml:space="preserve">49201501;
49201503;
49201516;
49201603;
49201605;
49201611 </t>
  </si>
  <si>
    <t>Realizar el mantenimiento preventivo, correctivo y suministro de repuestos para los equipos de gimnasio instalados en las diferentes estaciones de la UAE Cuerpo Oficiales de Bomberos.-SGC</t>
  </si>
  <si>
    <t>72102900
72121400;
72151700;
56101500;
56111900;</t>
  </si>
  <si>
    <t>Mantenimiento correctivo y/o preventivo, suministros y repuestos de los equipos hidroneumáticos, motobombas eléctricas, bombas sumergibles, tableros de control y fuerza y demás equipos de bombeo instalados en las estaciones de bomberos de la UAE Cuerpo oficial de Bomberos -SGC</t>
  </si>
  <si>
    <t>72101500:
92101600;</t>
  </si>
  <si>
    <t xml:space="preserve">Mantenimiento preventivo y correctivo, que incluye el suministro de insumos y repuestos de los eléctrodomesticos de las estaciones a cargo de la UAE Cuerpo Oficial de Bomberos Bogotá-SGC </t>
  </si>
  <si>
    <t>72121400;
72151700;
72154109;
95121700;</t>
  </si>
  <si>
    <t>Realizar el mantenimiento preventivo, correctivo de puertas automatizadas para las salas de máquinas de las estaciones de la UAE Cuerpo Oficial de Bomberos -SGC</t>
  </si>
  <si>
    <t xml:space="preserve">23271800;
26111700;
26121500;
26121600;
27111800:
27111900:
27112000;
27112100;
27112800;
</t>
  </si>
  <si>
    <t>Suministro de materiales, equipos y herramientas para el mejoramiento integral de las instalaciones de la UAE Cuerpo Oficial de Bomberos -SGC</t>
  </si>
  <si>
    <t>72121400;
72151700;</t>
  </si>
  <si>
    <t>80101600;
81101500;
72101500;
72121400;</t>
  </si>
  <si>
    <t>CCE-20 Concurso de méritos abierto</t>
  </si>
  <si>
    <t>76111500;
70101502;
70101503;
90101700;
50201700; 
52151500;
14111700;</t>
  </si>
  <si>
    <t>Contratar la prestación del servicio de aseo y cafetería incluído insumos para la UAE Cuerpo Oficial de Bomberos-SGC</t>
  </si>
  <si>
    <t>O232020200885330_Servicios de limpieza general</t>
  </si>
  <si>
    <t>92121500;
92121700;
32151800;</t>
  </si>
  <si>
    <t>Adición  No. 1 al contrato 444 de 2022 que tiene como objeto  "Prestar el servicio de vigilancia y seguridad privada en la modalidad devigilancia fija, según especificaciones técnicas, en las instalaciones donde la UAE Especial Cuerpo Oficial de Bomberos requiera-SGC"</t>
  </si>
  <si>
    <t>O232020200885250_Servicios de protección (guardas de
seguridad)</t>
  </si>
  <si>
    <t>NO SECOP</t>
  </si>
  <si>
    <t>Prestar el servicio de vigilancia y seguridad privada en la modalidad de vigilancia fija, según especificaciones técnicas, en las instalaciones que la UAE especial cuerpo oficial de bomberos requiera-SGC</t>
  </si>
  <si>
    <t>Prestar servicios profesionales para acompañar jurídicamente los procesos y procedimientos del  areá de infraestructura de la  Subdirección de Gestión Corporativa.SGC</t>
  </si>
  <si>
    <t xml:space="preserve">Prestar los servicios como conductor del area de infraestructura de la Subdireccion de Gestion Corporativa-SGC </t>
  </si>
  <si>
    <t>Prestación de servicios profesionales especializados para apoyar las actividades técnicas del Área de Infraestructura de la Subdirección de Gestión Corporativa-SGC</t>
  </si>
  <si>
    <t xml:space="preserve">Prestación de servicios profesionales especializados para articular y revisar los procesos y procedimientos del área de infraestructura, así como en el apoyo a la supervisión de los contratos que le sean asignados-SGC. </t>
  </si>
  <si>
    <t>Prestación de servicios profesionales para adelantar  actividades tecnicas  y tramites administrativos  del Área de Infraestructura de la Subdirección de Gestión Corporativa-SGC</t>
  </si>
  <si>
    <t>Prestación de Servicios Profesionales en temas financieros, administrativas y misionales para apoyar los proyectos de infraestructura de la Subdirección de Gestión Corporativa.-SGC</t>
  </si>
  <si>
    <t>Prestación de Servicios Profesionales para la formulación, seguimiento y ejecución de procesos  presupuestales y financieros a cargo de la Subdirección de Gestión Corporativa -SGC.</t>
  </si>
  <si>
    <t>Prestación de servicios de apoyo a la gestión, en la Subdirección de Gestión Corporativa en temas de infraestructura para el sostenimiento y mejoramiento de los equipamientos de la Unidad Administrativa Especial Cuerpo Oficial de Bomberos de Bogotá-SGC</t>
  </si>
  <si>
    <t>Prestación de servicios profesionales especializados para atender las necesidades de mantenimiento de las instalaciones y las actividades técnicas de competencia del Área de Infraestructura de la Subdirección de Gestión Corporativa-SGC</t>
  </si>
  <si>
    <t>Prestación de servicios profesionales para atender las necesidades de mantenimiento de las instalaciones y las actividades técnicas y administrativas de competencia del Área de Infraestructura de la Subdirección de Gestión Corporativa-SGC</t>
  </si>
  <si>
    <t>44121700;
44111500;
44122000;
44122100;
14111500;</t>
  </si>
  <si>
    <t>Adición y prórroga No. 2 al contrato 422 de 2022 que tiene como objeto " Contratar la prestación del servicio de aseo y cafetería incluido insumos para la UAE Cuerpo Oficial de Bomberos-SGC</t>
  </si>
  <si>
    <t>72102900
72121400;
72151700;</t>
  </si>
  <si>
    <t>Realizar la adecuación y mejoramiento de las instalaciones de la estación Venecia de la UAE Cuerpo oficial de Bomberos Bogotá-SGC</t>
  </si>
  <si>
    <t>CCE-17 Licitación pública (Obra pública)</t>
  </si>
  <si>
    <t>4-Adecuar seis (6) estaciones de Bomberos</t>
  </si>
  <si>
    <t>226-Reforzar, Adecuar y Ampliar  6 estaciones de Bomberos</t>
  </si>
  <si>
    <t>80101600;
81101500;
72101500;</t>
  </si>
  <si>
    <t>Realizar la interventoría técnica, administrativa, legal, financiera, contable, seguridad y salud en el trabajo, social y ambiental del contrato con objeto "realizar la adecuación y mejoramiento de las instalaciones de la estación Venecia de la UAE Cuerpo oficial de Bomberos Bogotá-SGC</t>
  </si>
  <si>
    <t>N/A</t>
  </si>
  <si>
    <t>1-601-F001  PAS-Otros distrito</t>
  </si>
  <si>
    <t>Prestación de servicios profesionales especializados para apoyar las actividades técnicas y gestión predial del Área de Infraestructura de la Subdirección de Gestión Corporativa-SGC</t>
  </si>
  <si>
    <t>O232020200883990_Otros servicios profesionales, técnicos y empresariales N.C.P.</t>
  </si>
  <si>
    <t>3-Poner tres (3) espacios nuevos en funcionamiento para la gestión integral de riesgos, incendios, incidentes con materiales peligrosos y rescates en todas sus modalidades</t>
  </si>
  <si>
    <t>225-Poner en funcionamiento tres (3) nuevos espacios para la gestión integral de riesgos, incendios, incidentes con materiales peligrosos y rescates en todas sus modalidades.</t>
  </si>
  <si>
    <t>14111500; 14111800;
44121700; 
44121800;
44122000; 
44122100;
44121600;
60101903;
27112300;
60105704;</t>
  </si>
  <si>
    <t>Suministro  de implementos  de  papelería y oficina para las dependencias de la UAE Cuerpo  Oficial de Bomberos-SGC</t>
  </si>
  <si>
    <t>Contratar la prestación del servicio de aseo y cafetería incluído insumos para la UAE Cuerpo Oficial de Bomberos -SGC</t>
  </si>
  <si>
    <t>44103100;
44103101;
44103103;
44103105;
44103106;
44103108;
44103110;
44103111;</t>
  </si>
  <si>
    <t>Suministro de insumos para computador e impresoras para las dependenciasde la UAE Cuerpo Oficial de Bomberos.-SGC</t>
  </si>
  <si>
    <t xml:space="preserve">55101500; </t>
  </si>
  <si>
    <t>Suministro de insumos para las impresoras de las estaciones de la UAE Cuerpo Oficial de Bomberos -SGC</t>
  </si>
  <si>
    <t>781318;
801615;</t>
  </si>
  <si>
    <t>Adición y prórroga No. 2 al contrato 409 de 2021 que tiene como objeto  " Prestar los servicios para la administración integral, conservación y custodia del archivo central, incluyendo digitalización de documentos requeridos por la UAECOB -SGC</t>
  </si>
  <si>
    <t>80161506;
811117;</t>
  </si>
  <si>
    <t>Adición y prórroga No. 1 al contrato 409 de 2021 que tiene como objeto  " Prestar los servicios para la administración integral, conservación y custodia del archivo central, incluyendo digitalización de documentos requeridos por la UAECOB -SGC</t>
  </si>
  <si>
    <t>78102206;</t>
  </si>
  <si>
    <t>Prestar a la UAE Cuerpo Oficial de Bomberos Bogotá  los servicios postales, la radicación, digitalización de correspondencia, el servicio de alistamiento básico, elaboración de guías, recolección, transporte y entrega de correo (sobres y/o paquetes) a nivel urbano, nacional e internacional, así como la administración del punto de correspondencia, con personal idóneo, equipos periféricos y motorizados, conforme lo establecido en la Ley 1369 del 2009 y demás normas concordantes y complementarios-SGC</t>
  </si>
  <si>
    <t>841315;</t>
  </si>
  <si>
    <t>Contratar los seguros de casco aviación aeronaves no tripuladas (drones) de propiedad y de aquellos por los cuales es legalmente responsable la Unidad Administrativa Especial del Cuerpo Oficial de Bomberos de Bogotá-SGC</t>
  </si>
  <si>
    <t>84131503;</t>
  </si>
  <si>
    <t>84131600; 
84131500;
84131600;</t>
  </si>
  <si>
    <t xml:space="preserve">Seleccionar propuesta para contratar con una o varias compañías de seguros legalmente autorizadas para funcionar en el país, los seguros patrimoniales, generales, de aviación y personas requeridos para la adecuada protección de los bienes e intereses patrimoniales de la UNIDAD ADMINISTRATIVA ESPECIAL CUERPO OFICIAL BOMBEROS BOGOTÁ, así como de aquellos por los que sea o fuere legalmente responsable o le corresponda asegurar en virtud de disposición legal o contractual-SGC				</t>
  </si>
  <si>
    <t>80131502;</t>
  </si>
  <si>
    <t>Arrendamiento de instalaciones estación Marichuela -SGC</t>
  </si>
  <si>
    <t>Arrendamiento de instalaciones estación Ferias--SGC</t>
  </si>
  <si>
    <t>Prestar el servicio de vigilancia y seguridad privada en la modalidad de vigilancia fija, según especificaciones técnicas, en las instalaciones donde la UAE Especial Cuerpo Oficial de Bomberos requiera-SGC</t>
  </si>
  <si>
    <t>72154010;
72101506;</t>
  </si>
  <si>
    <t>Mantenimiento ascensor nueva Estación de Bomberos de Fontibón-SGC</t>
  </si>
  <si>
    <t>Mantenimiento correctivo y preventivo con suministro de repuestos para los Ascensores Edificio Comando-SGC</t>
  </si>
  <si>
    <t>Mantenimiento correctivo y preventivo con suministro de repuestos ascensor nueva Estación de Bomberos BELLAVISTA- SGC</t>
  </si>
  <si>
    <t>72102104;, 76101503; 72154055; 70111703;
 70111706;
 70111503</t>
  </si>
  <si>
    <t>Contratar el servicio de saneamiento ambiental, corte de césped, jardinería, poda y tala de árboles para las sedes (predios y/o estaciones) de la UAECOB-SGC</t>
  </si>
  <si>
    <t xml:space="preserve">91111602;
47101568;
49241712;
</t>
  </si>
  <si>
    <t>Prestar los servicios de mantenimiento de la piscina construida en la Estación de Bomberos de Kennedy "Alejandro Lince" B5, como escenario para el acondicionamiento físico y entrenamiento del personal del Cuerpo Oficial de Bomberos de Bogotá para el cumplimiento de su misionalidad-SGC</t>
  </si>
  <si>
    <t>44121700;
44121800;
44121900;
44122000</t>
  </si>
  <si>
    <t xml:space="preserve"> Adición y prórroga No. 2 al contrato 422 de 2022 que tiene como objeto " Contratar la prestación del servicio de aseo y cafetería incluido insumos para la UAE Cuerpo Oficial de Bomberos-SGC</t>
  </si>
  <si>
    <t>Prestación de servicios de apoyo a la gestión del proceso de inventarios de la Subdirección de Gestión Corporativa.-SGC</t>
  </si>
  <si>
    <t>Prestación de servicios profesionales, para liderar el proceso de  la gestión documental de la UAE Cuerpo oficial de Bomberos .-SGC</t>
  </si>
  <si>
    <t>Prestación de servicios profesionales al área Financiera de la Subdirección de Gestión Corporativa. -SGC.</t>
  </si>
  <si>
    <t>Prestación de servicios de apoyo a la gestión en la Subdirección de Gestión Corporativa, en las actividades asociadas a los procesos y procedimientos del almacén de la Entidad.-SGC</t>
  </si>
  <si>
    <t>Prestación de servicios profesionales en la implementación,consolidación, seguimiento y reporte de los lineamientos ambientales en cada una de las sedes de la UAE CUERPO OFICIAL DE BOMBEROS BOGOTÁ-SGC</t>
  </si>
  <si>
    <t>Prestación de servicios de apoyo a la gestión del área Financiera de la Subdirección de Gestión Corporativa.-SGC</t>
  </si>
  <si>
    <t>Prestación de servicios profesionales en el acompañamiento y asistencia al área de gestión administrativa de la Subdirección de Gestión Corporativa, así como en el apoyo a la supervisión de los contratos que le sean asignados.-SGC</t>
  </si>
  <si>
    <t>Prestación de servicios de apoyo a la gestión documental de la Subdirección de Gestión Corporativa de la Unidad-SGC</t>
  </si>
  <si>
    <t>Prestación de servicios de apoyo a la gestión documental de la Subdirección de Gestión Corporativa de la Unidad.-SGC</t>
  </si>
  <si>
    <t>Prestar servicios profesionales para desarrollar e implementar sistemas de información, brindar soporte, mantenimiento y generar interoperabilidad con BOGDATA,  en la Subdirección de Gestión Corporativa -SGC.</t>
  </si>
  <si>
    <t>Prestación de servicios profesionales en el acompañamiento y asistencia al proceso de gestión documental de la UAE Cuerpo oficial de Bomberos , así como en el apoyo a la supervisión de los contratos que le sean asignados.-SGC</t>
  </si>
  <si>
    <t xml:space="preserve">Prestación de servicios profesionales para la formulación, seguimiento, ejecución de los procesos contables y gestión de pagos que se desarrollan en el área Financiera de la UAE Cuerpo Oficial de Bomberos asignados.-SGC      
</t>
  </si>
  <si>
    <t>Prestación de servicios profesionales en la implementación, consolidación, seguimiento y reporte de los lineamientos ambientales en cada una de las sedes de la entidad, enfatizado en los equipos de trabajo de la Subdirección de Gestión Corporativa-SGC</t>
  </si>
  <si>
    <t xml:space="preserve">Prestación de servicios profesionales para la ejecución de los procesos contables que se desarrollan en el Área Financiera de la UAE Cuerpo Oficial de Bomberos asignados.-SGC      </t>
  </si>
  <si>
    <t>Prestar los servicios profesionales jurídicos especializados para la verificación de la legalidad contractual en el desarrollo de las funciones de la Oficina Jurídica.</t>
  </si>
  <si>
    <t>Prestación de servicios profesionales jurídicos para orientar y apoyar el trámite y la gestión de los procesos
disciplinarios que se adelanten en la Oficina Jurídica de la Unidad Administrativa Especial Cuerpo Oficial de
Bomberos Bogotá</t>
  </si>
  <si>
    <t>Prestar los servicios profesionales jurídicos para apoyar las actividades propias de la gestión contractual que adelanta la oficina jurídica</t>
  </si>
  <si>
    <t>SGH - Prestar sus servicios de apoyo para dar cumplimiento al PEGTH en actividades especificas de desarrollo organizacional.</t>
  </si>
  <si>
    <t>SGH - Prestar servicios de apoyo a los procesos de la Subdirección de Gestión Humana de la UAE Cuerpo Oficial de Bomberos.</t>
  </si>
  <si>
    <t>SGH - Prestar sus servicios profesionales en los procesos de la Subdirección de Gestión Humana de la UAE Cuerpo Oficial de Bomberos.</t>
  </si>
  <si>
    <t>53102700;53111601;53102706;53102710</t>
  </si>
  <si>
    <t>Adquisición de uniformes para el personal operativo</t>
  </si>
  <si>
    <t>78181505;</t>
  </si>
  <si>
    <t>CONTRATAR EL SERVICIO DE REVISION TÉCNICO MECÁNICA Y DE EMISION DE GASES CONTAMINANTES PARA LOS VEHICULOS QUE FORMAN PARTE DEL PARQUE AUTOMOTOR DE LA UNIDAD ADMINISTRATIVA ESPECIAL CUERPO OFICIAL DE BOMBEROS DE BOGOTÁ - UAECOB-SBLG</t>
  </si>
  <si>
    <t>901016; 
901116; 
901417; 
901517</t>
  </si>
  <si>
    <t>SGH - Contratar la Prestación de Servicios para desarrollar el Plan de Bienestar de la UAE Cuerpo Oficial de Bomberos para la Vigencia 2023.</t>
  </si>
  <si>
    <t>85121503; 
85121603; 
85121604; 
85121608; 
85121610; 
85121611; 
85121612; 
85121702;
 85122201;</t>
  </si>
  <si>
    <t>Realizar los exámenes Médicos Ocupacionales para el personal de la UAECOB</t>
  </si>
  <si>
    <t>46181900;
46181901;</t>
  </si>
  <si>
    <t>Realizar compra de insumos y elementos de emergencia, elementos para dotación de botiquines, capacitación y formacion en temas relacionados con SST ( medicina preventiva, Seguridad industrial, psicologia), semana de la salud, actividades preventivas como campañas auditivas y visuales).</t>
  </si>
  <si>
    <t>Contratar las actividades de intervención para el programa de riesgo psicosocial</t>
  </si>
  <si>
    <t xml:space="preserve"> 46181900;
 46181901</t>
  </si>
  <si>
    <t>Adquirir elementos de protección personal para prevenir la aparición de enfermedades ocupacionales en el oido en el personal de la UAE cuerpo oficial de bomberos.</t>
  </si>
  <si>
    <t>SGH - Prestar sus servicios profesionales en la Subdirección de Gestión Humana, en los procesos contractuales y demás actividades relacionadas con la Subdirección de Gestión Humana</t>
  </si>
  <si>
    <t>O23011602300000007658 - Fortalecimiento del cuerpo oficial de bomberos bogotá</t>
  </si>
  <si>
    <t>SGH - Prestar servicios profesionales en la Subdirección de Gestión Humana, en lo relacionado con el fortalecimiento e implementación de la escuela de formación bomberil.</t>
  </si>
  <si>
    <t>SGH -Prestar sus servicios profesionales en la Subdirección de Gestión Humana, en la administración de sistema de seguridad y salud en el trabajo</t>
  </si>
  <si>
    <t>SGH - Prestar sus servicios profesionales en la gestión contractual y presupuestal de la Subdirección de Gestión Humana de la UAE Cuerpo Oficial de Bomberos.</t>
  </si>
  <si>
    <t>Adición al contrato 440 de 2022  cuyo objeto es "Prestar el servicio de mantenimiento preventivo y correctivo, de latonería y pintura, incluyendo el suministro de repuestos, insumos y mano de obra especializada para los vehículos pertenecientes al parque automotor de la U.A.E. cuerpo oficial de bomberos de bogotá d.c. grupo i (vehículos pesados)"</t>
  </si>
  <si>
    <t>Adición al contrato 431 de 2022  cuyo objeto es "El Suministro e instalación de llantas y otros servicios,  para los vehículos del parque automotor de la UAECOB"</t>
  </si>
  <si>
    <t>Prestación de servicios como conductor en los diferentes recorridos de carácter operativo que se requieran en la Subdirección Logística - SBLG</t>
  </si>
  <si>
    <t xml:space="preserve">Prestar servicios profesionales a la Oficina Asesora de Planeación, para la administración, procesamiento y análisis de la información estadística generada; apoyar el fortalecimiento, consolidación y cumplimiento de la gestión estratégica, gestión del conocimiento e Innovación de la entidad, y del MIPG </t>
  </si>
  <si>
    <t>Prestación de servicios profesionales para apoyar a la Subdirección Operativa, en la identificación, captura y consolidación de la información técnica pertienente para estructurar la estrategia de preparativos de la UAE Cuerpo Oficial de Bomberos de Bogotá SO</t>
  </si>
  <si>
    <t>Adición y Prórroga No. 1 al contrato 451-2022 cuyo objeto es  Arrendamiento de instalaciones estación Marichuela -SGC</t>
  </si>
  <si>
    <t>Adición y prórroga No.2 al contrato 034 de 2022 que tiene como objeto "Prestación de servicios profesionales, en temas jurídicos de la gestión administrativa a cargo de la Subdirección de Gestión Corporativa-SGC</t>
  </si>
  <si>
    <t>Prestar servicios profesionales en la Subdirección de Gestión Corporativa en el marco de las actividades administrativas de la Dependencia.-SGC</t>
  </si>
  <si>
    <t>Prestar servicios profesionales especializados para el seguimiento a los procesos administrativos a cargo de la Subdirección de Gestión Corporativa-SGC</t>
  </si>
  <si>
    <t>Adición y prórroga al contrato No. 004 de 2023, cuyo objeto es "SGH - Prestar servicios profesionales en el desarrollo de las actividades y de los diferentes procesos que tiene a cargo la Subdirección de Gestión Humana de la UAE Cuerpo Oficial de Bomberos de Bogotá."</t>
  </si>
  <si>
    <t>80111600</t>
  </si>
  <si>
    <t>SGH - Prestar servicios de apoyo a la gestión en cumplimiento de los planes institucionales de la Subdirección de Gestión Humana específicamente para desarrollo organizacional.</t>
  </si>
  <si>
    <t xml:space="preserve">"SGH - Prestar servicios profesionales para el fortalecimiento transversal del sistema de seguridad y salud en el trabajo". </t>
  </si>
  <si>
    <t>Prestar servicios profesionales para administrar los sistemas misionales, gestionar la apropiación del conocimiento, sus mantenimientos, actualizaciones e implementaciones del mismo.</t>
  </si>
  <si>
    <t>Prestación de servicios de apoyo a la gestión administrativa de los procesos de equipo menor a cargo de la Subdirección Logística - SBLG</t>
  </si>
  <si>
    <t>Prestación de servicios de apoyo a la gestión para la Subdirección Logística en las actividades relacionadas con el componente administrativo de los procesos a cargo de esta Subdirección - SBLG</t>
  </si>
  <si>
    <t>Prestar servicios profesionales a la Subdirección de Gestión del Riesgo apoyando las actividades de coordinación de programas y campañas de prevención._SGR</t>
  </si>
  <si>
    <t>Prestar servicios profesionales para el desarrollo de actividades de planeación y gestión para la Subdirección de Gestión del Riesgo._SGR</t>
  </si>
  <si>
    <t>Prestar servicios de apoyo a la gestion en las actividades administrativas para la Subdirección de Gestión del Riesgo._SGR</t>
  </si>
  <si>
    <t>Prestar los servicios profesionales para apoyar las actividades administrativas y contractuales que se desarrollen en la Oficina Asesora de Planeación, en el marco de los procesos y procedimientos que adelanta la dependencia.</t>
  </si>
  <si>
    <t xml:space="preserve">Prestación de servicios profesionales para apoyar actividades de gestión contractual y administrativas de la Dirección. </t>
  </si>
  <si>
    <t>Prestar servicios profesionales en el desarrollo de las actividades y de los diferentes procesos que tiene a su cargo y bajo su seguimiento la Dirección General de la UAE Cuerpo Oficial de Bomberos de Bogotá.</t>
  </si>
  <si>
    <t>Prestar servicios profesionales a la Subdirección Logística en la implementación del Plan Estratégico de Seguridad Vial -PESV- y del programa de calibración de equipos. - SBLG</t>
  </si>
  <si>
    <t>Prestación de servicios profesionales para la creación y desarrollo de las estrategias audiovisuales y la consolidación de información a cargo de la Subdirección Logística SBLG</t>
  </si>
  <si>
    <t>Prestación de servicios profesionales para apoyar a la Subdirección Operativa en el desarrollo, seguimiento y control del componente tecnológico referente al Centro de Coordinación y Comunicaciones y el relacionamiento de este con el Centro de Comando, Control, Comunicaciones y Cómputo (C4) de Bogotá D.C. SO</t>
  </si>
  <si>
    <t>Prestar por sus propios medios con plena autonomía técnica y administrativa los servicios profesionales para el desarrollo y soporte de aplicativos para el funcionamiento de la Subdirección Operativa</t>
  </si>
  <si>
    <t>Adición y prórroga No.1 al contrato 561 de 2022 que tiene como objeto " Contratar el programa integral de seguros-SGC</t>
  </si>
  <si>
    <t xml:space="preserve"> Prestar servicios profesionales para realizar acompañamiento en la elaboración y revisión de actas de liquidación y demás actuaciones administrativas requeridas en la etapa postcontractual del proceso de contratación adelantados por la Subdirección Gestión Corporativa. –SGC</t>
  </si>
  <si>
    <t>Prestar servicios profesionales con el fin de atender los trámites ambientales y los demás que requiera el área de Infraestructura de laSubdirección de Gestión Corporativa. SGC</t>
  </si>
  <si>
    <t>Prestar los servicios profesionales jurídicos en la Oficina de Control Disciplinario Interno de la entidad relacionados con los procesos disciplinarios.</t>
  </si>
  <si>
    <t>ADICION Y PRORROGA DEL CTO 443-2022 Contratar los servicios de recolección, manipulación, almacenamiento temporal, transporte y disposición final (destrucción o devolución) de pólvora, fuegos artificiales, globos y demás artículos pirotécnicos incautados por las autoridades competentes en el Distrito Capital"_SGR.</t>
  </si>
  <si>
    <t>SGH - Prestar servicios profesionales para apoyar el programa de desórdenes musculoesqueléticos de la UAE Cuerpo Oficial de Bomberos de Bogotá.</t>
  </si>
  <si>
    <t>SGH - Prestar servicios profesionales para apoyar el sistema de seguridad y salud en el trabajo en la Subdirección de Gestión Humana.</t>
  </si>
  <si>
    <t>SGH - Prestar servicios profesionales en la Subdirección de Gestión Humana de la UAE Cuerpo Oficial de Bomberos en temas de liquidación de demandas y conciliaciones</t>
  </si>
  <si>
    <t>Adición y prórroga No.2 al contrato 106 de 2022 que tiene como objeto "Prestar servicios profesionales en la Subdirección de Gestión Corporativa en el marco de las actividades administrativas de la Dependencia. SGC</t>
  </si>
  <si>
    <t xml:space="preserve">Adición y prórroga No. 2 al contrato 078 de 2022 que tiene como objeto "Prestación de Servicios Profesionales para la formulación, seguimiento y ejecución de procesos presupuestales y financieros a cargo de la Subdirección de Gestión Corporativa-SGC </t>
  </si>
  <si>
    <t>SGH - Prestar sus servicios profesionales en comunicación interna y externa referente a temas de la Escuela de formación Bomberil y del sistema de gestión de seguridad y salud en el trabajo.</t>
  </si>
  <si>
    <t>Contratar la adquisición de firma digital (token) para la U.A.E. Cuerpo Oficial de Bomberos de Bogotá - TIC</t>
  </si>
  <si>
    <t>Adición y prórroga  al contrato No. 454 de 2022 cuyo objeto es "Contratar los servicios de canales dedicados para la infraestructura LAN de internet para la UAE Cuerpo Oficial de Bomberos de Bogotá"</t>
  </si>
  <si>
    <t>Mantenimiento Equipo Menor (Pago de Pasivos)</t>
  </si>
  <si>
    <t>Adicion y Prorroga Cto 435-2022 Contratar un servicio de acceso a la herramienta LMS E-learning, que permita el desarrollo de las capacitaciones virtuales programadas en la UAECOB._SGR</t>
  </si>
  <si>
    <t xml:space="preserve">Contratar la adquisición de tarjetas de comunicación satelital de voz y datos para la UAE Cuerpo Oficial de Bomberos Bogotá. </t>
  </si>
  <si>
    <t>Adición y prórroga No 1 del Contrato 481 del 2022 "Prestar los servicios de mantenimiento de la piscina construida en la Estación de Bomberos de Kennedy "Alejandro Lince" B5, como escenario para el acondicionamiento físico y entrenamiento del personal del Cuerpo Oficial de Bomberos de Bogotá para el cumplimiento de su misional-SGC</t>
  </si>
  <si>
    <t>80101600;
81101500;</t>
  </si>
  <si>
    <t xml:space="preserve"> Adición y prórroga No. 2 al contrato 690 de 2021 que tiene como objeto "Interventoría técnica, administrativa, financiera, contable, jurídica yambiental para la Construcción de la ampliación y reforzamiento estructural de la estación de bomberos de Marichuela.-SGC </t>
  </si>
  <si>
    <t>SGH - Prestar sus servicios profesionales para dar cumplimiento al PEGTH en actividades especificas de desarrollo organizacional.</t>
  </si>
  <si>
    <t>SGH - Prestar de servicios profesionales para desarrollar actividades jurídicas en atención a los distintos requerimientos de la Subdirección de Gestión Humana</t>
  </si>
  <si>
    <t>Adición y prórroga al contrato No. 088 de 2023, cuyo objeto es "SGH - Prestar sus servicios profesionales en la gestión contractual y presupuestal de la Subdirección de Gestión Humana de la UAE Cuerpo Oficial de Bomberos".</t>
  </si>
  <si>
    <t xml:space="preserve">Prestación de servicios profesionales para apoyar a la Subdirección Operativa, en la consolidación y reporte de la información técnica para la estructuración del documento estrategia de preparativos de la UAE Cuerpo Oficial de Bomberos de Bogotá SO
</t>
  </si>
  <si>
    <t>Prestación de servicios profesionales para apoyar a la Subdirección Operativa, en la consolidación y reporte de la información técnica para la estructuración del documento estrategia de preparativos de la UAE Cuerpo Oficial de Bomberos de Bogotá SO</t>
  </si>
  <si>
    <t>Prestar por sus propios medios, con autonomía técnica y administrativa sus servicios profesionales para brindar acompañamiento jurídico a la Subdirección Operativa, en la proyección de solicitudes dirigidas a autoridades administrativas y en la sustanciación de respuestas a PQR´S y requerimientos efectuados por los entes de control y autoridades administrativas, en el marco de los procesos y procedimientos a cargo de la dependencia SO</t>
  </si>
  <si>
    <t>Prestación de servicios profesionales para acompañar a la Subdirección Operativa en la estructuración, definición y verificación de aspectos técnicos en  los diferentes procesos de contratación de bienes y servicios en las etapas precontractual, contractual y postcontractual adelantados por la dependencia - SO</t>
  </si>
  <si>
    <t>Prestar servicios profesionales jurídicos relacionados con el conocimiento de procesos disciplinarios en etapa de instrucción, asignados a la Oficina de Control Disciplinario Interno.</t>
  </si>
  <si>
    <t xml:space="preserve">Adición y prorroga al contrato 431 de 2022 cuyo objeto es "El Suministro e instalación de llantas y otros servicios, para los vehículos del parque automotor de la UAECOB" </t>
  </si>
  <si>
    <t>Prestar servicios profesionales para apoyar a la Oficina Asesora de Planeación en la actividades relacionadas con la gestión estrategica de la UAE Cuerpo Oficial de Bomberos de Bogotá</t>
  </si>
  <si>
    <t>Adición y prórroga al contrato No. 076 de 2023, cuyo objeto es "SGH - Prestar servicios profesionales para la implementación y seguimiento del sistema de gestión de seguridad y salud en el trabajo en la Subdirección de Gestión Humana".</t>
  </si>
  <si>
    <t>Adición y prórroga al contrato No. 073 de 2023, cuyo objeto es "SGH -Prestar sus servicios profesionales en la Subdirección de Gestión Humana, en la administración de sistema de seguridad y salud en el trabajo".</t>
  </si>
  <si>
    <t>Prestar servicios profesionales jurídicos en el desarrollo de las actividades y de los diferentes procesos de la Dirección General de la UAE Cuerpo Oficial de Bomberos de Bogotá</t>
  </si>
  <si>
    <t>Prestar servicios profesionales para apoyar en el seguimiento y gestión de las diferentes políticas propias de la misionalidad y funcionamiento de la UAECOB, en cumplimiento de la Gestión Estratégica y la mejora continua de la entidad</t>
  </si>
  <si>
    <t>Prestar servicios profesionales a la subdirección logística en el desarrollo y seguimiento de procesos  administrativos, financieros y técnicos a cargo del área - SBLG</t>
  </si>
  <si>
    <t>Prestación de servicios de apoyo a la gestión  para la organización, clasificación, foliación, digitalización e indexación de documentos de la Subdirección logística - SBLG</t>
  </si>
  <si>
    <t xml:space="preserve">Prestar el servicio de mantenimiento preventivo y correctivo, incluido el suministro de repuestos e insumos y mano de obra especializada para los equipos detectores de atmosfera y respiración autónoma marca Dräger, propiedad de la U.A.E. Cuerpo Oficial de Bomberos de Bogotá - SBLG	</t>
  </si>
  <si>
    <t>Prestar servicios profesionales en la Oficina de Control Interno, en la elaboración de los diferentes reportes, informes y seguimientos de ley tales como: evaluación Independiente estado Sistema Control Interno, Plan de Mejoramiento, Plan Anticorrupción y Atención al Ciudadano y publicación, Mapa de Riesgos, austeridad en el Gasto, proyectos de inversión de conformidad al Plan Anual de Auditorías</t>
  </si>
  <si>
    <t>72102900;72121400;72 51700;56101500;72121400;72151700;95121700;56111900;</t>
  </si>
  <si>
    <t>Adición y prórroga No.1 al contrato 631 de 2022 que tiene como objeto "  Realizar el mejoramiento y dotación de las instalaciones del predio la Alemana para la academia de la U.A.E Cuerpo Oficial de Bomberos Bogotá D.C-SGC"</t>
  </si>
  <si>
    <t xml:space="preserve">80101600;81101500;72101500;72121400 </t>
  </si>
  <si>
    <t>Adición y prórroga No. 1 al contrato 646 de 2022 que tiene como objeto " Interventoría técnica, administrativa, financiera, contable, jurídica, SST y ambiental para realizar el mejoramiento y dotación de las instalaciones del predio la Alemana para la academia de la U.A.E Cuerpo Oficial de Bomberos Bogotá D.C-SGC".</t>
  </si>
  <si>
    <t>Adición y prórroga No. 1 al contrato 590 de 2022 que tiene como objeto " Realizar la adecuación y mejoramiento de las instalaciones de las estaciones de Bomberos de la UAE Cuerpo oficial de Bomberos Bogotá-SGC"(Grupo 2)</t>
  </si>
  <si>
    <t>Adición y prórroga No. 1 al contrato 587 de 2022 que tiene como objeto " Realizar la interventoría técnica, administrativa, legal, financiera, contable, seguridad y salud en el trabajo, social y ambiental del contrato con objeto "realizar la adecuación y mejoramiento de las instalaciones de las estaciones de Bomberos de la UAE Cuerpo oficial de Bomberos Bogotá"-SGC</t>
  </si>
  <si>
    <t>Adición y prórroga No. 1 al contrato 586 de 2022 que tiene como objeto "  Realizar la interventoría técnica, administrativa, legal, financiera, contable, seguridad y salud en el trabajo, social y ambiental del contrato con objeto "realizar la adecuación y mejoramiento de las instalaciones de las estaciones de Bomberos de la UAE Cuerpo oficial de Bomberos Bogotá"-SGC  (Grupo o lote No. 1 Estación B-02 Central)</t>
  </si>
  <si>
    <t>81141503; 81141804;</t>
  </si>
  <si>
    <t>Prestación del servicio para inspección y certificación correspondientes a los sistemas de transporte vertical (ascensores) a cargo de la Unidad Administrativa Especial del Cuerpo Oficial de Bomberos Bogotá D.C – SGC</t>
  </si>
  <si>
    <t>Adición y prórroga No. 1 al contrato 129 de 2023 que tiene como objeto "Prestar servicios profesionales en la Subdirección de Gestión Corporativa en el marco de las actividades administrativas de la Dependencia.-SGC</t>
  </si>
  <si>
    <t>Prestación de servicios de apoyo a la gestión del diligenciamiento, seguimiento y control de las herramientas de gestión de los procedimientos y de las solicitudes que lleguen a través de la mesa de logística. - SBLG</t>
  </si>
  <si>
    <t>Prestar servicios de apoyo a la gestión en temas administrativos para el seguimiento y control de suministros y consumibles derivados de los contratos de la Subdirección Logística - SBLG</t>
  </si>
  <si>
    <t>Prestar servicios profesionales en la gestión de las solicitudes de mesa logisitica en relación con  parque automotor, equipo menor y suministros consumibles y de los requerimiento de uso y apropiación. SBLG</t>
  </si>
  <si>
    <t>Prestación de servicios profesionales jurídicos  a la Subdirección Logística, en los trámites contractuales, respuestas a los PQR´S y  a los requerimientos efectuados por los entes de control y autoridades administrativas. SBLG</t>
  </si>
  <si>
    <t xml:space="preserve">Prestar  servicios profesionales en la gestión y soporte de las  herramientas tecnológicas a cargo  de la subdirección logística - SBLG </t>
  </si>
  <si>
    <t>Prestar  servicios de apoyo en la gestión documental tanto física como digital, administrando y controlando  las bases de datos, así como la resolución de las solicitudes o requerimientos a cargo de la Subdirección logistica. -SBLG</t>
  </si>
  <si>
    <t>Prestación de servicios de apoyo a la gestión como conductor de acuerdo a las necesidades de desplazamiento que requiera la Subdirección Logística - SBLG</t>
  </si>
  <si>
    <t>Prestación de servicios profesionales en el seguimiento a los diferentes procesos y procedimientos a cargo de la Subdirección, evaluando y conceptuando su impacto ambiental. SBLG</t>
  </si>
  <si>
    <t>Prestar servicios profesionales en la definición y gestión de procedimientos, lineamientos ambientales y de SST de los procesos y contratos a cargo de la subdirección, así como la gestión y manejo de la herramienta tecnológica. – SBLG</t>
  </si>
  <si>
    <t>Prestación de servicios profesionales en la gestión precontractual, contractual y de liquidación a cargo de la Subdirección Logística. - SBLG</t>
  </si>
  <si>
    <t>Prestación de servicios de apoyo a la gestión para realizar el diagnóstico, los mantenimientos preventivos y correctivos a fin de garantizar la permanente  funcionalidad de los equipos menores pertenecientes a la UAECOB, en la Subdirección Logística - SBLG</t>
  </si>
  <si>
    <t xml:space="preserve">Prestación de servicios de apoyo a la gestión administrativa y documental en el trámite y  atención de requerimientos del personal operativo logístico de la Subdirección Logística, - SBLG </t>
  </si>
  <si>
    <t>Prestación de servicios profesionales para realizar el seguimiento y monitoreo a los diferentes procesos y procedimientos del equipo menor a cargo de la Subdirección Logística - SBLG</t>
  </si>
  <si>
    <t>Prestación de servicios de apoyo a la gestión en el registro y actualización de las bases de datos de los procesos relacionados con consumibles y suministros y equipo menor a cargo de esta Subdirección.  - SBLG</t>
  </si>
  <si>
    <t>Prestación de servicios profesionales de seguimiento operativo del equipo menor a través del , monitoreo, la  programación  y cumplimiento de los mantenimientos preventivos y correctivos del equipo menor. SBLG</t>
  </si>
  <si>
    <t>Prestación de servicios profesionales en la gestión integral del equipo menor a cargo de la Subdirección Logística garantizando su operatividad y funcionamiento. SBLG</t>
  </si>
  <si>
    <t>Prestación de servicios profesionales en la gestión administrativa y financiera del mantenimiento del parque automotor de la entidad, a cargo de la Subdirección Logística - SBLG</t>
  </si>
  <si>
    <t>Prestación de servicios profesionales en la gestión presupuestal y financiera que requiera los procesos y procedimiento de la Subdirección Logística, así como el seguimiento al cumplimiento de las metas e indicadores adoptados. SBLG</t>
  </si>
  <si>
    <t>Prestación de servicios profesionales en la gestión, control, seguimiento y ejecución  de los planes y proyectos de la Subdirección - SBLG</t>
  </si>
  <si>
    <t>Prestación de servicios profesionales en la elaboración, preparación y sustentación de los documentos precontractuales, contractuales y poscontractuales a cargo de la Sudirección Logística. SBLG</t>
  </si>
  <si>
    <t>Prestación de servicios de apoyo a la gestión del correcto funcionamiento de los equipos menores pertenecientes a la UAECOB, en la Subdirección Logística - SBLG</t>
  </si>
  <si>
    <t xml:space="preserve">Prestación de servicios de apoyo a la gestión administrativa del parque automotor que administra la Subdirección Logística - SBLG. </t>
  </si>
  <si>
    <t>Prestación de servicios profesionales para acompañar a la Subdirección Operativa en la identificación de necesidades técnicas que requiere suplir la UAE Cuerpo Oficial de Bomberos de Bogotá, a partir de los datos estadísticos obtenidos de las emergencias y requerimientos de los entes externos e internos - SO</t>
  </si>
  <si>
    <t>Adición al contrato No. 518 de 2022, cuyo objeto es "Realizar los exámenes Médicos Ocupacionales para el personal de la UAECOB"</t>
  </si>
  <si>
    <t>Adición y prorroga del CTO 573de 2022 "Suministro de espuma y concentrado de espuma y adquisición, mantenimiento y recarga de extintores, cilindros y tanques de las maquinas extintoras."</t>
  </si>
  <si>
    <t>81141807;
40151517;
76121701;
83101500;</t>
  </si>
  <si>
    <t>Prestar el servicio de recolección y diposición final de los residuos sanitarios y aguas no tratadas de las instalaciones de la Unidad Administrativa Especial Cuerpo Oficial de Bomberos Bogotá -SGC</t>
  </si>
  <si>
    <t>Prestar servicios profesionales con autonomía técnica y administrativa,   en la administracion, gestión y para mantener las bases de datos de la UAE Cuerpo Oficial de Bomberos Bogotá. -TIC</t>
  </si>
  <si>
    <t>Prestar servicios profesionales con plena autonomía técnica y administrativa, en la administración y gestión de la infraestructura tecnológica de servidores y componentes relacionados con los que cuenta la UAE Cuerpo Oficial de Bomberos de Bogotá - TIC</t>
  </si>
  <si>
    <t xml:space="preserve">Prestar Servicios Profesionales con plena autonomía técnica y administrativa, como gestor de la Política del Sistema de Gestión de Seguridad de la Información - SGSI, Gobierno Digital, Transformación Digital y Datos abiertos que contribuyan a la estandarización y lineamientos en la U.A.E Cuerpo Oficial de Bomberos Bogotá. -TIC </t>
  </si>
  <si>
    <t>Prestar servicios profesionales con plena autonomía técnica y administrativa, en las actividades de cooperación Internacional, así como apoyar en el desarrollo en la formulación de planes y programas de la OAP.</t>
  </si>
  <si>
    <t>Prestar los servicios profesionales con autonomía técnica y administrativa  en las actividades de cooperación técnica interinstitucional con las Entidades del sector a nivel nacional e internacional-OAP</t>
  </si>
  <si>
    <t>81111500;81112100</t>
  </si>
  <si>
    <t>Contratar la renovación de la membresía LACNIC para mantener la disponibilidad del bloque de direcciones IPV6 adquirido por la U.A.E. Cuerpo Oficial de Bomberos de Bogotá</t>
  </si>
  <si>
    <t>Prestar servicios profesionales con plena autonomía técnica y administrativa y bajo sus propios medios, en la administración, actualización, desarrollo y mantenimiento del Sistema Integrado de Administración de Personal - SIAP. -TIC</t>
  </si>
  <si>
    <t>Prestar Servicios Profesionales  con autonomía técnica y administrativa, en la administración, y gestión de  los sistemas de información y aplicativos con los que cuenta la UAE Cuerpo Oficial de Bomberos Bogotá. -TIC</t>
  </si>
  <si>
    <t>Adicion y prorroga contrato No 086-2023 
 Prestar servicios profesionales para las actividades de aglomeraciones de público y Eventos con Pirotecnia  desarrollados en el Distrito._SGR</t>
  </si>
  <si>
    <t>Adicion y prorroga contrato No 090-2023
 Apoyar las actividades de la Subdirección de Gestión del riesgo relacionadas con las aglomeraciones de público  y Eventos con Pirotecnia  desarrollados en el Distrito._SGR</t>
  </si>
  <si>
    <t>Prestación de servicios profesionales en la estructuración, definición y seguimiento de los aspectos técnicos y financieros de la gestión contractual a cargo de Subdirección Logística - SBLG</t>
  </si>
  <si>
    <t xml:space="preserve">Adición y prorroga del Cto 441 de 2022 cuyo objeto es " Prestar el servicio demantenimiento preventivo y correctivo, de latonería y pintura,incluyendo el suministro de repuestos, insumos y mano de obraespecializada para los vehículos pertenecientes al parque automotor dela U.A.E. Cuerpo Oficial de Bomberos de Bogotá D.C. GRUPO II (VEHÍCULOSLIVIANOS), </t>
  </si>
  <si>
    <t>Prestar servicios profesionales a la Subdirección Operativa para apoyar y  gestionar las actividades relacionadas con el sistema de gestión de calidad y con el sistema de control interno. SO</t>
  </si>
  <si>
    <t>SGH - Prestar servicios profesionales para apoyar el seguimiento del sistema de gestión de seguridad y salud en el trabajo en la Subdirección de Gestión Humana.</t>
  </si>
  <si>
    <t>SGH - Prestar servicios profesionales a la entidad para fortalecer y posicionar los diferentes programas asociados a la misionalidad de la UAECOB.</t>
  </si>
  <si>
    <t>Adicion y prorroga del contrato No. 274 de 2023, cuyo objeto es: "Prestar servicios profesionales para administrar los sistemas misionales, gestionar la apropiación del conocimiento, sus mantenimientos, actualizaciones e implementaciones del mismo"</t>
  </si>
  <si>
    <t>Prestar servicios profesionales para apoyar el portafolio de productos, servicios tecnológicos, gestión y administración de la herramienta de mesa de ayuda dispuesta por la UAE Cuerpo Oficial de Bomberos de Bogotá - TIC.</t>
  </si>
  <si>
    <t>SGH - Prestar servicios profesionales en  la Subdirección de Gestión Humana de la UAE Cuerpo Oficial de Bomberos de Bogotá D.C. en lo relacionado con los procesos de administración y aplicación de los instrumentos archivísticos vigentes en el archivo de gestión de la Subdirección.</t>
  </si>
  <si>
    <t>Adición y prórroga al contrato No. 348 de 2023, cuyo objeto es "SGH - Prestar sus servicios profesionales en la gestión contractual y presupuestal de la Subdirección de Gestión Humana de la UAE Cuerpo Oficial de Bomberos".</t>
  </si>
  <si>
    <t>SGH - Prestar servicios profesionales para el fortalecimiento transversal del sistema de seguridad y salud en el trabajo.</t>
  </si>
  <si>
    <t>SGH - Ejecutar actividades de apoyo a la gestión en  la Subdirección de Gestión Humana de la UAE Cuerpo Oficial de Bomberos de Bogotá D.C. en lo relacionado con los procesos de actualización, custodia y manejo del archivo de gestión de la Subdirección.</t>
  </si>
  <si>
    <t>81101500;
80101600</t>
  </si>
  <si>
    <t xml:space="preserve"> Adición y prórroga No. 1 al contrato 510 de 2022  que tiene como objeto "Elaboración de estudios y diseños técnicos para la construcción de la estación de bomberos de Caobos Salazar B-13 de la UAE Cuerpo Oficial de Bomberos de Bogotá – SGC</t>
  </si>
  <si>
    <t>Adición y prórroga No. 1 al contrato 537 de 2022  que tiene como objeto "Interventoría técnica, administrativa, financiera, contable, jurídica y ambiental para la elaboración de estudios y diseños técnicos para la construcción de la estación de Bomberos de Caobos Salazar B-13 de la UAE Cuerpo Oficial de Bomberos de Bogotá – SGC</t>
  </si>
  <si>
    <t>SGH - Prestar de servicios profesionales para desarrollar actividades jurídicas relacionadas con los diferentes procesos administrativos de la Subdirección de Gestión Humana.</t>
  </si>
  <si>
    <t>Prestación de servicios profesionales de carácter administrativo y financiero en el marco de los procesos y procedimientos a cargo de la Subdirección Operativa - SO</t>
  </si>
  <si>
    <t>O23011602300000007658 - FORTALECIMIENTO DEL CUERPO OFICIAL DE BOMBEROS BOGOTÁ</t>
  </si>
  <si>
    <t>72121400;72151700;95121700</t>
  </si>
  <si>
    <t>Adición y Prórroga No. 2 al contrato 683 de 2021 que tiene como objeto"Construcción de la Ampliación y Reforzamiento Estructural de la Estaciónde Bomberos de Marichuela.-SGC</t>
  </si>
  <si>
    <t>Adición y Prórroga No. 2 al contrato 683 de 2021 que tiene como objeto"Construcción de la Ampliación y Reforzamiento Estructural de la Estación de Bomberos de Marichuela.-SGC</t>
  </si>
  <si>
    <t>72101500;73152100</t>
  </si>
  <si>
    <t>Pago pasivo exigible del contrato 705 de 2021 cuyo objeto es "Contratar el servicio de Mantenimiento de aires acondicionados de la UAECOB"</t>
  </si>
  <si>
    <t>Prestación de servicios de apoyo a la gestión de los procesos a cargo de la Subdirección Logística - SBLG</t>
  </si>
  <si>
    <t>PROPÓSITO PDD</t>
  </si>
  <si>
    <t>PROGRAMA PDD</t>
  </si>
  <si>
    <t>PROYECTO INVERSIÓN</t>
  </si>
  <si>
    <t>APROPIACIÓN INVERSIÓN 2022</t>
  </si>
  <si>
    <t>PROGRAMACIÓN INVERSIÓN 2023</t>
  </si>
  <si>
    <t>VARIACIÓN</t>
  </si>
  <si>
    <t>COD</t>
  </si>
  <si>
    <t>NOMBRE</t>
  </si>
  <si>
    <t>$</t>
  </si>
  <si>
    <t>%</t>
  </si>
  <si>
    <t>Cambiar nuestros hábitos de vida para reverdecer a Bogotá y adaptarnos y mitigar el cambio climático</t>
  </si>
  <si>
    <t>Eficiencia en la atención de emergencias</t>
  </si>
  <si>
    <t>Fortalecimiento del Cuerpo Oficial de Bomberos Bogotá</t>
  </si>
  <si>
    <t>Construir Bogotá Región con gobierno abierto, transparente y ciudadanía consciente</t>
  </si>
  <si>
    <t>Gestión Pública Efectiva</t>
  </si>
  <si>
    <t>Fortalecimiento de la infraestructura de tecnología informática y de comunicaciones de la UAECOB Bogotá</t>
  </si>
  <si>
    <t>Fortalecimiento de la planeación y gestión de la UAECOB Bogotá</t>
  </si>
  <si>
    <t>CCE-15||02 Contratación régimen especial (con ofertas)  - Enajenación de bienes para intermediarios idóneos</t>
  </si>
  <si>
    <t xml:space="preserve">ASIGNACIÓN 2023 INVERSIÓN </t>
  </si>
  <si>
    <t>PROYECTO 
7655 - MIPG</t>
  </si>
  <si>
    <t>PAA Vr 0</t>
  </si>
  <si>
    <t>PAA Vr 1</t>
  </si>
  <si>
    <t>PAA Vr 2</t>
  </si>
  <si>
    <t>PAA Vr 3</t>
  </si>
  <si>
    <t>PAA Vr 4</t>
  </si>
  <si>
    <t>ÁREA</t>
  </si>
  <si>
    <t>S.G. HUMANA</t>
  </si>
  <si>
    <t>S.G. CORPORATIVA</t>
  </si>
  <si>
    <t>S. LOGÍSTICA</t>
  </si>
  <si>
    <t>S.G. RIESGO</t>
  </si>
  <si>
    <t>S. OPERATIVA</t>
  </si>
  <si>
    <t>OF. PLANEACIÓN</t>
  </si>
  <si>
    <t>TECNOLOGÍA</t>
  </si>
  <si>
    <t>OF. JURÍDICA</t>
  </si>
  <si>
    <t>OF. C. INTERNO</t>
  </si>
  <si>
    <t>OF. C. DISCIPLINARIO</t>
  </si>
  <si>
    <t>DIRECCIÓN</t>
  </si>
  <si>
    <t>COMUNICACIONES</t>
  </si>
  <si>
    <t>TOTAL</t>
  </si>
  <si>
    <t>PROYECTO 
7658 - MISIONAL</t>
  </si>
  <si>
    <t>PROYECTO 
7637 - TECNOLOGÍA</t>
  </si>
  <si>
    <t>CONCEPTO DE GASTO
O232020200882199_Otros servicios jurídicos n.c.p.</t>
  </si>
  <si>
    <t>CONCEPTO DE GASTO
O232020200883990_Otros servicios profesionales, técnicos y empresariales n.c.p.</t>
  </si>
  <si>
    <t>CONCEPTO DE GASTO
O23201010030208_Otra maquinaria para usos especiales y sus partes y piezas</t>
  </si>
  <si>
    <t>CONCEPTO DE GASTO
O2320201003053543003_Aditivos para gasolina, aceites minerales y combustible en general</t>
  </si>
  <si>
    <t>CONCEPTO DE GASTO
O2320201003083899997_Artículos n.c.p. para protección</t>
  </si>
  <si>
    <t>CONCEPTO DE GASTO
O2320202005040554590-Otros servicios especializados de la construcción</t>
  </si>
  <si>
    <t>CONCEPTO DE GASTO
O232020200663393_Otros servicios de comidas contratadas</t>
  </si>
  <si>
    <t>CONCEPTO DE GASTO
O232020200883590_Otros servicios veterinarios</t>
  </si>
  <si>
    <t>CONCEPTO DE GASTO
O232020200885250_Servicios de protección (guardas de seguridad)</t>
  </si>
  <si>
    <t>CONCEPTO DE GASTO
O232020200885330_Servicios de limpieza general</t>
  </si>
  <si>
    <t>CONCEPTO DE GASTO
O23202020088714199_Servicio de mantenimiento y reparación de vehículos automotores n.c.p.</t>
  </si>
  <si>
    <t>CONCEPTO DE GASTO
O23202020088715999_Servicio de mantenimiento y reparación de otros equipos n.c.p.</t>
  </si>
  <si>
    <t>META PLAN</t>
  </si>
  <si>
    <t>META PROYECTO 7658</t>
  </si>
  <si>
    <t>TOTAL 2022</t>
  </si>
  <si>
    <t>TOTAL 2023 ANTEPROYECTO</t>
  </si>
  <si>
    <t>AJUSTE 3 NOV</t>
  </si>
  <si>
    <t>PAA V0</t>
  </si>
  <si>
    <t>DIFERENCIA</t>
  </si>
  <si>
    <t>1-Implementar 100 % del plan de gestión de riesgo para los procesos de conocimiento y reducción en incendios, incidentes con materiales peligrosos y escenarios de riesgos.</t>
  </si>
  <si>
    <t>TOTAL 7658</t>
  </si>
  <si>
    <t>META PROYECTO 7637</t>
  </si>
  <si>
    <t>TOTAL 2023</t>
  </si>
  <si>
    <t>1-Implementar 100% del modelo de seguridad y privacidad de la información en la UAECOB alineado a la Política de Gobierno Digital</t>
  </si>
  <si>
    <t>2-Implementar 100% de la arquitectura TI conforme a las necesidades de la UAECOB</t>
  </si>
  <si>
    <t>TOTAL 7637</t>
  </si>
  <si>
    <t>META PROYECTO 7655</t>
  </si>
  <si>
    <t>Implementar 1 plan de ajuste y sostenibilidad del MIPG en la UAECOB</t>
  </si>
  <si>
    <t>Elaborar 1 plan de preparativos y continuidad del servicio para la UAECOB ante la eventual ocurrencia de un desastre en el Distrito Capital</t>
  </si>
  <si>
    <t>TOTAL 7655</t>
  </si>
  <si>
    <t>Implementar 100 % del plan de gestión de riesgo para los procesos de conocimiento y reducción en incendios, incidentes con materiales peligrosos y escenarios de riesgos.</t>
  </si>
  <si>
    <t>Implementar 100% del programa de capacitación, formación y entrenamiento al personal uniformado de la Unidad Administrativa Cuerpo Oficial de Bomberos de Bogotá</t>
  </si>
  <si>
    <t>Poner tres (3) espacios nuevos en funcionamiento para la gestión integral de riesgos, incendios, incidentes con materiales peligrosos y rescates en todas sus modalidades</t>
  </si>
  <si>
    <t>Adecuar seis (6) estaciones de Bomberos</t>
  </si>
  <si>
    <t>Implementar 100% de un programa de renovación de equipo menor, herramientas, accesorios y elementos de protección personal en la UAECOB</t>
  </si>
  <si>
    <t>Implementar 100% de un programa de renovación de vehículos de la Unidad Administrativa Cuerpo Oficial de Bomberos de Bogotá</t>
  </si>
  <si>
    <t>Implementar 100% de un programa de mantenimiento a las estaciones de bomberos de Bogotá</t>
  </si>
  <si>
    <t>Implementar 100% de un programa de suministros y consumibles para la atención de emergencias en la UAECOB</t>
  </si>
  <si>
    <t>Ejecutar el 100% del programa de mantenimiento de vehículos y equipo menor de la UAECOB</t>
  </si>
  <si>
    <t>Implementar 100% del modelo de seguridad y privacidad de la información en la UAECOB alineado a la Política de Gobierno Digital</t>
  </si>
  <si>
    <t>Implementar 100% de la arquitectura TI conforme a las necesidades de la UAECOB</t>
  </si>
  <si>
    <t>Habilitar 3 servicios ciudadanos digitales básicos en la UAECOB</t>
  </si>
  <si>
    <t xml:space="preserve">Adición y prórroga No. 3 al contrato 690 de 2021 que tiene como objeto "Interventoría técnica, administrativa, financiera, contable, jurídica y ambiental para la Construcción de la ampliación y reforzamiento estructural de la estación de bomberos de Marichuela. -SGC"						</t>
  </si>
  <si>
    <t>SGH - Prestar de servicios profesionales para desarrollar actividades jurídicas relacionadas con los diferentes requerimientos administrativos y contractuales de la Subdirección de Gestión Humana.</t>
  </si>
  <si>
    <t>Adicion y Prorroga al contrato No. 327 de 2023 Cuyo objeto es: "Prestar servicios profesionales para asesorar a la Dirección General en las estrategias de fortalecimiento de los procesos y procedimientos, de sostenibilidad, planes y programas que sean requeridos en el marco de la misionalidad de la UAECOB".</t>
  </si>
  <si>
    <t xml:space="preserve">O2320202005040554590_Otros servicios especializados de la construcción </t>
  </si>
  <si>
    <t>Adición No. 1 al contrato 278 de 2023 con objeto "Seleccionar propuesta para contratar con una o varias compañías de seguros legalmente autorizadas para funcionar en el país, los seguros patrimoniales, generales, de aviación y personas requeridos parala adecuada protección de los bienes e intereses patrimoniales de la UNIDAD ADMINISTRATIVA ESPECIAL CUERPO OFICIAL BOMBEROS BOGOTÁ, así como de aquellos por los que sea o fuere legalmente responsable o le corresponda asegurar en virtud de disposición legal o contractual-SGC</t>
  </si>
  <si>
    <t>Mantenimiento preventivo y correctivo de la red contraincendios  y sistemas de detección de alarmas contra incendios de las intalaciones de la UAE- Cuerpo Oficial de Bomberos Bogota SGC</t>
  </si>
  <si>
    <t>Prestar servicios de apoyo a la gestión en los aspectos jurídicos de la Subdirección Logística -SBLG</t>
  </si>
  <si>
    <t>Adquisición de elementos de apicultura para atención de incidentes - SBLG</t>
  </si>
  <si>
    <t>Prestar servicios de apoyo para la gestión en asuntos de comunicaciones y prensa en la Dirección General, y demás acciones encaminadas al cumplimiento de las estrategias comunicacionales de la UAECOB</t>
  </si>
  <si>
    <t>Prestar servicios profesionales para apoyar a la Oficina Asesora de Planeación en las actividades relacionadas con el proceso de gestión estratégica, politicas de participacion ciudadana y transparencia.</t>
  </si>
  <si>
    <t>Prestación de servicios de apoyo a la gestión para el desarrollo de actividades relacionadas con el proceso de gestión estratégica, el sistema de control interno y actividades del MIPG</t>
  </si>
  <si>
    <t>Prestación de servicios profesionales para uso y apropiación relacionados con la gestión administrativa de las herramientas tecnológicas de la Subdirección Logística - SBLG</t>
  </si>
  <si>
    <t>Adición al CTO 433 de 2022, cuyo objeto es "Proveer el suministro de elementos de bioseguridad, trauma kit e insumos medicos basicos para la atencion de emergencias."</t>
  </si>
  <si>
    <t>Prestar servicios Profesionales en la Subdirección Logística, en actividades relacionadas con la gestión y sostenimiento del parque automotor de la UAE Cuerpo Oficial de Bomberos de Bogotá. SBLG</t>
  </si>
  <si>
    <t>Suministro de insumos para lavadoras-SGC</t>
  </si>
  <si>
    <t xml:space="preserve">Adición No. 1 al contrato 366 de 2023 que tiene como objeto"Suministro de materiales, equipos y herramientas para el mejoramiento integral de las instalaciones de la UAE Cuerpo Oficial de Bomberos  -SGC </t>
  </si>
  <si>
    <t>23271800;
26111700;
26121500;
26121600;
27111800:
27111900:
27112000;
27112100;
27112800;</t>
  </si>
  <si>
    <t>30111600
39121700
39121900
40141700
40172900</t>
  </si>
  <si>
    <t>SGH - Suministro de elementos logísticos pedagógicos necesario para el desarrollo de entrenamiento en cursos especializados, entrenamiento misional, capacitación en el puesto de trabajo para el personal operativo y administrativo de la Unidad Administrativa Especial Cuerpo Oficial de Bomberos, en el marco de los programas de capacitación, formación y entrenamiento.</t>
  </si>
  <si>
    <t>Prórroga al contrato No. 450 de 2021, cuyo objeto es "Seleccionar una administradora de riesgos laborales (ARL) para la prevención, atención de accidentes de trabajo, enfermedades laborales de los funcionarios y contratistas de la Unidad Administrativa Especial Cuerpo Oficial de Bomberos de Bogotá, la asesoría, asistencia técnica del Sistema de Gestión de Seguridad y Salud en el Trabajo, establecida en la normatividad legal vigente de riesgos laborales".</t>
  </si>
  <si>
    <t>Prestar servicios profesionales en la Dirección General para  el manejo de redes sociales de la entidad y apoyo periodistico requerido en el marco de la estrategia de comunicaciones y prensa de la UAECOB</t>
  </si>
  <si>
    <t>Adición y prórroga al contrato 64 de 2023 cuyo objeto es: "Prestar los servicios profesionales jurídicos para apoyar las actuaciones procesales y procedimentales de la Oficina Jurídica"</t>
  </si>
  <si>
    <t>ADICIÓN Y PRORROGA CTO 540-2022 Prestación de servicios como operador logístico, relacionados con la organización, administración, ejecución y demás acciones logísticas con el fin de promover temáticas que fortalezcan la misionalidad de la entidad a través de la protección de la vida, el medio ambiente y el patrimonio_SGR.</t>
  </si>
  <si>
    <t>Adición y prórroga No.1 al contrato 082 de 2023 con objeto "Prestación de servicios de apoyo a la gestión del proceso de inventarios de la Subdirección de Gestión Corporativa.-SGC</t>
  </si>
  <si>
    <t>Adición y prórroga No.1 al contrato 101 de 2023 con objeto "Prestación de servicios de apoyo a la gestión del proceso de inventariosde la Subdirección de Gestión Corporativa.-SGC</t>
  </si>
  <si>
    <t>72101509, 
49191600</t>
  </si>
  <si>
    <t>Suministro de concentrado de espuma y extintores y el mantenimiento, recarga de extintores, cilindros y tanques de las maquinas extintoras - SBLG</t>
  </si>
  <si>
    <t>Adquirir un motor fuera de borda para el equipo especializado UARBO de la UAE Cuerpo Oficial de Bomberos Bogotá - SO</t>
  </si>
  <si>
    <t>25131600, 25131700, 25131800</t>
  </si>
  <si>
    <t>Adquisición de UAS para el grupo especializado SART de la UAECOB - SO</t>
  </si>
  <si>
    <t>O23201010030208 Otra máquinaria para usos especiales y sus partes</t>
  </si>
  <si>
    <t>Adicionar y prorrogar el contrato No. 620 de 2022  cuyo objeto es "Prestar los servicios de mantenimiento, soporte técnico, mejoras y
actualizaciones de Aranda utilizado por la UEACOB"</t>
  </si>
  <si>
    <t>O2120202008078715303 _Servicio de mantenimiento de cámaras de televisión</t>
  </si>
  <si>
    <t>Adición y prórroga  al contrato No. 557 de 2023 cuyo objeto es "Contratar el alquiler de equipos tecnológicos, periféricos y servicios 
complementarios para la U.A.E. Cuerpo Oficial de Bomberos de 
Bogotá. – TI"</t>
  </si>
  <si>
    <t>Adición y prórroga  al contrato No. 558 de 2023 cuyo objeto es "Contratar el alquiler de equipos tecnológicos, periféricos y servicios 
complementarios para la U.A.E. Cuerpo Oficial de Bomberos de 
Bogotá. – TI"</t>
  </si>
  <si>
    <t>Contratar el alquiler de Tablets y portátil especializado para la UAE Cuerpo Oficial de Bomberos Bogotá - TIC</t>
  </si>
  <si>
    <t>Reconocimiento y pago Pasivo Exigible contrato de prestación servicios No 469 de 2020 cuyo objeto es: "prestación de servicios profesionales en la Oficina Asesora de Planeación, en el marco de los procesos y procedimientos a cargo de la dependencia".</t>
  </si>
  <si>
    <t>SGH - Prestar sus servicios profesionales en la Subdirección de Gestión Humana en el proceso de liquidación de demandas y conciliaciones administrativas.</t>
  </si>
  <si>
    <t>Prestación de servicios de apoyo a la gestión administrativa, documental y actualización de bases de datos a cargo del equipo menor de la Subdirección Logística - SBLG</t>
  </si>
  <si>
    <t>Pago pasivo exigible del contrato 002 de 2021 cuyo objeto es "Prestar sus servicios profesionales brindando acompañamiento legal en la Subdirección de Gestión Humana de la UAE Cuerpo Oficial de Bomberos"</t>
  </si>
  <si>
    <t>“Adición y prórroga del contrato 136 de 2023, cuyo objeto es: "Prestar servicios profesionales a la Dirección General en actividades de articulación interinstitucional entre las diferentes dependencias, entidades del sector, y demás que estén relacionadas con la misionalidad de la UAECOB”</t>
  </si>
  <si>
    <t>O21202020080282130 Servicios de documentación y certificación jurídica</t>
  </si>
  <si>
    <t>Adición y prórroga del contrato 314 de 2023, cuyo objeto es: "Prestar servicios profesionales en la Dirección General para el diseño gráfico y apoyo periodístico requerido en el marco de la estrategia de comunicaciones y prensa de la UEACOB</t>
  </si>
  <si>
    <t>81112400; 81112300;81112500;81112200</t>
  </si>
  <si>
    <t>Contratar el servicio de nube publica para la U.A.E Cuerpo Oficial de Bomberos de Bogotá - TIC</t>
  </si>
  <si>
    <t xml:space="preserve"> (Pago de Pasivos) - CTO 348 DE 2019, Suministro de alimentación e hidratación</t>
  </si>
  <si>
    <t>Adición y prórroga al contrato 001 de 2023 cuyo objeto es: "Prestar los servicios profesionales jurídicos especializados para la verificación de la legalidad contractual en el desarrollo de las funciones de la Oficina Jurídica"</t>
  </si>
  <si>
    <t>80111600;</t>
  </si>
  <si>
    <t>Adición y prórroga No. 1 al contrato 303 de 2023 que tiene como objeto "Prestar servicios profesionales para acompañar jurídicamente los procesos y procedimientos del área de infraestructura de la Subdirección de Gestión Corporativa.SGC</t>
  </si>
  <si>
    <t>Adición y prórroga No. 1 al contrato 110 de 2023 que tiene como objeto " Prestación de servicios profesionales especializados para apoyar las actividades técnicas del Área de Infraestructura de la Subdirección de Gestión Corporativa-SGC</t>
  </si>
  <si>
    <t>Prestación de servicios profesionales para adelantar  actividades técnicas  y trámites administrativos  del Área de Infraestructura de la Subdirección de Gestión Corporativa-SGC</t>
  </si>
  <si>
    <t>Adición y prórroga No. 1 al contrato 182 DE 2023 que tiene como objeto " Prestación de servicios profesionales especializados para articular y revisar los procesos y procedimientos del área de infraestructura, así como en el apoyo a la supervisión de los contratos que le sean asignados</t>
  </si>
  <si>
    <t>Adición y prórroga No. 1 al contrato 155 DE 2023 que tiene como objeto "Prestación de Servicios Profesionales en temas financieros, administrativas y misionales para apoyar los proyectos de infraestructura de la Subdirección de Gestión Corporativa.-SGC</t>
  </si>
  <si>
    <t>Adición y prórroga No. 1 al contrato 270 de 2023 que tiene como objeto " Prestación de Servicios Profesionales para la formulación, seguimiento y ejecución de procesos presupuestales y financieros a cargo de la Subdirección de Gestión Corporativa -SGC</t>
  </si>
  <si>
    <t>Adición y prórroga No. 1 al contrato 324 de 2023 que tiene como objeto "Prestación de servicios profesionales especializados para apoyar las actividades técnicas del Área de Infraestructura de la Subdirección de Gestión Corporativa-SGC</t>
  </si>
  <si>
    <t>Adición y prórroga No. 1 al contrato 173 de 2023 que tiene como objeto"Prestar servicios profesionales con el fin de atender los trámites ambientales y los demás que requiera el área de Infraestructura de la Subdirección de Gestión Corporativa. SGC</t>
  </si>
  <si>
    <t xml:space="preserve">Adición No. 1 al contrato 134 de 2023 que tiene como objeto mantenimiento preventivo y correctivo, que incluye el suministro de insumos y repuestos de las lavadoras y secadoras industriales ubicadas en las estaciones de bomberos de la UAE Cuerpo Oficial de Bomberos de Bogotá-SGC, </t>
  </si>
  <si>
    <t>Reconocimiento y pago Pasivo Exigible contrato de suministros No 540 de 2021 suscrito con CENTRO FERRETERO MAFER SAS, para el suministro de materiales, equipos y herramientas para el mejoramiento integral de as instalaciones de la UAE Cuerpo Oficial de Bomberos de Bogotá. Reconoce el valor de $7´959.086 según factura No. DOC CS 26105 del 09 de agosto de 2022.SGC.</t>
  </si>
  <si>
    <t>Reconocimiento y pago Pasivo Exigible contrato No 683 de 2021 suscrito con CONSORCIO RYC</t>
  </si>
  <si>
    <t>O2320202005040554590_Otros servicios especializados de la construcción</t>
  </si>
  <si>
    <t>Reconocimiento y pago Pasivo Exigible contrato No 690 de 2021 suscrito con GAVINCO INGENIEROS CONSULTORES S.A.S</t>
  </si>
  <si>
    <t>Reconocimiento y pago Pasivo Exigible contrato No 401 de 2018  suscrito con CONSORCIO CP001-UAE</t>
  </si>
  <si>
    <t xml:space="preserve">Reconocimiento y pago Pasivo Exigible contrato No 714 de 2021  suscrito con OSCAR HERNANDO DUQUE DUQUE </t>
  </si>
  <si>
    <t>Reconocimiento y pago Pasivo Exigible contrato No 331 de 2019  suscrito con PROMCIVILES SAS</t>
  </si>
  <si>
    <t>Reconocimiento y pago Pasivo Exigible contrato No 620 DE 2020  suscrito con MAURICIO RAFAEL PABA PINZON</t>
  </si>
  <si>
    <t>Realizar el mantenimiento predictivo, preventivo, correctivo, mejoras y dotación a las instalaciones de las dependencias de la Unidad Administrativa Especial Cuerpo Oficial de Bomberos de Bogotá D.C. - SGC</t>
  </si>
  <si>
    <t>56101500
;561217</t>
  </si>
  <si>
    <t>Adición No. 1 al contrato 634 de 2022 que tiene como objeto "  Suministro de muebles, enseres, maquinaria, equipo y demás elementos quesean requeridos por las diferentes estaciones y edificio comando de la UAE Cuerpo Oficial de Bomberos Bogotá- SGC</t>
  </si>
  <si>
    <t>Adición y prórroga al contrato 201 de 2023 cuyo objeto es: "Prestación de servicios profesionales jurídicos para orientar y apoyar el trámite y la gestión de los procesos disciplinarios que se adelanten en la Oficina Jurídica de la Unidad Administrativa Especial Cuerpo Oficial de Bomberos Bogotá"</t>
  </si>
  <si>
    <t>Prestar servicios profesionales para la gestión, trámites administrativos y financieros para los procesos que adelanta la Subdirección Logística- SBLG</t>
  </si>
  <si>
    <t>Adición  y prórroga al Contrato No. 237 de 2023, cuyo objeto es "Contratar soporte técnico en sitio y mantenimiento correctivo con
suministro de repuestos para la infraestructura tecnológica de la
UAE Cuerpo Oficial de Bomberos de Bogotá y SUPERCADES de
Bogotá-TIC"</t>
  </si>
  <si>
    <t>SGH - Prestar los servicios de capacitación, formación y entrenamiento en cursos especializados, para el personal de la Unidad Administrativa Especial Cuerpo Oficial de Bomberos</t>
  </si>
  <si>
    <t xml:space="preserve">25101700;
25101900;
92101601;
92101603;
92101604;
26101515 </t>
  </si>
  <si>
    <t>Adicion y prorroga contrato No 112 -2023 -Prestar servicios de apoyo a la gestion en las actividades de monitoreo del riesgo para la Subdirección de Gestión del Riesgo._SGR Auxiliar</t>
  </si>
  <si>
    <t>Adición y prórroga al contrato 283 de 2023 cuyo objeto es: "Prestar los servicios profesionales  jurídicos para apoyar las actividades propias de la gestión contractual que adelanta la Oficina Jurídica"</t>
  </si>
  <si>
    <t>Adición y prórroga al contrato 421 de 2023 cuyo objeto es: "Prestar los servicios profesionales para realizar el acompañamiento administrativo y financiero en temas de liquidación y cierre de expedientes, como demás actuaciones administrativas requeridas de los procesos contractuales"</t>
  </si>
  <si>
    <t>Adición y prórroga al contrato 294 de 2023 cuyo objeto es: "Prestar los servicios profesionales  jurídicos para apoyar las actividades propias de la gestión contractual que adelanta la Oficina Jurídica"</t>
  </si>
  <si>
    <t>Adición y prórroga al contrato 282 de 2023 cuyo objeto es: "Prestar los servicios de apoyo para las gestiones administrativas requeridas en la Oficina Jurídica".</t>
  </si>
  <si>
    <t>Adición y prórroga al contrato 381 de 2023 cuyo objeto es: "Prestar los servicios de apoyo para las gestiones documentales y administrativas requerida por la Oficina Jurídica"</t>
  </si>
  <si>
    <t>Adición y prórroga al contrato 298 de 2023 cuyo objeto es: "Prestar los servicios de apoyo para las gestiones documentales y administrativas requerida por la Oficina Jurídica"</t>
  </si>
  <si>
    <t>Adición y prórroga al contrato 378 de 2023 cuyo objeto es: "Prestar los servicios de apoyo para las gestiones documentales y administrativas requerida por la Oficina Jurídica"</t>
  </si>
  <si>
    <t>Adición y prórroga al contrato 286 de 2023 cuyo objeto es: "Prestar los servicios profesionales  jurídicos para apoyar las actividades propias de la gestión contractual que adelanta la Oficina Jurídica"</t>
  </si>
  <si>
    <t>Adición y prórroga al contrato 384 de 2023 cuyo objeto es: "Prestar servicios profesionales  para apoyar en las acciones de control y manejo de la información y la presentación de los informes reglamentarios a los entes de control por parte de la Oficina Jurídica"</t>
  </si>
  <si>
    <t>Adición y prórroga al contrato 308 de 2023 cuyo objeto es: "Prestar los servicios de apoyo para los tramites, gestiones y actividades propias que se requieran en los diferentes procesos disciplinarios propios de la etapa de juzgamiento de la Oficina Jurídica en la UAECOB"</t>
  </si>
  <si>
    <t>Adición y prórroga al contrato 349 de 2023 cuyo objeto es: "Prestar servicios profesionales para apoyar las diferentes actuaciones jurídicas que adelanta la UACOB"</t>
  </si>
  <si>
    <t>Adición y prórroga al contrato 350 de 2023 cuyo objeto es: "Prestar los servicios profesionales para apoyar la depuración de la cartera de cobro coactivo, así como actividades propias de la defensa judicial de la Entidad y demas actiuaciones relacionadas que requiera la Oficina Jurídica"</t>
  </si>
  <si>
    <t>Fecha: 14/09/2023</t>
  </si>
  <si>
    <t xml:space="preserve"> Adición y prórroga del Contrato 200 de 2023 cuyo objeto es "Prestar los servicios profesionales jurídicos en la Oficina de Control Disciplinario Interno de la entidad relacionados con los procesos disciplinarios"</t>
  </si>
  <si>
    <t>Adición y prórroga del Contrato 250 de 2023 cuyo objeto es "Prestación de servicios profesionales jurídicos para apoyar la gestión de las actuaciones disciplinarias que se encuentren a cargo y adelante la Oficina de Control Disciplinario Interno en el rol de instrucción"</t>
  </si>
  <si>
    <t>85121600, 85122000, 85121500</t>
  </si>
  <si>
    <t>"Adición y prorroga al contrato 364-2023 cuyo objeto es "Prestación de servicios profesionales en asuntos de comunicaciones y prensa para apoyar la divulgación y socialización de la información relacionada con la misionalidad de la UAECOB de manera interna y externa".</t>
  </si>
  <si>
    <t>Contratar el suministro de raciones de campaña para el cuerpo oficial de Bomberos de Bogotá - SBLG</t>
  </si>
  <si>
    <t xml:space="preserve">Adición y Prorroga del Cto No. 527 de 2023 cuyo objeto es “Prestar servicios de apoyo a la gestión en los aspectos jurídicos de la Subdirección Logística -SBLG” </t>
  </si>
  <si>
    <t xml:space="preserve">Adición y Prorroga del Cto No. 474 de 2023 cuyo objeto es “Prestación de servicios de apoyo a la gestión como conductor de acuerdo a las necesidades de desplazamiento que requiera la Subdirección Logística - SBLG” </t>
  </si>
  <si>
    <t xml:space="preserve">Adición y Prorroga del Cto No. 396 de 2023 cuyo objeto es “Prestar servicios de apoyo a la gestión en temas administrativos para el seguimiento y control de suministros y consumibles derivados de los contratos de la Subdirección Logística -SBLG. </t>
  </si>
  <si>
    <t xml:space="preserve">Adición y Prorroga del Cto No. 428 de 2023 cuyo objeto es “Prestación de servicios de apoyo a la gestión administrativa y documental en el trámite y atención de requerimientos del personal operativo logístico de la Subdirección Logística, - SBLG” </t>
  </si>
  <si>
    <t xml:space="preserve">Adición y prórroga  del Cto No. 450 de 2023 cuyo objeto es “Prestación de servicios profesionales para realizar el seguimiento y monitoreo a los diferentes procesos y procedimientos del equipo menor a cargo de la Subdirección Logística - SBLG” </t>
  </si>
  <si>
    <t xml:space="preserve">Adición y prórroga  del Cto No. 478 de 2023 cuyo objeto es “Prestación de servicios profesionales en la gestión integral del equipo menor a cargo de la Subdirección Logística garantizando su operatividad y funcionamiento. SBLG” </t>
  </si>
  <si>
    <t xml:space="preserve">Adición y prórroga  del Cto No. 094 de 2023 cuyo objeto es “Prestación de servicios profesionales en la formulación e implementación de estrategias de comunicación que promueva el uso y apropiación de los programas desarrollados por la Subdirección Logística - SBLG” </t>
  </si>
  <si>
    <t xml:space="preserve">Adición y prórroga  del Cto No. 534 de 2023 cuyo objeto es “Prestación de servicios de apoyo a la gestión para realizar el diagnóstico, los mantenimientos preventivos y correctivos a fin de garantizar la permanente funcionalidad de los equipos menores pertenecientes a la UAECOB, en la Subdirección Logística – SBLG”  </t>
  </si>
  <si>
    <t>Adición y prorroga del Cto no. 517 de 2023 cuyo objeto es “prestación de servicios de apoyo a la gestión del correcto funcionamiento de los equipos menores pertenecientes a la UAECOB, en la Subdirección logística SBLG”</t>
  </si>
  <si>
    <t xml:space="preserve">Prestar servicios profesionales para realizar el seguimiento y control de las solicitudes que se reciban a través de las herramientas de tecnológicas de la mesa de logística a cargo Subdirección Logística – SBLG </t>
  </si>
  <si>
    <t>Adición No.1 al contrato 632 de 2022 que tiene como objeto "Contratar los seguros de casco aviación aeronaves no tripuladas (drones)de propiedad y de aquellos por los cuales es legalmente responsable a Unidad Administrativa Especial del Cuerpo Oficial de Bomberos de Bogotá-SGC</t>
  </si>
  <si>
    <t>47131800;</t>
  </si>
  <si>
    <t>Suministro de insumos de lavadoras para la UAE Cuerpo Oficial de Bomberos-SGC</t>
  </si>
  <si>
    <t>Adición No.1 al contrato 122 de 2023 que tiene como objeto"Suministro de insumos para computador e impresoras para las dependencias de la UAE Cuerpo Oficial de Bomberos.-SGC"</t>
  </si>
  <si>
    <t>Reconocimiento y pago Pasivo Exigible contrato de Interventorìa No 690 de 2021 suscrito con GAVINCO INGENIEROS CONSULTORES S.A.S</t>
  </si>
  <si>
    <t>Prestación de servicios profesionales especializados en temas financieros, administrativos y precontractuales, contractuales y poscontractuales de los procesos del área de infraestructura de la Subdirección de Gestión Corporativa.-SGC</t>
  </si>
  <si>
    <t>Adición y Prorroga del contrato No. 13 de 2023, cuyo objeto es "Prestar  servicios  profesionales  para administrar y gestionar la  seguridad  y privacidad de la información dentro de la infraestructura tecnológica y de comunicaciones  utilizada por UAE Cuerpo Oficial de Bomberos de Bogotá - TIC"</t>
  </si>
  <si>
    <t>Adicion y prorroga del contrato No. 58 de 2023, cuyo objeto es: "Prestar los servicios profesionales administrativos y financieros en la gestión contractual relacionados con los proyectos y funciones de la Oficina Asesora de Planeación-TIC"</t>
  </si>
  <si>
    <t>Adición y prorroga del contrato No. 494 de 2023, cuyo objeto es "Prestar servicios profesionales con plena autonomía técnica y administrativa, en la administración y gestión de la infraestructura tecnológica de servidores y componentes relacionados con los que cuenta la UAE Cuerpo Oficial de Bomberos de Bogotá - TIC"</t>
  </si>
  <si>
    <t>Adición y Prorroga del contrato No. 532 de 2023, cuyo objeto es: "Prestar Servicios Profesionales con plena autonomía técnica y administrativa, como gestor de la Política del Sistema de Gestión de Seguridad de la Información - SGSI, Gobierno Digital, Transformación Digital y Datos abiertos que contribuyan a la estandarización y lineamientos en la U.A.E Cuerpo Oficial de Bomberos Bogotá. -TIC"</t>
  </si>
  <si>
    <t>Adicion y prorroga del contrato No. 447 Prestar Servicios Profesionales  con autonomía técnica y administrativa, en la administración, y gestión de  los sistemas de información y aplicativos con los que cuenta la UAE Cuerpo Oficial de Bomberos Bogotá. -TIC</t>
  </si>
  <si>
    <t>Prestar servicios profesionales en la administración de los sistemas misionales, asi como, gestionar la apropiación del conocimiento, sus mantenimientos, actualizaciones e implementaciones de los mismos</t>
  </si>
  <si>
    <t>Prestar servicios profesionales especializados a la Jefatura de la Oficina Asesora de Planeación en el fortalecimiento, articulación, seguimiento y gestión de los proyectos de inversión y la implementación del modelo integrado de planeación y gestión en el marco del proceso de gestión estratégica.</t>
  </si>
  <si>
    <t>Adición y prórroga No.1 al contrato 078 de 2023 con objeto "Prestación de servicios de apoyo a la gestión para desarrollar actividades de tipo administrativo relacionadas con las funciones propias de la Subdirección de Gestión Corporativa-SGC</t>
  </si>
  <si>
    <t>Adición y prórroga No. 1 al contrato 034 de 2023 con objeto "Prestar los servicios como conductor de la Subdirección de Gestión Corporativa -SGC</t>
  </si>
  <si>
    <t>3.5</t>
  </si>
  <si>
    <t>Adición y prórroga No.1 al contrato 395 de 2023 con objeto "Prestación de servicios de apoyo a la gestión en la ejecución de los planes y programas de servicio al ciudadano a cargo de la Subdirección de Gestión Corporativa-SGC</t>
  </si>
  <si>
    <t>Adición y prórroga No.1 al contrato 356 de 2023 con objeto "Prestación de servicios de apoyo a la gestión documental de la Subdirección de Gestión Corporativa de la Unidad-SGC</t>
  </si>
  <si>
    <t>Adición y prórroga No.1 al contrato 351 de 2023 con objeto "Prestar servicios profesionales en la Subdirección de Gestión Corporativa en lo relacionado con los procesos de inventarios.-SGC</t>
  </si>
  <si>
    <t>2.5</t>
  </si>
  <si>
    <t>Adición y prórroga No.1 al contrato 293 de 2023 con objeto "Prestación de servicios de apoyo a la gestión documental de la Subdirección de Gestión Corporativa de la Unidad-SGC</t>
  </si>
  <si>
    <t>Adición y prórroga No.1 al contrato 388 de 2023 con objeto "Prestación de servicios de apoyo a la gestión en la ejecución de los planes y programas de servicio al ciudadano a cargo de la Subdirección de Gestión Corporativa-SGC</t>
  </si>
  <si>
    <t>Adición y prórroga No.1 al contrato 424 de 2023 con objeto "Prestación de servicios de apoyo a la gestión en la ejecución de los planes y programas de servicio al ciudadano a cargo de la Subdirección de Gestión Corporativa-SGC</t>
  </si>
  <si>
    <t xml:space="preserve">Adición y prórroga No.1 al contrato 365 de 2023 con objeto "Prestación de servicios de apoyo a la gestión en la ejecución de los planes y programas de servicio al ciudadano a cargo de la Subdirección de Gestión Corporativa-SGC </t>
  </si>
  <si>
    <t>Adición y prórroga No.1 al contrato 387 de 2023 con objeto "Prestación de servicios de apoyo a la gestión en la ejecución de los planes y programas de servicio al ciudadano a cargo de la Subdirección de Gestión Corporativa-SGC</t>
  </si>
  <si>
    <t>Adición y prórroga No.1 al contrato 403 de 2023 con objeto "Prestar servicios profesionales para realizar acompañamiento en la elaboración y revisión de actas de liquidación y demás actuaciones administrativas requeridas en la etapa postcontractual del proceso de contratación adelantados por la Subdirección Gestión Corporativa.-SGC</t>
  </si>
  <si>
    <t>Adición y prórroga No.1 al contrato 102 de 2023 con objeto "Prestación de servicios de apoyo a la gestión del proceso de inventarios de la Subdirección de Gestión Corporativa.-SGC</t>
  </si>
  <si>
    <t>Adición y prórroga No.1 al contrato 206 de 2023 con objeto "Prestación de servicios profesionales en la implementación, consolidación, seguimiento y reporte de los lineamientos ambientales en cada una de las sedes de la UAE CUERPO OFICIAL DE BOMBEROS BOGOTÁ-SGC</t>
  </si>
  <si>
    <t>Adición y prórroga No.1 al contrato 095 de 2023 con objeto "Prestación de servicios de apoyo a la gestión del proceso de inventarios de la Subdirección de Gestión Corporativa.-SGC</t>
  </si>
  <si>
    <t>Adición y prórroga No.1 al contrato 067 de 2023 con objeto "Prestación de servicios profesionales para la ejecución de los procesos contables que se desarrollan en el Área Financiera de la UAE Cuerpo Oficial de Bomberos asignados. -SGC</t>
  </si>
  <si>
    <t>Prestación de servicios de apoyo a la gestión del proceso de inventariosde la Subdirección de Gestión Corporativa.-SGC</t>
  </si>
  <si>
    <t>Prestación de servicios profesionales en el acompañamiento y asistencia al proceso de la gestión administrativa a cargo de la Subdirección de Gestión Corporativa.- SGC</t>
  </si>
  <si>
    <t>Adquisición de Parches para los Desfibriladores Externos Automáticos (D.E.A.) para la Atención de Emergencia - SBLG</t>
  </si>
  <si>
    <t>40151510; 40151531; 40151721; 72121402; 72151800; 72154103; 72154108; 72154109; 73152108</t>
  </si>
  <si>
    <t>Adición y prorroga al contrato 020 de 2023 cuyo objeto es "Prestar los servicios profesionales  en la Oficina de Control Interno para el desarrollo del Plan Anual de Auditorías."</t>
  </si>
  <si>
    <t>Adición y prorroga al contrato 022 de 2023  cuyo objeto es “Prestar servicios de apoyo a la gestión como técnico en la Oficina de Control Interno para ejecutar procesos y procedimientos administrativos y asistenciales teniendo en cuenta el Plan Anual de Auditorías."</t>
  </si>
  <si>
    <t>Adición y prórroga al contrato 002 de 2023 cuyo objeto es: "Prestar los servicios profesionales especializados para la representación judicial  de la Entidad y la prevención del daño antijurídico".</t>
  </si>
  <si>
    <t xml:space="preserve">“Adición y prorroga al contrato No. 379 de 2023 que tiene como objeto "Prestar servicios profesionales para apoyar en el seguimiento y gestión de las diferentes políticas propias de la misionalidad y funcionamiento de la UAECOB, en cumplimiento de la Gestión Estratégica y la mejora continua de la entidad”. </t>
  </si>
  <si>
    <t>Prestar servicios profesionales para apoyar en los diferentes tramites administrativos, documental e inventario de  subdirección logística - SBLG</t>
  </si>
  <si>
    <t>Adición y prórroga del Cto 516-2023, cuyo objeto es "Prestación de servicios de apoyo a la gestión de los procesos a cargo de la Subdirección Logística" - SBLG</t>
  </si>
  <si>
    <t>Versión No. 24</t>
  </si>
  <si>
    <t>Adición y prórroga No.1 al contrato 389 de 2023 con objeto" Prestación de Servicios Profesionales para la formulación de estrategias, indicadores y acciones requeridas por la Subdirección de Gestión Corporativa en relación con los proyectos administrativos y misionales de la UAE Cuerpo oficial de Bomberos .-SGC</t>
  </si>
  <si>
    <t>Adición y prórroga No.1 al contrato 156 de 2023 con objeto "Prestar los servicios profesionales especializados para acompañar las actividades jurídicas relacionadas con la gestión contractual en las etapas precontractual, contractual y postcontractual del área administrativa de la Subdirección de Gestión Corporativa -SGC</t>
  </si>
  <si>
    <t>Adición y prórroga No.1 al contrato 165 de 2023 con objeto"Prestación de servicios profesionales para apoyar a la Subdirección de Gestión Corporativa en las actividades administrativas, seguros, compras e inventarios-SGC</t>
  </si>
  <si>
    <t>Adición y prórroga No.1 al contrato 132 de 2023 con objeto"Prestar servicios profesionales para realizar acompañamiento en la elaboración y revisión de actas de liquidación y demás actuaciones administrativas requeridas en la etapa postcontractual del proceso de contratación adelantados por la Subdirección Gestión Corporativa -SGC</t>
  </si>
  <si>
    <t>Adición y prórroga No.1 al contrato 127 de 2023 con objeto"Prestación de servicios profesionales en la Subdirección de Gestión Corporativa adelantando las actividades necesarias para la ejecución del programa y los procesos de seguros de la Entidad-SGC</t>
  </si>
  <si>
    <t>Adición y prórroga No.1 al contrato 258 de 2023 con objeto"Prestación de servicios de apoyo a la gestión en la ejecución de los planes y programas de servicio al ciudadano a cargo de la Subdirección de Gestión Corporativa.-SGC</t>
  </si>
  <si>
    <t>Adición y prórroga No.1 al contrato 310  de 2023 con objeto"Prestación de servicios de apoyo a la gestión en la ejecución de los planes y programas de servicio al ciudadano a cargo de la Subdirección de Gestión Corporativa.-SGC</t>
  </si>
  <si>
    <t>Adición y prórroga No.1 al contrato 264 de 2023 con objeto"Prestación de servicios de apoyo a la gestión en la ejecución de los planes y programas de servicio al ciudadano a cargo de la Subdirección de Gestión Corporativa.-SGC</t>
  </si>
  <si>
    <t>Adición y prórroga No.1 al contrato 253 de 2023 con objeto"Prestación de servicios profesionales para articular la gestión en la ejecución de los planes y programas de servicio al ciudadano a cargo de la Subdirección de Gestión Corporativa.-SGC</t>
  </si>
  <si>
    <t>Adición y prórroga No.1 al contrato 087 de 2023 con objeto"Prestación de servicios de apoyo a la gestión en la ejecución de los planes y programas de servicio al ciudadano a cargo de la Subdirección de Gestión Corporativa-SGC</t>
  </si>
  <si>
    <t>Adición y prórroga No.2 al contrato 388 de 2023 con objeto "Prestación de servicios de apoyo a la gestión en la ejecución de los planes y programas de servicio al ciudadano a cargo de la Subdirección de Gestión Corporativa-SGC</t>
  </si>
  <si>
    <t>Reconocimiento para pago pasivo exigible contrato 075-2021 Amalin Ariza Mahuad-SGC</t>
  </si>
  <si>
    <t>40101825; 40101826; 40101829;</t>
  </si>
  <si>
    <t>Mantenimiento y adquisición de calentadores de paso para las edificaciones de la UAE – Cuerpo oficial de Bomberos de Bogotá- SGC</t>
  </si>
  <si>
    <t>76121502;</t>
  </si>
  <si>
    <t>Realizar el mantenimiento, recoleccion y disposición final de los residuos de las trampas de grasas en las estaciones de la UAE – Cuerpo oficial de Bomberos de Bogotá- SGC</t>
  </si>
  <si>
    <t>80101500; 80141700; 80141600; 80151500 ; 84121500;</t>
  </si>
  <si>
    <t>Seleccionar un promotor y/o intermediario público o privado, para que trámite, gestione y lideré la venta en subasta pública de los bienes muebles obsoletos, servibles no utilizables e inservibles de propiedad de la UAE Cuerpo Oficial de Bomberos bogotá- SGC</t>
  </si>
  <si>
    <t>Adición y prórroga al contrato No. 524 de 2023, cuyo objeto es "SGH - Prestar de servicios profesionales para desarrollar actividades jurídicas relacionadas con la academia bomberil, recobro de incapacidades y procesos administrativos de la Subdirección de Gestión Humana".</t>
  </si>
  <si>
    <t>SGH - Prestar servicios especializados para desarrollar las diferentes actividades jurídicas de los procesos, procedimientos y requerimientos legales y administrativos de la Subdirección de Gestión Humana.</t>
  </si>
  <si>
    <t>Adición y prórroga al contrato No. 567 de 2023, cuyo objeto es "SGH - Prestar sus servicios profesionales en la Subdirección de Gestión Humana en el proceso de liquidación de demandas y conciliaciones administrativas".</t>
  </si>
  <si>
    <t>SGH - Prestar servicios especializados en los procesos transversales y el desarrollo de las actividades propias de la Subdirección de Gestión Humana.</t>
  </si>
  <si>
    <t>Adición y prórroga al contrato No. 495 de 2023, cuyo objeto es "SGH - Ejecutar actividades de apoyo a la gestión en  la Subdirección de Gestión Humana de la UAE Cuerpo Oficial de Bomberos de Bogotá D.C. en lo relacionado con los procesos de actualización, custodia y manejo del archivo de gestión de la Subdirección".</t>
  </si>
  <si>
    <t>Adición y prórroga al contrato No. 460 de 2023, cuyo objeto es "SGH - Prestar servicios profesionales en la Subdirección de Gestión Humana de la UAE Cuerpo Oficial de Bomberos en temas de liquidación de demandas y conciliaciones.</t>
  </si>
  <si>
    <t>SGH - Prestar servicios profesionales en la Subdirección de Gestión Humana de la UAE Cuerpo Oficial de Bomberos en temas de tramites de cesantías, embargos y diferentes certificaciones.</t>
  </si>
  <si>
    <t>Adición y prórroga al contrato No. 482 de 2023, cuyo objeto es "SGH - Prestar servicios de apoyo a la gestión en cumplimiento de los planes institucionales de la Subdirección de Gestión Humana específicamente para desarrollo organizacional".</t>
  </si>
  <si>
    <t>Adición y prórroga al contrato No. 469 de 2023, cuyo objeto es "SGH - Prestar servicios de apoyo a los procesos de la Subdirección de Gestión Humana de la UAE Cuerpo Oficial de Bomberos".</t>
  </si>
  <si>
    <t>SGH - Prestar servicios de apoyo en la Subdirección de Gestión Humana de la UAE Cuerpo Oficial de Bomberos en el proceso de ausentismos del personal</t>
  </si>
  <si>
    <t>Suministro de herramientas, equipos, accesorios y otros elementos de ferretería para garantizar la preparación y atención de emergencias de la U.A.E. Cuerpo Oficial de Bomberos de Bogotá – SBLG</t>
  </si>
  <si>
    <t>Adición al contrato 408 de 2023, cuyo objeto es "Prestar el servicio de instalación, alineación, balanceo y conexos, incluyendo el suministro de llantas a los vehículos del parque automotor de la U.A.E. Cuerpo Oficial de Bomberos de Bogotá - SBLG"</t>
  </si>
  <si>
    <t>Adición al contrato 019 de 2023 cuyo objeto es "suministrar combustible para los vehículos, y equipos especializados de la u.a.e. cuerpo oficial de bomberos bogotá dentro y fuera del perímetro del distrito capital de la SBLG"</t>
  </si>
  <si>
    <t>Adición y prórroga del Contrato 225 de 2023 cuyo objeto es "Prestación de servicios profesionales jurídicos para apoyar la gestión de las actuaciones disciplinarias que se encuentren a cargo y adelante la Oficina de Control Disciplinario Interno en el rol de instrucción"</t>
  </si>
  <si>
    <t>18/10/2023</t>
  </si>
  <si>
    <t>Adición y prórroga del Contrato 194 de 2023 cuyo objeto es "Prestación de servicios profesionales jurídicos para apoyar la gestión de las actuaciones disciplinarias que se encuentren a cargo y adelante la Oficina de Control Disciplinario Interno en el rol de instrucción"</t>
  </si>
  <si>
    <t>"Adición y prorroga al contrato No. 362-2023  “Prestación de servicios profesionales para apoyar actividades de gestión contractual y administrativas de la Dirección”.</t>
  </si>
  <si>
    <t>"Adición y prorroga al contrato No. 230-2023 cuyo objeto es: "Prestación de servicios profesionales en la Dirección en comunicaciones y prensa, para apoyar la difusión de la información al público interno de la UAECOB".</t>
  </si>
  <si>
    <t>"Adición y prorroga al contrato No. 272-2023 cuyo objeto es: "Prestar apoyo en la Dirección en asuntos de comunicaciones y prensa, para apoyar la divulgación de la información generada por la UAECOB".</t>
  </si>
  <si>
    <t>"Adición y prorroga al contrato No. 170-2023 cuyo objeto es: "Prestar servicios profesionales para apoyar el desarrollo de estrategias de la dirección general, en asuntos relacionados con comunicaciones y prensa, encaminadas al posicionamiento, imagen y divulgación corporativa de la entidad y dirigidas a sus públicos internos".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</si>
</sst>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6" formatCode="&quot;$&quot;\ #,##0;[Red]\-&quot;$&quot;\ #,##0"/>
    <numFmt numFmtId="41" formatCode="_-* #,##0_-;\-* #,##0_-;_-* &quot;-&quot;_-;_-@_-"/>
    <numFmt numFmtId="44" formatCode="_-&quot;$&quot;\ * #,##0.00_-;\-&quot;$&quot;\ * #,##0.00_-;_-&quot;$&quot;\ * &quot;-&quot;??_-;_-@_-"/>
    <numFmt numFmtId="43" formatCode="_-* #,##0.00_-;\-* #,##0.00_-;_-* &quot;-&quot;??_-;_-@_-"/>
    <numFmt numFmtId="164" formatCode="_-* #,##0.00\ &quot;€&quot;_-;\-* #,##0.00\ &quot;€&quot;_-;_-* &quot;-&quot;??\ &quot;€&quot;_-;_-@_-"/>
    <numFmt numFmtId="165" formatCode="_-&quot;$&quot;\ * #,##0_-;\-&quot;$&quot;\ * #,##0_-;_-&quot;$&quot;\ * &quot;-&quot;??_-;_-@_-"/>
    <numFmt numFmtId="166" formatCode="d/mm/yyyy;@"/>
    <numFmt numFmtId="167" formatCode="_-* #,##0_-;\-* #,##0_-;_-* &quot;-&quot;??_-;_-@_-"/>
    <numFmt numFmtId="168" formatCode="#,##0_ ;[Red]\-#,##0\ "/>
    <numFmt numFmtId="169" formatCode="&quot;$&quot;\ #,##0"/>
    <numFmt numFmtId="170" formatCode="_-* #,##0.0_-;\-* #,##0.0_-;_-* &quot;-&quot;??_-;_-@_-"/>
    <numFmt numFmtId="171" formatCode="_-[$$-240A]\ * #,##0_-;\-[$$-240A]\ * #,##0_-;_-[$$-240A]\ * &quot;-&quot;??_-;_-@_-"/>
  </numFmts>
  <fonts count="30" x14ac:knownFonts="1">
    <font>
      <sz val="11"/>
      <color theme="1"/>
      <name val="Calibri"/>
      <family val="2"/>
      <scheme val="minor"/>
    </font>
    <font>
      <b/>
      <sz val="12"/>
      <name val="Tahoma"/>
      <family val="2"/>
    </font>
    <font>
      <sz val="12"/>
      <name val="Tahoma"/>
      <family val="2"/>
    </font>
    <font>
      <sz val="10"/>
      <name val="Arial"/>
      <family val="2"/>
    </font>
    <font>
      <sz val="11"/>
      <name val="Tahoma"/>
      <family val="2"/>
    </font>
    <font>
      <sz val="8"/>
      <name val="Calibri"/>
      <family val="2"/>
    </font>
    <font>
      <sz val="12"/>
      <name val="Tahoma"/>
    </font>
    <font>
      <sz val="11"/>
      <color theme="1"/>
      <name val="Calibri"/>
      <family val="2"/>
      <scheme val="minor"/>
    </font>
    <font>
      <b/>
      <sz val="11"/>
      <color theme="0"/>
      <name val="Calibri"/>
      <family val="2"/>
      <scheme val="minor"/>
    </font>
    <font>
      <sz val="11"/>
      <color rgb="FFFF0000"/>
      <name val="Calibri"/>
      <family val="2"/>
      <scheme val="minor"/>
    </font>
    <font>
      <b/>
      <sz val="11"/>
      <color theme="1"/>
      <name val="Calibri"/>
      <family val="2"/>
      <scheme val="minor"/>
    </font>
    <font>
      <sz val="11"/>
      <color theme="1"/>
      <name val="Tahoma"/>
      <family val="2"/>
    </font>
    <font>
      <b/>
      <sz val="11"/>
      <color rgb="FFFFFFFF"/>
      <name val="Tahoma"/>
      <family val="2"/>
    </font>
    <font>
      <sz val="11"/>
      <color rgb="FFFF0000"/>
      <name val="Tahoma"/>
      <family val="2"/>
    </font>
    <font>
      <b/>
      <sz val="11"/>
      <color rgb="FF00B050"/>
      <name val="Tahoma"/>
      <family val="2"/>
    </font>
    <font>
      <sz val="11"/>
      <color rgb="FF000000"/>
      <name val="Tahoma"/>
      <family val="2"/>
    </font>
    <font>
      <b/>
      <sz val="11"/>
      <color theme="1"/>
      <name val="Tahoma"/>
      <family val="2"/>
    </font>
    <font>
      <b/>
      <sz val="11"/>
      <color rgb="FFFFFFFF"/>
      <name val="Calibri"/>
      <family val="2"/>
      <scheme val="minor"/>
    </font>
    <font>
      <sz val="11"/>
      <color rgb="FF000000"/>
      <name val="Calibri"/>
      <family val="2"/>
      <scheme val="minor"/>
    </font>
    <font>
      <sz val="11"/>
      <name val="Calibri"/>
      <family val="2"/>
      <scheme val="minor"/>
    </font>
    <font>
      <sz val="10"/>
      <color theme="1"/>
      <name val="Calibri"/>
      <family val="2"/>
      <scheme val="minor"/>
    </font>
    <font>
      <b/>
      <sz val="10"/>
      <color theme="1"/>
      <name val="Calibri"/>
      <family val="2"/>
    </font>
    <font>
      <sz val="10"/>
      <color theme="1"/>
      <name val="Calibri"/>
      <family val="2"/>
    </font>
    <font>
      <b/>
      <sz val="10"/>
      <color theme="1"/>
      <name val="Calibri"/>
      <family val="2"/>
      <scheme val="minor"/>
    </font>
    <font>
      <sz val="11"/>
      <color theme="5" tint="-0.249977111117893"/>
      <name val="Calibri"/>
      <family val="2"/>
      <scheme val="minor"/>
    </font>
    <font>
      <sz val="11"/>
      <color rgb="FF00B050"/>
      <name val="Calibri"/>
      <family val="2"/>
      <scheme val="minor"/>
    </font>
    <font>
      <b/>
      <sz val="11"/>
      <name val="Calibri"/>
      <family val="2"/>
      <scheme val="minor"/>
    </font>
    <font>
      <sz val="12"/>
      <color theme="1"/>
      <name val="Tahoma"/>
      <family val="2"/>
    </font>
    <font>
      <sz val="12"/>
      <color theme="1"/>
      <name val="Calibri"/>
      <family val="2"/>
      <scheme val="minor"/>
    </font>
    <font>
      <sz val="12"/>
      <color rgb="FFFF0000"/>
      <name val="Tahoma"/>
      <family val="2"/>
    </font>
  </fonts>
  <fills count="10">
    <fill>
      <patternFill patternType="none"/>
    </fill>
    <fill>
      <patternFill patternType="gray125"/>
    </fill>
    <fill>
      <patternFill patternType="solid">
        <fgColor rgb="FF1F4E79"/>
        <bgColor indexed="64"/>
      </patternFill>
    </fill>
    <fill>
      <patternFill patternType="solid">
        <fgColor theme="0"/>
        <bgColor indexed="64"/>
      </patternFill>
    </fill>
    <fill>
      <patternFill patternType="solid">
        <fgColor rgb="FFF2F2F2"/>
        <bgColor indexed="64"/>
      </patternFill>
    </fill>
    <fill>
      <patternFill patternType="solid">
        <fgColor theme="9"/>
        <bgColor indexed="64"/>
      </patternFill>
    </fill>
    <fill>
      <patternFill patternType="solid">
        <fgColor rgb="FFD9D9D9"/>
        <bgColor indexed="64"/>
      </patternFill>
    </fill>
    <fill>
      <patternFill patternType="solid">
        <fgColor theme="4" tint="-0.499984740745262"/>
        <bgColor indexed="64"/>
      </patternFill>
    </fill>
    <fill>
      <patternFill patternType="solid">
        <fgColor theme="5" tint="0.39997558519241921"/>
        <bgColor indexed="64"/>
      </patternFill>
    </fill>
    <fill>
      <patternFill patternType="solid">
        <fgColor rgb="FF6EE4F0"/>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diagonal/>
    </border>
  </borders>
  <cellStyleXfs count="10">
    <xf numFmtId="0" fontId="0" fillId="0" borderId="0"/>
    <xf numFmtId="44" fontId="7" fillId="0" borderId="0" applyFont="0" applyFill="0" applyBorder="0" applyAlignment="0" applyProtection="0"/>
    <xf numFmtId="43" fontId="7" fillId="0" borderId="0" applyFont="0" applyFill="0" applyBorder="0" applyAlignment="0" applyProtection="0"/>
    <xf numFmtId="41" fontId="7" fillId="0" borderId="0" applyFont="0" applyFill="0" applyBorder="0" applyAlignment="0" applyProtection="0"/>
    <xf numFmtId="16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0" fontId="3" fillId="0" borderId="0"/>
    <xf numFmtId="0" fontId="3" fillId="0" borderId="0"/>
    <xf numFmtId="9" fontId="7" fillId="0" borderId="0" applyFont="0" applyFill="0" applyBorder="0" applyAlignment="0" applyProtection="0"/>
  </cellStyleXfs>
  <cellXfs count="270">
    <xf numFmtId="0" fontId="0" fillId="0" borderId="0" xfId="0"/>
    <xf numFmtId="167" fontId="1" fillId="0" borderId="0" xfId="2" applyNumberFormat="1" applyFont="1" applyFill="1" applyBorder="1" applyAlignment="1">
      <alignment horizontal="center" vertical="center" wrapText="1"/>
    </xf>
    <xf numFmtId="0" fontId="2" fillId="0" borderId="1" xfId="2" applyNumberFormat="1" applyFont="1" applyFill="1" applyBorder="1" applyAlignment="1">
      <alignment horizontal="center" vertical="center" wrapText="1"/>
    </xf>
    <xf numFmtId="44" fontId="2" fillId="0" borderId="1" xfId="1" applyFont="1" applyFill="1" applyBorder="1" applyAlignment="1">
      <alignment horizontal="center" vertical="center" wrapText="1"/>
    </xf>
    <xf numFmtId="0" fontId="2" fillId="0" borderId="2" xfId="2" applyNumberFormat="1" applyFont="1" applyFill="1" applyBorder="1" applyAlignment="1">
      <alignment horizontal="center" vertical="center" wrapText="1"/>
    </xf>
    <xf numFmtId="0" fontId="1" fillId="0" borderId="3" xfId="2" applyNumberFormat="1" applyFont="1" applyFill="1" applyBorder="1" applyAlignment="1">
      <alignment horizontal="center" vertical="center" wrapText="1"/>
    </xf>
    <xf numFmtId="0" fontId="1" fillId="0" borderId="4" xfId="2" applyNumberFormat="1" applyFont="1" applyFill="1" applyBorder="1" applyAlignment="1">
      <alignment horizontal="center" vertical="center" wrapText="1"/>
    </xf>
    <xf numFmtId="14" fontId="1" fillId="0" borderId="3" xfId="2" applyNumberFormat="1" applyFont="1" applyFill="1" applyBorder="1" applyAlignment="1">
      <alignment horizontal="center" vertical="center" wrapText="1"/>
    </xf>
    <xf numFmtId="0" fontId="10" fillId="0" borderId="5" xfId="0" applyFont="1" applyBorder="1"/>
    <xf numFmtId="0" fontId="11" fillId="0" borderId="0" xfId="0" applyFont="1"/>
    <xf numFmtId="0" fontId="11" fillId="0" borderId="0" xfId="0" applyFont="1" applyAlignment="1">
      <alignment vertical="center"/>
    </xf>
    <xf numFmtId="44" fontId="11" fillId="0" borderId="0" xfId="5" applyFont="1"/>
    <xf numFmtId="0" fontId="12" fillId="2" borderId="6" xfId="0" applyFont="1" applyFill="1" applyBorder="1" applyAlignment="1">
      <alignment horizontal="center" vertical="center" wrapText="1"/>
    </xf>
    <xf numFmtId="0" fontId="12" fillId="2" borderId="7" xfId="0" applyFont="1" applyFill="1" applyBorder="1" applyAlignment="1">
      <alignment horizontal="center" vertical="center" wrapText="1"/>
    </xf>
    <xf numFmtId="0" fontId="12" fillId="2" borderId="8" xfId="0" applyFont="1" applyFill="1" applyBorder="1" applyAlignment="1">
      <alignment horizontal="center" vertical="center" wrapText="1"/>
    </xf>
    <xf numFmtId="0" fontId="12" fillId="2" borderId="9"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1" fillId="0" borderId="6" xfId="0" applyFont="1" applyBorder="1"/>
    <xf numFmtId="0" fontId="11" fillId="0" borderId="10" xfId="0" applyFont="1" applyBorder="1" applyAlignment="1">
      <alignment horizontal="center" vertical="center" wrapText="1"/>
    </xf>
    <xf numFmtId="3" fontId="11" fillId="0" borderId="1" xfId="0" applyNumberFormat="1" applyFont="1" applyBorder="1" applyAlignment="1">
      <alignment horizontal="center" vertical="center"/>
    </xf>
    <xf numFmtId="44" fontId="11" fillId="0" borderId="1" xfId="5" applyFont="1" applyBorder="1" applyAlignment="1">
      <alignment horizontal="center" vertical="center"/>
    </xf>
    <xf numFmtId="44" fontId="11" fillId="0" borderId="6" xfId="0" applyNumberFormat="1" applyFont="1" applyBorder="1" applyAlignment="1">
      <alignment horizontal="center" vertical="center"/>
    </xf>
    <xf numFmtId="44" fontId="11" fillId="0" borderId="1" xfId="5" applyFont="1" applyBorder="1"/>
    <xf numFmtId="44" fontId="11" fillId="0" borderId="1" xfId="0" applyNumberFormat="1" applyFont="1" applyBorder="1"/>
    <xf numFmtId="44" fontId="13" fillId="0" borderId="6" xfId="0" applyNumberFormat="1" applyFont="1" applyBorder="1" applyAlignment="1">
      <alignment horizontal="center" vertical="center"/>
    </xf>
    <xf numFmtId="44" fontId="13" fillId="0" borderId="1" xfId="0" applyNumberFormat="1" applyFont="1" applyBorder="1"/>
    <xf numFmtId="44" fontId="14" fillId="0" borderId="6" xfId="0" applyNumberFormat="1" applyFont="1" applyBorder="1" applyAlignment="1">
      <alignment horizontal="center" vertical="center"/>
    </xf>
    <xf numFmtId="44" fontId="11" fillId="0" borderId="1" xfId="5" applyFont="1" applyFill="1" applyBorder="1" applyAlignment="1">
      <alignment horizontal="center" vertical="center"/>
    </xf>
    <xf numFmtId="0" fontId="12" fillId="2" borderId="5" xfId="0" applyFont="1" applyFill="1" applyBorder="1" applyAlignment="1">
      <alignment horizontal="center" vertical="center"/>
    </xf>
    <xf numFmtId="3" fontId="12" fillId="2" borderId="11" xfId="0" applyNumberFormat="1" applyFont="1" applyFill="1" applyBorder="1" applyAlignment="1">
      <alignment horizontal="right" vertical="center"/>
    </xf>
    <xf numFmtId="3" fontId="11" fillId="0" borderId="0" xfId="0" applyNumberFormat="1" applyFont="1"/>
    <xf numFmtId="0" fontId="11" fillId="0" borderId="1" xfId="0" applyFont="1" applyBorder="1"/>
    <xf numFmtId="0" fontId="15" fillId="0" borderId="1" xfId="0" applyFont="1" applyBorder="1" applyAlignment="1">
      <alignment vertical="center" wrapText="1"/>
    </xf>
    <xf numFmtId="168" fontId="4" fillId="0" borderId="1" xfId="0" applyNumberFormat="1" applyFont="1" applyBorder="1" applyAlignment="1">
      <alignment horizontal="right" vertical="center" wrapText="1"/>
    </xf>
    <xf numFmtId="0" fontId="15" fillId="3" borderId="1" xfId="0" applyFont="1" applyFill="1" applyBorder="1" applyAlignment="1">
      <alignment vertical="center" wrapText="1"/>
    </xf>
    <xf numFmtId="168" fontId="15" fillId="4" borderId="1" xfId="0" applyNumberFormat="1" applyFont="1" applyFill="1" applyBorder="1" applyAlignment="1">
      <alignment horizontal="right" vertical="center" wrapText="1"/>
    </xf>
    <xf numFmtId="3" fontId="12" fillId="2" borderId="1" xfId="0" applyNumberFormat="1" applyFont="1" applyFill="1" applyBorder="1" applyAlignment="1">
      <alignment horizontal="right" vertical="center" wrapText="1"/>
    </xf>
    <xf numFmtId="3" fontId="12" fillId="2" borderId="1" xfId="0" applyNumberFormat="1" applyFont="1" applyFill="1" applyBorder="1" applyAlignment="1">
      <alignment horizontal="center" vertical="center" wrapText="1"/>
    </xf>
    <xf numFmtId="6" fontId="11" fillId="0" borderId="0" xfId="0" applyNumberFormat="1" applyFont="1"/>
    <xf numFmtId="3" fontId="11" fillId="3" borderId="1" xfId="0" applyNumberFormat="1" applyFont="1" applyFill="1" applyBorder="1" applyAlignment="1">
      <alignment vertical="center"/>
    </xf>
    <xf numFmtId="3" fontId="11" fillId="0" borderId="1" xfId="0" applyNumberFormat="1" applyFont="1" applyBorder="1"/>
    <xf numFmtId="3" fontId="15" fillId="3" borderId="1" xfId="0" applyNumberFormat="1" applyFont="1" applyFill="1" applyBorder="1" applyAlignment="1">
      <alignment horizontal="right" vertical="center" wrapText="1"/>
    </xf>
    <xf numFmtId="44" fontId="15" fillId="3" borderId="1" xfId="5" applyFont="1" applyFill="1" applyBorder="1" applyAlignment="1">
      <alignment horizontal="right" vertical="center" wrapText="1"/>
    </xf>
    <xf numFmtId="44" fontId="13" fillId="0" borderId="1" xfId="5" applyFont="1" applyBorder="1"/>
    <xf numFmtId="0" fontId="12" fillId="2" borderId="1" xfId="0" applyFont="1" applyFill="1" applyBorder="1" applyAlignment="1">
      <alignment horizontal="center" vertical="center"/>
    </xf>
    <xf numFmtId="3" fontId="12" fillId="2" borderId="1" xfId="0" applyNumberFormat="1" applyFont="1" applyFill="1" applyBorder="1" applyAlignment="1">
      <alignment horizontal="right" vertical="center"/>
    </xf>
    <xf numFmtId="3" fontId="16" fillId="0" borderId="0" xfId="0" applyNumberFormat="1" applyFont="1"/>
    <xf numFmtId="168" fontId="15" fillId="0" borderId="1" xfId="0" applyNumberFormat="1" applyFont="1" applyBorder="1" applyAlignment="1">
      <alignment horizontal="right" vertical="center" wrapText="1"/>
    </xf>
    <xf numFmtId="0" fontId="0" fillId="0" borderId="0" xfId="0" applyAlignment="1">
      <alignment vertical="center"/>
    </xf>
    <xf numFmtId="44" fontId="7" fillId="0" borderId="0" xfId="5" applyFont="1"/>
    <xf numFmtId="0" fontId="17" fillId="2" borderId="6" xfId="0" applyFont="1" applyFill="1" applyBorder="1" applyAlignment="1">
      <alignment horizontal="center" vertical="center" wrapText="1"/>
    </xf>
    <xf numFmtId="0" fontId="17" fillId="2" borderId="7" xfId="0" applyFont="1" applyFill="1" applyBorder="1" applyAlignment="1">
      <alignment horizontal="center" vertical="center" wrapText="1"/>
    </xf>
    <xf numFmtId="0" fontId="17" fillId="2" borderId="8" xfId="0" applyFont="1" applyFill="1" applyBorder="1" applyAlignment="1">
      <alignment horizontal="center" vertical="center" wrapText="1"/>
    </xf>
    <xf numFmtId="0" fontId="17" fillId="5" borderId="8" xfId="0" applyFont="1" applyFill="1" applyBorder="1" applyAlignment="1">
      <alignment horizontal="center" vertical="center" wrapText="1"/>
    </xf>
    <xf numFmtId="0" fontId="17" fillId="2" borderId="1" xfId="0" applyFont="1" applyFill="1" applyBorder="1" applyAlignment="1">
      <alignment horizontal="center" vertical="center" wrapText="1"/>
    </xf>
    <xf numFmtId="0" fontId="0" fillId="0" borderId="6" xfId="0" applyBorder="1"/>
    <xf numFmtId="0" fontId="0" fillId="0" borderId="10" xfId="0" applyBorder="1" applyAlignment="1">
      <alignment horizontal="center" vertical="center" wrapText="1"/>
    </xf>
    <xf numFmtId="0" fontId="17" fillId="2" borderId="5" xfId="0" applyFont="1" applyFill="1" applyBorder="1" applyAlignment="1">
      <alignment horizontal="center" vertical="center"/>
    </xf>
    <xf numFmtId="3" fontId="0" fillId="0" borderId="0" xfId="0" applyNumberFormat="1"/>
    <xf numFmtId="0" fontId="17" fillId="5" borderId="1" xfId="0" applyFont="1" applyFill="1" applyBorder="1" applyAlignment="1">
      <alignment horizontal="center" vertical="center" wrapText="1"/>
    </xf>
    <xf numFmtId="0" fontId="0" fillId="0" borderId="1" xfId="0" applyBorder="1"/>
    <xf numFmtId="0" fontId="18" fillId="0" borderId="1" xfId="0" applyFont="1" applyBorder="1" applyAlignment="1">
      <alignment vertical="center" wrapText="1"/>
    </xf>
    <xf numFmtId="168" fontId="19" fillId="0" borderId="1" xfId="0" applyNumberFormat="1" applyFont="1" applyBorder="1" applyAlignment="1">
      <alignment horizontal="right" vertical="center" wrapText="1"/>
    </xf>
    <xf numFmtId="168" fontId="19" fillId="5" borderId="1" xfId="0" applyNumberFormat="1" applyFont="1" applyFill="1" applyBorder="1" applyAlignment="1">
      <alignment horizontal="right" vertical="center" wrapText="1"/>
    </xf>
    <xf numFmtId="0" fontId="18" fillId="3" borderId="1" xfId="0" applyFont="1" applyFill="1" applyBorder="1" applyAlignment="1">
      <alignment vertical="center" wrapText="1"/>
    </xf>
    <xf numFmtId="168" fontId="18" fillId="0" borderId="1" xfId="0" applyNumberFormat="1" applyFont="1" applyBorder="1" applyAlignment="1">
      <alignment horizontal="right" vertical="center" wrapText="1"/>
    </xf>
    <xf numFmtId="168" fontId="18" fillId="5" borderId="1" xfId="0" applyNumberFormat="1" applyFont="1" applyFill="1" applyBorder="1" applyAlignment="1">
      <alignment horizontal="right" vertical="center" wrapText="1"/>
    </xf>
    <xf numFmtId="3" fontId="17" fillId="2" borderId="1" xfId="0" applyNumberFormat="1" applyFont="1" applyFill="1" applyBorder="1" applyAlignment="1">
      <alignment horizontal="right" vertical="center" wrapText="1"/>
    </xf>
    <xf numFmtId="3" fontId="17" fillId="5" borderId="1" xfId="0" applyNumberFormat="1" applyFont="1" applyFill="1" applyBorder="1" applyAlignment="1">
      <alignment horizontal="right" vertical="center" wrapText="1"/>
    </xf>
    <xf numFmtId="6" fontId="0" fillId="0" borderId="0" xfId="0" applyNumberFormat="1"/>
    <xf numFmtId="3" fontId="0" fillId="3" borderId="1" xfId="0" applyNumberFormat="1" applyFill="1" applyBorder="1" applyAlignment="1">
      <alignment vertical="center"/>
    </xf>
    <xf numFmtId="3" fontId="0" fillId="5" borderId="1" xfId="0" applyNumberFormat="1" applyFill="1" applyBorder="1" applyAlignment="1">
      <alignment vertical="center"/>
    </xf>
    <xf numFmtId="3" fontId="18" fillId="3" borderId="1" xfId="0" applyNumberFormat="1" applyFont="1" applyFill="1" applyBorder="1" applyAlignment="1">
      <alignment horizontal="right" vertical="center" wrapText="1"/>
    </xf>
    <xf numFmtId="44" fontId="18" fillId="5" borderId="1" xfId="5" applyFont="1" applyFill="1" applyBorder="1" applyAlignment="1">
      <alignment horizontal="right" vertical="center" wrapText="1"/>
    </xf>
    <xf numFmtId="0" fontId="17" fillId="2" borderId="1" xfId="0" applyFont="1" applyFill="1" applyBorder="1" applyAlignment="1">
      <alignment horizontal="center" vertical="center"/>
    </xf>
    <xf numFmtId="3" fontId="17" fillId="2" borderId="1" xfId="0" applyNumberFormat="1" applyFont="1" applyFill="1" applyBorder="1" applyAlignment="1">
      <alignment horizontal="right" vertical="center"/>
    </xf>
    <xf numFmtId="3" fontId="17" fillId="5" borderId="1" xfId="0" applyNumberFormat="1" applyFont="1" applyFill="1" applyBorder="1" applyAlignment="1">
      <alignment horizontal="right" vertical="center"/>
    </xf>
    <xf numFmtId="3" fontId="10" fillId="0" borderId="0" xfId="0" applyNumberFormat="1" applyFont="1"/>
    <xf numFmtId="0" fontId="0" fillId="0" borderId="1" xfId="0" applyBorder="1" applyAlignment="1">
      <alignment vertical="center"/>
    </xf>
    <xf numFmtId="44" fontId="7" fillId="0" borderId="1" xfId="5" applyFont="1" applyBorder="1" applyAlignment="1">
      <alignment vertical="center"/>
    </xf>
    <xf numFmtId="3" fontId="0" fillId="0" borderId="1" xfId="0" applyNumberFormat="1" applyBorder="1" applyAlignment="1">
      <alignment vertical="center"/>
    </xf>
    <xf numFmtId="44" fontId="7" fillId="0" borderId="0" xfId="5" applyFont="1" applyAlignment="1">
      <alignment vertical="center"/>
    </xf>
    <xf numFmtId="3" fontId="0" fillId="0" borderId="0" xfId="0" applyNumberFormat="1" applyAlignment="1">
      <alignment vertical="center"/>
    </xf>
    <xf numFmtId="44" fontId="9" fillId="0" borderId="1" xfId="5" applyFont="1" applyBorder="1" applyAlignment="1">
      <alignment vertical="center"/>
    </xf>
    <xf numFmtId="0" fontId="18" fillId="0" borderId="1" xfId="0" applyFont="1" applyBorder="1" applyAlignment="1">
      <alignment horizontal="center" vertical="center" wrapText="1"/>
    </xf>
    <xf numFmtId="0" fontId="18" fillId="3" borderId="1" xfId="0" applyFont="1" applyFill="1" applyBorder="1" applyAlignment="1">
      <alignment horizontal="center" vertical="center" wrapText="1"/>
    </xf>
    <xf numFmtId="0" fontId="0" fillId="0" borderId="1" xfId="0" applyBorder="1" applyAlignment="1">
      <alignment horizontal="center" vertical="center"/>
    </xf>
    <xf numFmtId="44" fontId="7" fillId="0" borderId="0" xfId="5" applyFont="1" applyAlignment="1">
      <alignment horizontal="center" vertical="center"/>
    </xf>
    <xf numFmtId="0" fontId="0" fillId="0" borderId="0" xfId="0" applyAlignment="1">
      <alignment horizontal="center" vertical="center"/>
    </xf>
    <xf numFmtId="44" fontId="7" fillId="0" borderId="1" xfId="5" applyFont="1" applyBorder="1" applyAlignment="1">
      <alignment horizontal="right" vertical="center"/>
    </xf>
    <xf numFmtId="44" fontId="0" fillId="0" borderId="1" xfId="0" applyNumberFormat="1" applyBorder="1" applyAlignment="1">
      <alignment horizontal="right" vertical="center"/>
    </xf>
    <xf numFmtId="44" fontId="7" fillId="0" borderId="1" xfId="5" applyFont="1" applyFill="1" applyBorder="1" applyAlignment="1">
      <alignment horizontal="right" vertical="center"/>
    </xf>
    <xf numFmtId="167" fontId="7" fillId="0" borderId="1" xfId="2" applyNumberFormat="1" applyFont="1" applyBorder="1" applyAlignment="1">
      <alignment horizontal="center" vertical="center"/>
    </xf>
    <xf numFmtId="167" fontId="7" fillId="5" borderId="1" xfId="2" applyNumberFormat="1" applyFont="1" applyFill="1" applyBorder="1" applyAlignment="1">
      <alignment horizontal="center" vertical="center"/>
    </xf>
    <xf numFmtId="167" fontId="7" fillId="0" borderId="1" xfId="2" applyNumberFormat="1" applyFont="1" applyFill="1" applyBorder="1" applyAlignment="1">
      <alignment horizontal="center" vertical="center"/>
    </xf>
    <xf numFmtId="167" fontId="17" fillId="2" borderId="11" xfId="2" applyNumberFormat="1" applyFont="1" applyFill="1" applyBorder="1" applyAlignment="1">
      <alignment horizontal="right" vertical="center"/>
    </xf>
    <xf numFmtId="167" fontId="17" fillId="5" borderId="11" xfId="2" applyNumberFormat="1" applyFont="1" applyFill="1" applyBorder="1" applyAlignment="1">
      <alignment horizontal="right" vertical="center"/>
    </xf>
    <xf numFmtId="167" fontId="7" fillId="0" borderId="1" xfId="2" applyNumberFormat="1" applyFont="1" applyBorder="1" applyAlignment="1">
      <alignment vertical="center"/>
    </xf>
    <xf numFmtId="167" fontId="9" fillId="0" borderId="1" xfId="2" applyNumberFormat="1" applyFont="1" applyBorder="1" applyAlignment="1">
      <alignment vertical="center"/>
    </xf>
    <xf numFmtId="167" fontId="0" fillId="0" borderId="0" xfId="0" applyNumberFormat="1"/>
    <xf numFmtId="0" fontId="20" fillId="0" borderId="0" xfId="0" applyFont="1"/>
    <xf numFmtId="0" fontId="21" fillId="6" borderId="1" xfId="0" applyFont="1" applyFill="1" applyBorder="1" applyAlignment="1">
      <alignment horizontal="center" vertical="center" wrapText="1" readingOrder="1"/>
    </xf>
    <xf numFmtId="0" fontId="21" fillId="6" borderId="1" xfId="0" applyFont="1" applyFill="1" applyBorder="1" applyAlignment="1">
      <alignment horizontal="center" vertical="center" readingOrder="1"/>
    </xf>
    <xf numFmtId="0" fontId="21" fillId="0" borderId="1" xfId="0" applyFont="1" applyBorder="1" applyAlignment="1">
      <alignment horizontal="center" vertical="center" wrapText="1" readingOrder="1"/>
    </xf>
    <xf numFmtId="0" fontId="22" fillId="0" borderId="1" xfId="0" applyFont="1" applyBorder="1" applyAlignment="1">
      <alignment horizontal="center" vertical="center" wrapText="1" readingOrder="1"/>
    </xf>
    <xf numFmtId="169" fontId="22" fillId="0" borderId="1" xfId="0" applyNumberFormat="1" applyFont="1" applyBorder="1" applyAlignment="1">
      <alignment horizontal="right" vertical="center" wrapText="1" readingOrder="1"/>
    </xf>
    <xf numFmtId="169" fontId="20" fillId="0" borderId="1" xfId="0" applyNumberFormat="1" applyFont="1" applyBorder="1" applyAlignment="1">
      <alignment horizontal="right" vertical="center"/>
    </xf>
    <xf numFmtId="10" fontId="20" fillId="0" borderId="1" xfId="0" applyNumberFormat="1" applyFont="1" applyBorder="1" applyAlignment="1">
      <alignment horizontal="right" vertical="center"/>
    </xf>
    <xf numFmtId="169" fontId="23" fillId="0" borderId="1" xfId="0" applyNumberFormat="1" applyFont="1" applyBorder="1" applyAlignment="1">
      <alignment horizontal="right" vertical="center"/>
    </xf>
    <xf numFmtId="10" fontId="23" fillId="0" borderId="1" xfId="0" applyNumberFormat="1" applyFont="1" applyBorder="1" applyAlignment="1">
      <alignment horizontal="right" vertical="center"/>
    </xf>
    <xf numFmtId="9" fontId="20" fillId="0" borderId="0" xfId="9" applyFont="1"/>
    <xf numFmtId="9" fontId="20" fillId="0" borderId="0" xfId="0" applyNumberFormat="1" applyFont="1"/>
    <xf numFmtId="0" fontId="9" fillId="0" borderId="0" xfId="0" applyFont="1"/>
    <xf numFmtId="0" fontId="24" fillId="0" borderId="0" xfId="0" applyFont="1"/>
    <xf numFmtId="0" fontId="25" fillId="0" borderId="0" xfId="0" applyFont="1"/>
    <xf numFmtId="43" fontId="7" fillId="0" borderId="0" xfId="2" applyFont="1"/>
    <xf numFmtId="43" fontId="25" fillId="0" borderId="0" xfId="2" applyFont="1"/>
    <xf numFmtId="0" fontId="19" fillId="0" borderId="0" xfId="0" applyFont="1"/>
    <xf numFmtId="44" fontId="2" fillId="0" borderId="1" xfId="5" applyFont="1" applyFill="1" applyBorder="1" applyAlignment="1">
      <alignment horizontal="center" vertical="center" wrapText="1"/>
    </xf>
    <xf numFmtId="167" fontId="7" fillId="0" borderId="0" xfId="2" applyNumberFormat="1" applyFont="1"/>
    <xf numFmtId="0" fontId="2" fillId="0" borderId="3" xfId="2" applyNumberFormat="1" applyFont="1" applyFill="1" applyBorder="1" applyAlignment="1">
      <alignment horizontal="center" vertical="center" wrapText="1"/>
    </xf>
    <xf numFmtId="0" fontId="10" fillId="0" borderId="0" xfId="0" applyFont="1"/>
    <xf numFmtId="0" fontId="0" fillId="0" borderId="10" xfId="0" applyBorder="1"/>
    <xf numFmtId="167" fontId="7" fillId="0" borderId="1" xfId="2" applyNumberFormat="1" applyFont="1" applyBorder="1"/>
    <xf numFmtId="167" fontId="10" fillId="0" borderId="11" xfId="2" applyNumberFormat="1" applyFont="1" applyBorder="1"/>
    <xf numFmtId="3" fontId="0" fillId="0" borderId="1" xfId="0" applyNumberFormat="1" applyBorder="1"/>
    <xf numFmtId="3" fontId="0" fillId="0" borderId="12" xfId="0" applyNumberFormat="1" applyBorder="1"/>
    <xf numFmtId="167" fontId="10" fillId="0" borderId="13" xfId="2" applyNumberFormat="1" applyFont="1" applyBorder="1"/>
    <xf numFmtId="167" fontId="7" fillId="0" borderId="12" xfId="2" applyNumberFormat="1" applyFont="1" applyBorder="1"/>
    <xf numFmtId="0" fontId="8" fillId="7" borderId="7" xfId="0" applyFont="1" applyFill="1" applyBorder="1" applyAlignment="1">
      <alignment horizontal="center" vertical="center" wrapText="1"/>
    </xf>
    <xf numFmtId="0" fontId="8" fillId="7" borderId="10" xfId="0" applyFont="1" applyFill="1" applyBorder="1" applyAlignment="1">
      <alignment horizontal="center" vertical="center"/>
    </xf>
    <xf numFmtId="0" fontId="26" fillId="8" borderId="7" xfId="0" applyFont="1" applyFill="1" applyBorder="1" applyAlignment="1">
      <alignment horizontal="center" vertical="center" wrapText="1"/>
    </xf>
    <xf numFmtId="0" fontId="26" fillId="8" borderId="10" xfId="0" applyFont="1" applyFill="1" applyBorder="1" applyAlignment="1">
      <alignment horizontal="center" vertical="center"/>
    </xf>
    <xf numFmtId="0" fontId="10" fillId="9" borderId="7" xfId="0" applyFont="1" applyFill="1" applyBorder="1" applyAlignment="1">
      <alignment horizontal="center" vertical="center" wrapText="1"/>
    </xf>
    <xf numFmtId="0" fontId="10" fillId="9" borderId="10" xfId="0" applyFont="1" applyFill="1" applyBorder="1" applyAlignment="1">
      <alignment horizontal="center" vertical="center"/>
    </xf>
    <xf numFmtId="0" fontId="8" fillId="7" borderId="10" xfId="0" applyFont="1" applyFill="1" applyBorder="1" applyAlignment="1">
      <alignment horizontal="center" vertical="center" wrapText="1"/>
    </xf>
    <xf numFmtId="167" fontId="7" fillId="0" borderId="3" xfId="2" applyNumberFormat="1" applyFont="1" applyBorder="1"/>
    <xf numFmtId="167" fontId="7" fillId="0" borderId="14" xfId="2" applyNumberFormat="1" applyFont="1" applyBorder="1"/>
    <xf numFmtId="0" fontId="8" fillId="7" borderId="15" xfId="0" applyFont="1" applyFill="1" applyBorder="1" applyAlignment="1">
      <alignment horizontal="center" vertical="center" wrapText="1"/>
    </xf>
    <xf numFmtId="0" fontId="8" fillId="0" borderId="16" xfId="0" applyFont="1" applyBorder="1" applyAlignment="1">
      <alignment vertical="center" wrapText="1"/>
    </xf>
    <xf numFmtId="0" fontId="8" fillId="0" borderId="17" xfId="0" applyFont="1" applyBorder="1" applyAlignment="1">
      <alignment vertical="center" wrapText="1"/>
    </xf>
    <xf numFmtId="0" fontId="0" fillId="0" borderId="10" xfId="0" applyBorder="1" applyAlignment="1">
      <alignment horizontal="center"/>
    </xf>
    <xf numFmtId="0" fontId="26" fillId="8" borderId="10" xfId="0" applyFont="1" applyFill="1" applyBorder="1" applyAlignment="1">
      <alignment horizontal="center" vertical="center" wrapText="1"/>
    </xf>
    <xf numFmtId="0" fontId="8" fillId="7" borderId="9" xfId="0" applyFont="1" applyFill="1" applyBorder="1" applyAlignment="1">
      <alignment horizontal="center" vertical="center" wrapText="1"/>
    </xf>
    <xf numFmtId="0" fontId="8" fillId="7" borderId="12" xfId="0" applyFont="1" applyFill="1" applyBorder="1" applyAlignment="1">
      <alignment horizontal="center" vertical="center" wrapText="1"/>
    </xf>
    <xf numFmtId="0" fontId="26" fillId="8" borderId="8" xfId="0" applyFont="1" applyFill="1" applyBorder="1" applyAlignment="1">
      <alignment horizontal="center" vertical="center" wrapText="1"/>
    </xf>
    <xf numFmtId="0" fontId="26" fillId="8" borderId="1" xfId="0" applyFont="1" applyFill="1" applyBorder="1" applyAlignment="1">
      <alignment horizontal="center" vertical="center" wrapText="1"/>
    </xf>
    <xf numFmtId="0" fontId="26" fillId="8" borderId="9" xfId="0" applyFont="1" applyFill="1" applyBorder="1" applyAlignment="1">
      <alignment horizontal="center" vertical="center" wrapText="1"/>
    </xf>
    <xf numFmtId="0" fontId="26" fillId="8" borderId="12" xfId="0" applyFont="1" applyFill="1" applyBorder="1" applyAlignment="1">
      <alignment horizontal="center" vertical="center" wrapText="1"/>
    </xf>
    <xf numFmtId="0" fontId="8" fillId="7" borderId="8" xfId="0" applyFont="1" applyFill="1" applyBorder="1" applyAlignment="1">
      <alignment horizontal="center" vertical="center" wrapText="1"/>
    </xf>
    <xf numFmtId="0" fontId="8" fillId="7" borderId="1" xfId="0" applyFont="1" applyFill="1" applyBorder="1" applyAlignment="1">
      <alignment horizontal="center" vertical="center" wrapText="1"/>
    </xf>
    <xf numFmtId="0" fontId="10" fillId="9" borderId="8" xfId="0" applyFont="1" applyFill="1" applyBorder="1" applyAlignment="1">
      <alignment horizontal="center" vertical="center" wrapText="1"/>
    </xf>
    <xf numFmtId="0" fontId="10" fillId="9" borderId="1" xfId="0" applyFont="1" applyFill="1" applyBorder="1" applyAlignment="1">
      <alignment horizontal="center" vertical="center" wrapText="1"/>
    </xf>
    <xf numFmtId="0" fontId="10" fillId="9" borderId="9" xfId="0" applyFont="1" applyFill="1" applyBorder="1" applyAlignment="1">
      <alignment horizontal="center" vertical="center" wrapText="1"/>
    </xf>
    <xf numFmtId="0" fontId="10" fillId="9" borderId="12" xfId="0" applyFont="1" applyFill="1" applyBorder="1" applyAlignment="1">
      <alignment horizontal="center" vertical="center" wrapText="1"/>
    </xf>
    <xf numFmtId="43" fontId="27" fillId="0" borderId="0" xfId="2" applyFont="1" applyFill="1"/>
    <xf numFmtId="44" fontId="2" fillId="0" borderId="3" xfId="5" applyFont="1" applyFill="1" applyBorder="1" applyAlignment="1">
      <alignment horizontal="center" vertical="center" wrapText="1"/>
    </xf>
    <xf numFmtId="0" fontId="2" fillId="0" borderId="0" xfId="0" applyFont="1" applyAlignment="1">
      <alignment vertical="center" wrapText="1"/>
    </xf>
    <xf numFmtId="0" fontId="27" fillId="0" borderId="0" xfId="0" applyFont="1"/>
    <xf numFmtId="0" fontId="27" fillId="0" borderId="0" xfId="0" applyFont="1" applyAlignment="1">
      <alignment horizontal="center" vertical="center"/>
    </xf>
    <xf numFmtId="0" fontId="27" fillId="0" borderId="0" xfId="0" applyFont="1" applyAlignment="1">
      <alignment vertical="center"/>
    </xf>
    <xf numFmtId="0" fontId="2" fillId="0" borderId="18" xfId="2" applyNumberFormat="1" applyFont="1" applyFill="1" applyBorder="1" applyAlignment="1">
      <alignment horizontal="center" vertical="center" wrapText="1"/>
    </xf>
    <xf numFmtId="44" fontId="2" fillId="0" borderId="3" xfId="1" applyFont="1" applyFill="1" applyBorder="1" applyAlignment="1">
      <alignment horizontal="center" vertical="center" wrapText="1"/>
    </xf>
    <xf numFmtId="37" fontId="1" fillId="0" borderId="0" xfId="0" applyNumberFormat="1" applyFont="1" applyAlignment="1">
      <alignment horizontal="center" vertical="center" wrapText="1"/>
    </xf>
    <xf numFmtId="37" fontId="1" fillId="0" borderId="0" xfId="0" applyNumberFormat="1" applyFont="1" applyAlignment="1">
      <alignment vertical="center" wrapText="1"/>
    </xf>
    <xf numFmtId="0" fontId="1" fillId="0" borderId="0" xfId="0" applyFont="1" applyAlignment="1">
      <alignment horizontal="center" vertical="center" wrapText="1"/>
    </xf>
    <xf numFmtId="0" fontId="2" fillId="0" borderId="0" xfId="0" applyFont="1" applyAlignment="1">
      <alignment horizontal="center" vertical="center" wrapText="1"/>
    </xf>
    <xf numFmtId="0" fontId="2" fillId="0" borderId="0" xfId="0" applyFont="1" applyAlignment="1">
      <alignment horizontal="left" vertical="center" wrapText="1"/>
    </xf>
    <xf numFmtId="15" fontId="2" fillId="0" borderId="0" xfId="0" applyNumberFormat="1" applyFont="1" applyAlignment="1">
      <alignment vertical="center" wrapText="1"/>
    </xf>
    <xf numFmtId="166" fontId="2" fillId="0" borderId="0" xfId="0" applyNumberFormat="1" applyFont="1" applyAlignment="1">
      <alignment vertical="center" wrapText="1"/>
    </xf>
    <xf numFmtId="14" fontId="2" fillId="0" borderId="0" xfId="0" applyNumberFormat="1" applyFont="1" applyAlignment="1">
      <alignment vertical="center" wrapText="1"/>
    </xf>
    <xf numFmtId="165" fontId="2" fillId="0" borderId="0" xfId="0" applyNumberFormat="1" applyFont="1" applyAlignment="1">
      <alignment horizontal="center" vertical="center" wrapText="1"/>
    </xf>
    <xf numFmtId="15" fontId="2" fillId="0" borderId="0" xfId="0" applyNumberFormat="1" applyFont="1" applyAlignment="1">
      <alignment horizontal="center" vertical="center" wrapText="1"/>
    </xf>
    <xf numFmtId="15" fontId="1" fillId="0" borderId="0" xfId="0" applyNumberFormat="1" applyFont="1" applyAlignment="1">
      <alignment horizontal="center" vertical="center" wrapText="1"/>
    </xf>
    <xf numFmtId="0" fontId="27" fillId="0" borderId="0" xfId="0" applyFont="1" applyAlignment="1">
      <alignment vertical="center" wrapText="1"/>
    </xf>
    <xf numFmtId="0" fontId="27" fillId="0" borderId="0" xfId="0" applyFont="1" applyAlignment="1">
      <alignment horizontal="center" vertical="center" wrapText="1"/>
    </xf>
    <xf numFmtId="41" fontId="2" fillId="0" borderId="0" xfId="3" applyFont="1" applyFill="1" applyAlignment="1">
      <alignment horizontal="right" vertical="center" wrapText="1"/>
    </xf>
    <xf numFmtId="165" fontId="2" fillId="0" borderId="0" xfId="0" applyNumberFormat="1" applyFont="1" applyAlignment="1">
      <alignment vertical="center" wrapText="1"/>
    </xf>
    <xf numFmtId="0" fontId="2" fillId="0" borderId="0" xfId="0" applyFont="1" applyAlignment="1">
      <alignment horizontal="left" vertical="center"/>
    </xf>
    <xf numFmtId="166" fontId="27" fillId="0" borderId="0" xfId="0" applyNumberFormat="1" applyFont="1"/>
    <xf numFmtId="14" fontId="27" fillId="0" borderId="0" xfId="0" applyNumberFormat="1" applyFont="1"/>
    <xf numFmtId="0" fontId="27" fillId="0" borderId="0" xfId="0" applyFont="1" applyAlignment="1">
      <alignment horizontal="center" wrapText="1"/>
    </xf>
    <xf numFmtId="43" fontId="1" fillId="0" borderId="0" xfId="2" applyFont="1" applyFill="1" applyAlignment="1">
      <alignment horizontal="center" vertical="center" wrapText="1"/>
    </xf>
    <xf numFmtId="43" fontId="2" fillId="0" borderId="0" xfId="2" applyFont="1" applyFill="1" applyAlignment="1">
      <alignment vertical="center" wrapText="1"/>
    </xf>
    <xf numFmtId="170" fontId="1" fillId="0" borderId="0" xfId="2" applyNumberFormat="1" applyFont="1" applyFill="1" applyAlignment="1">
      <alignment horizontal="center" vertical="center" wrapText="1"/>
    </xf>
    <xf numFmtId="170" fontId="2" fillId="0" borderId="0" xfId="2" applyNumberFormat="1" applyFont="1" applyFill="1" applyAlignment="1">
      <alignment vertical="center" wrapText="1"/>
    </xf>
    <xf numFmtId="171" fontId="1" fillId="0" borderId="0" xfId="4" applyNumberFormat="1" applyFont="1" applyFill="1" applyAlignment="1">
      <alignment vertical="center" wrapText="1"/>
    </xf>
    <xf numFmtId="171" fontId="1" fillId="0" borderId="0" xfId="4" applyNumberFormat="1" applyFont="1" applyFill="1" applyAlignment="1">
      <alignment horizontal="center" vertical="center" wrapText="1"/>
    </xf>
    <xf numFmtId="171" fontId="2" fillId="0" borderId="1" xfId="4" applyNumberFormat="1" applyFont="1" applyFill="1" applyBorder="1" applyAlignment="1">
      <alignment horizontal="center" vertical="center" wrapText="1"/>
    </xf>
    <xf numFmtId="171" fontId="2" fillId="0" borderId="3" xfId="4" applyNumberFormat="1" applyFont="1" applyFill="1" applyBorder="1" applyAlignment="1">
      <alignment horizontal="center" vertical="center" wrapText="1"/>
    </xf>
    <xf numFmtId="171" fontId="27" fillId="0" borderId="0" xfId="4" applyNumberFormat="1" applyFont="1" applyFill="1"/>
    <xf numFmtId="0" fontId="2" fillId="0" borderId="1" xfId="0" applyFont="1" applyBorder="1" applyAlignment="1">
      <alignment horizontal="center" vertical="center" wrapText="1"/>
    </xf>
    <xf numFmtId="0" fontId="2" fillId="0" borderId="1" xfId="7" applyFont="1" applyBorder="1" applyAlignment="1">
      <alignment horizontal="center" vertical="center" wrapText="1"/>
    </xf>
    <xf numFmtId="14" fontId="2" fillId="0" borderId="1" xfId="0" applyNumberFormat="1" applyFont="1" applyBorder="1" applyAlignment="1">
      <alignment horizontal="center" vertical="center" wrapText="1"/>
    </xf>
    <xf numFmtId="0" fontId="27" fillId="0" borderId="1" xfId="0" applyFont="1" applyBorder="1" applyAlignment="1">
      <alignment horizontal="center" vertical="center" wrapText="1"/>
    </xf>
    <xf numFmtId="1" fontId="2" fillId="0" borderId="1" xfId="0" applyNumberFormat="1" applyFont="1" applyBorder="1" applyAlignment="1">
      <alignment horizontal="center" vertical="center" wrapText="1"/>
    </xf>
    <xf numFmtId="0" fontId="2" fillId="0" borderId="1" xfId="8" applyFont="1" applyBorder="1" applyAlignment="1">
      <alignment horizontal="center" vertical="center" wrapText="1"/>
    </xf>
    <xf numFmtId="166" fontId="2" fillId="0" borderId="1" xfId="0" applyNumberFormat="1" applyFont="1" applyBorder="1" applyAlignment="1">
      <alignment horizontal="center" vertical="center" wrapText="1"/>
    </xf>
    <xf numFmtId="165" fontId="2" fillId="0" borderId="1" xfId="1" applyNumberFormat="1" applyFont="1" applyFill="1" applyBorder="1" applyAlignment="1">
      <alignment horizontal="center" vertical="center" wrapText="1"/>
    </xf>
    <xf numFmtId="0" fontId="2" fillId="0" borderId="3" xfId="8" applyFont="1" applyBorder="1" applyAlignment="1">
      <alignment horizontal="center" vertical="center" wrapText="1"/>
    </xf>
    <xf numFmtId="0" fontId="2" fillId="0" borderId="3" xfId="0" applyFont="1" applyBorder="1" applyAlignment="1">
      <alignment horizontal="center" vertical="center" wrapText="1"/>
    </xf>
    <xf numFmtId="0" fontId="2" fillId="0" borderId="3" xfId="7" applyFont="1" applyBorder="1" applyAlignment="1">
      <alignment horizontal="center" vertical="center" wrapText="1"/>
    </xf>
    <xf numFmtId="14" fontId="2" fillId="0" borderId="3" xfId="0" applyNumberFormat="1" applyFont="1" applyBorder="1" applyAlignment="1">
      <alignment horizontal="center" vertical="center" wrapText="1"/>
    </xf>
    <xf numFmtId="1" fontId="2" fillId="0" borderId="3" xfId="0" applyNumberFormat="1" applyFont="1" applyBorder="1" applyAlignment="1">
      <alignment horizontal="center" vertical="center" wrapText="1"/>
    </xf>
    <xf numFmtId="14" fontId="2" fillId="0" borderId="1" xfId="4" applyNumberFormat="1" applyFont="1" applyFill="1" applyBorder="1" applyAlignment="1">
      <alignment horizontal="center" vertical="center" wrapText="1"/>
    </xf>
    <xf numFmtId="0" fontId="28" fillId="0" borderId="1" xfId="4" applyNumberFormat="1" applyFont="1" applyFill="1" applyBorder="1" applyAlignment="1">
      <alignment horizontal="center" vertical="center"/>
    </xf>
    <xf numFmtId="0" fontId="28" fillId="0" borderId="1" xfId="5" applyNumberFormat="1" applyFont="1" applyFill="1" applyBorder="1" applyAlignment="1">
      <alignment horizontal="center" vertical="center"/>
    </xf>
    <xf numFmtId="0" fontId="29" fillId="0" borderId="0" xfId="0" applyFont="1"/>
    <xf numFmtId="0" fontId="27" fillId="0" borderId="1" xfId="8" applyFont="1" applyBorder="1" applyAlignment="1">
      <alignment horizontal="center" vertical="center" wrapText="1"/>
    </xf>
    <xf numFmtId="14" fontId="27" fillId="0" borderId="1" xfId="0" applyNumberFormat="1" applyFont="1" applyBorder="1" applyAlignment="1">
      <alignment horizontal="center" vertical="center"/>
    </xf>
    <xf numFmtId="0" fontId="2" fillId="0" borderId="1" xfId="0" applyFont="1" applyBorder="1" applyAlignment="1">
      <alignment horizontal="justify" vertical="center" wrapText="1"/>
    </xf>
    <xf numFmtId="0" fontId="27" fillId="0" borderId="0" xfId="0" applyFont="1" applyAlignment="1">
      <alignment horizontal="center"/>
    </xf>
    <xf numFmtId="14" fontId="2" fillId="0" borderId="1" xfId="0" applyNumberFormat="1" applyFont="1" applyBorder="1" applyAlignment="1">
      <alignment horizontal="center" vertical="center"/>
    </xf>
    <xf numFmtId="43" fontId="1" fillId="0" borderId="3" xfId="2" applyFont="1" applyFill="1" applyBorder="1" applyAlignment="1">
      <alignment horizontal="center" vertical="center" wrapText="1"/>
    </xf>
    <xf numFmtId="43" fontId="2" fillId="0" borderId="1" xfId="2" applyFont="1" applyFill="1" applyBorder="1" applyAlignment="1">
      <alignment horizontal="center" vertical="center" wrapText="1"/>
    </xf>
    <xf numFmtId="43" fontId="2" fillId="0" borderId="3" xfId="2"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7" applyFont="1" applyFill="1" applyBorder="1" applyAlignment="1">
      <alignment horizontal="center" vertical="center" wrapText="1"/>
    </xf>
    <xf numFmtId="14" fontId="2" fillId="0" borderId="1" xfId="0" applyNumberFormat="1" applyFont="1" applyFill="1" applyBorder="1" applyAlignment="1">
      <alignment horizontal="center" vertical="center" wrapText="1"/>
    </xf>
    <xf numFmtId="1" fontId="2" fillId="0" borderId="1" xfId="0" applyNumberFormat="1" applyFont="1" applyFill="1" applyBorder="1" applyAlignment="1">
      <alignment horizontal="center" vertical="center" wrapText="1"/>
    </xf>
    <xf numFmtId="0" fontId="2" fillId="0" borderId="0" xfId="0" applyFont="1" applyFill="1" applyAlignment="1">
      <alignment vertical="center" wrapText="1"/>
    </xf>
    <xf numFmtId="0" fontId="27" fillId="0" borderId="0" xfId="0" applyFont="1" applyFill="1"/>
    <xf numFmtId="0" fontId="2" fillId="8" borderId="1" xfId="2" applyNumberFormat="1" applyFont="1" applyFill="1" applyBorder="1" applyAlignment="1">
      <alignment horizontal="center" vertical="center" wrapText="1"/>
    </xf>
    <xf numFmtId="44" fontId="2" fillId="8" borderId="1" xfId="1" applyFont="1" applyFill="1" applyBorder="1" applyAlignment="1">
      <alignment horizontal="center" vertical="center" wrapText="1"/>
    </xf>
    <xf numFmtId="0" fontId="2" fillId="8" borderId="1" xfId="0" applyFont="1" applyFill="1" applyBorder="1" applyAlignment="1">
      <alignment horizontal="center" vertical="center" wrapText="1"/>
    </xf>
    <xf numFmtId="0" fontId="2" fillId="8" borderId="1" xfId="7" applyFont="1" applyFill="1" applyBorder="1" applyAlignment="1">
      <alignment horizontal="center" vertical="center" wrapText="1"/>
    </xf>
    <xf numFmtId="14" fontId="2" fillId="8" borderId="1" xfId="0" applyNumberFormat="1" applyFont="1" applyFill="1" applyBorder="1" applyAlignment="1">
      <alignment horizontal="center" vertical="center" wrapText="1"/>
    </xf>
    <xf numFmtId="1" fontId="2" fillId="8" borderId="1" xfId="0" applyNumberFormat="1" applyFont="1" applyFill="1" applyBorder="1" applyAlignment="1">
      <alignment horizontal="center" vertical="center" wrapText="1"/>
    </xf>
    <xf numFmtId="43" fontId="2" fillId="8" borderId="1" xfId="2" applyFont="1" applyFill="1" applyBorder="1" applyAlignment="1">
      <alignment horizontal="center" vertical="center" wrapText="1"/>
    </xf>
    <xf numFmtId="44" fontId="2" fillId="8" borderId="1" xfId="5" applyFont="1" applyFill="1" applyBorder="1" applyAlignment="1">
      <alignment horizontal="center" vertical="center" wrapText="1"/>
    </xf>
    <xf numFmtId="0" fontId="2" fillId="8" borderId="1" xfId="8" applyFont="1" applyFill="1" applyBorder="1" applyAlignment="1">
      <alignment horizontal="center" vertical="center" wrapText="1"/>
    </xf>
    <xf numFmtId="14" fontId="2" fillId="8" borderId="1" xfId="0" applyNumberFormat="1" applyFont="1" applyFill="1" applyBorder="1" applyAlignment="1">
      <alignment horizontal="center" vertical="center"/>
    </xf>
    <xf numFmtId="166" fontId="2" fillId="8" borderId="1" xfId="0" applyNumberFormat="1" applyFont="1" applyFill="1" applyBorder="1" applyAlignment="1">
      <alignment horizontal="center" vertical="center" wrapText="1"/>
    </xf>
    <xf numFmtId="171" fontId="2" fillId="8" borderId="1" xfId="4" applyNumberFormat="1" applyFont="1" applyFill="1" applyBorder="1" applyAlignment="1">
      <alignment horizontal="center" vertical="center" wrapText="1"/>
    </xf>
    <xf numFmtId="165" fontId="2" fillId="8" borderId="1" xfId="1" applyNumberFormat="1" applyFont="1" applyFill="1" applyBorder="1" applyAlignment="1">
      <alignment horizontal="center" vertical="center" wrapText="1"/>
    </xf>
    <xf numFmtId="0" fontId="2" fillId="8" borderId="1" xfId="8" applyFont="1" applyFill="1" applyBorder="1" applyAlignment="1">
      <alignment vertical="center" wrapText="1"/>
    </xf>
    <xf numFmtId="0" fontId="2" fillId="8" borderId="1" xfId="0" applyFont="1" applyFill="1" applyBorder="1" applyAlignment="1">
      <alignment horizontal="left" vertical="center" wrapText="1"/>
    </xf>
    <xf numFmtId="165" fontId="2" fillId="8" borderId="1" xfId="5" applyNumberFormat="1" applyFont="1" applyFill="1" applyBorder="1" applyAlignment="1">
      <alignment horizontal="center" vertical="center" wrapText="1"/>
    </xf>
    <xf numFmtId="0" fontId="6" fillId="8" borderId="1" xfId="7" applyFont="1" applyFill="1" applyBorder="1" applyAlignment="1">
      <alignment horizontal="center" vertical="center" wrapText="1"/>
    </xf>
    <xf numFmtId="0" fontId="2" fillId="8" borderId="1" xfId="8" applyFont="1" applyFill="1" applyBorder="1" applyAlignment="1">
      <alignment horizontal="center" vertical="center"/>
    </xf>
    <xf numFmtId="0" fontId="2" fillId="0" borderId="3" xfId="0" applyFont="1" applyFill="1" applyBorder="1" applyAlignment="1">
      <alignment horizontal="center" vertical="center" wrapText="1"/>
    </xf>
    <xf numFmtId="0" fontId="28" fillId="0" borderId="1" xfId="0" applyFont="1" applyBorder="1" applyAlignment="1">
      <alignment horizontal="center" vertical="center"/>
    </xf>
    <xf numFmtId="0" fontId="2" fillId="0" borderId="0" xfId="8" applyFont="1" applyBorder="1" applyAlignment="1">
      <alignment horizontal="center" vertical="center" wrapText="1"/>
    </xf>
    <xf numFmtId="0" fontId="2" fillId="0" borderId="3" xfId="7" applyFont="1" applyFill="1" applyBorder="1" applyAlignment="1">
      <alignment horizontal="center" vertical="center" wrapText="1"/>
    </xf>
    <xf numFmtId="14" fontId="27" fillId="0" borderId="3" xfId="0" applyNumberFormat="1" applyFont="1" applyBorder="1" applyAlignment="1">
      <alignment horizontal="center" vertical="center"/>
    </xf>
    <xf numFmtId="166" fontId="2" fillId="0" borderId="3" xfId="0" applyNumberFormat="1" applyFont="1" applyBorder="1" applyAlignment="1">
      <alignment horizontal="center" vertical="center" wrapText="1"/>
    </xf>
    <xf numFmtId="14" fontId="2" fillId="0" borderId="3" xfId="0" applyNumberFormat="1" applyFont="1" applyFill="1" applyBorder="1" applyAlignment="1">
      <alignment horizontal="center" vertical="center" wrapText="1"/>
    </xf>
    <xf numFmtId="1" fontId="2" fillId="0" borderId="3" xfId="0" applyNumberFormat="1" applyFont="1" applyFill="1" applyBorder="1" applyAlignment="1">
      <alignment horizontal="center" vertical="center" wrapText="1"/>
    </xf>
    <xf numFmtId="0" fontId="27" fillId="0" borderId="3" xfId="8" applyFont="1" applyBorder="1" applyAlignment="1">
      <alignment horizontal="center" vertical="center" wrapText="1"/>
    </xf>
    <xf numFmtId="0" fontId="2" fillId="8" borderId="11" xfId="7" applyFont="1" applyFill="1" applyBorder="1" applyAlignment="1">
      <alignment horizontal="center" vertical="center" wrapText="1"/>
    </xf>
    <xf numFmtId="0" fontId="27" fillId="8" borderId="1" xfId="8" applyFont="1" applyFill="1" applyBorder="1" applyAlignment="1">
      <alignment horizontal="center" vertical="center" wrapText="1"/>
    </xf>
    <xf numFmtId="171" fontId="7" fillId="0" borderId="0" xfId="4" applyNumberFormat="1" applyFont="1" applyFill="1" applyAlignment="1">
      <alignment horizontal="center" vertical="center" wrapText="1"/>
    </xf>
    <xf numFmtId="37" fontId="1" fillId="0" borderId="0" xfId="0" applyNumberFormat="1" applyFont="1" applyAlignment="1">
      <alignment horizontal="center" vertical="center" wrapText="1"/>
    </xf>
    <xf numFmtId="0" fontId="21" fillId="6" borderId="1" xfId="0" applyFont="1" applyFill="1" applyBorder="1" applyAlignment="1">
      <alignment horizontal="center" vertical="center" wrapText="1" readingOrder="1"/>
    </xf>
    <xf numFmtId="0" fontId="21" fillId="6" borderId="6" xfId="0" applyFont="1" applyFill="1" applyBorder="1" applyAlignment="1">
      <alignment horizontal="center" vertical="center" wrapText="1" readingOrder="1"/>
    </xf>
    <xf numFmtId="0" fontId="20" fillId="0" borderId="2" xfId="0" applyFont="1" applyBorder="1" applyAlignment="1">
      <alignment horizontal="center" vertical="center" wrapText="1" readingOrder="1"/>
    </xf>
    <xf numFmtId="0" fontId="21" fillId="0" borderId="1" xfId="0" applyFont="1" applyBorder="1" applyAlignment="1">
      <alignment horizontal="center" vertical="center" wrapText="1" readingOrder="1"/>
    </xf>
    <xf numFmtId="0" fontId="22" fillId="0" borderId="1" xfId="0" applyFont="1" applyBorder="1" applyAlignment="1">
      <alignment horizontal="center" vertical="center" wrapText="1" readingOrder="1"/>
    </xf>
    <xf numFmtId="0" fontId="8" fillId="7" borderId="8" xfId="0" applyFont="1" applyFill="1" applyBorder="1" applyAlignment="1">
      <alignment horizontal="center" vertical="center" wrapText="1"/>
    </xf>
    <xf numFmtId="0" fontId="8" fillId="7" borderId="1" xfId="0" applyFont="1" applyFill="1" applyBorder="1" applyAlignment="1">
      <alignment horizontal="center" vertical="center" wrapText="1"/>
    </xf>
    <xf numFmtId="0" fontId="8" fillId="7" borderId="9" xfId="0" applyFont="1" applyFill="1" applyBorder="1" applyAlignment="1">
      <alignment horizontal="center" vertical="center" wrapText="1"/>
    </xf>
    <xf numFmtId="0" fontId="8" fillId="7" borderId="12" xfId="0" applyFont="1" applyFill="1" applyBorder="1" applyAlignment="1">
      <alignment horizontal="center" vertical="center" wrapText="1"/>
    </xf>
    <xf numFmtId="0" fontId="26" fillId="8" borderId="8" xfId="0" applyFont="1" applyFill="1" applyBorder="1" applyAlignment="1">
      <alignment horizontal="center" vertical="center" wrapText="1"/>
    </xf>
    <xf numFmtId="0" fontId="26" fillId="8" borderId="1" xfId="0" applyFont="1" applyFill="1" applyBorder="1" applyAlignment="1">
      <alignment horizontal="center" vertical="center" wrapText="1"/>
    </xf>
    <xf numFmtId="0" fontId="26" fillId="8" borderId="9" xfId="0" applyFont="1" applyFill="1" applyBorder="1" applyAlignment="1">
      <alignment horizontal="center" vertical="center" wrapText="1"/>
    </xf>
    <xf numFmtId="0" fontId="26" fillId="8" borderId="12" xfId="0" applyFont="1" applyFill="1" applyBorder="1" applyAlignment="1">
      <alignment horizontal="center" vertical="center" wrapText="1"/>
    </xf>
    <xf numFmtId="0" fontId="10" fillId="9" borderId="8" xfId="0" applyFont="1" applyFill="1" applyBorder="1" applyAlignment="1">
      <alignment horizontal="center" vertical="center" wrapText="1"/>
    </xf>
    <xf numFmtId="0" fontId="10" fillId="9" borderId="1" xfId="0" applyFont="1" applyFill="1" applyBorder="1" applyAlignment="1">
      <alignment horizontal="center" vertical="center" wrapText="1"/>
    </xf>
    <xf numFmtId="0" fontId="10" fillId="9" borderId="9" xfId="0" applyFont="1" applyFill="1" applyBorder="1" applyAlignment="1">
      <alignment horizontal="center" vertical="center" wrapText="1"/>
    </xf>
    <xf numFmtId="0" fontId="10" fillId="9" borderId="12" xfId="0" applyFont="1" applyFill="1" applyBorder="1" applyAlignment="1">
      <alignment horizontal="center" vertical="center" wrapText="1"/>
    </xf>
  </cellXfs>
  <cellStyles count="10">
    <cellStyle name="Currency" xfId="1"/>
    <cellStyle name="Millares" xfId="2" builtinId="3"/>
    <cellStyle name="Millares [0]" xfId="3" builtinId="6"/>
    <cellStyle name="Moneda" xfId="4" builtinId="4"/>
    <cellStyle name="Moneda 2" xfId="5"/>
    <cellStyle name="Moneda 2 2" xfId="6"/>
    <cellStyle name="Normal" xfId="0" builtinId="0"/>
    <cellStyle name="Normal 2" xfId="7"/>
    <cellStyle name="Normal 2 10" xfId="8"/>
    <cellStyle name="Porcentaje" xfId="9" builtinId="5"/>
  </cellStyles>
  <dxfs count="67">
    <dxf>
      <fill>
        <patternFill patternType="solid">
          <fgColor rgb="FFF4B084"/>
          <bgColor rgb="FF000000"/>
        </patternFill>
      </fill>
    </dxf>
    <dxf>
      <border outline="0">
        <left style="thin">
          <color rgb="FF000000"/>
        </left>
      </border>
    </dxf>
    <dxf>
      <font>
        <strike val="0"/>
        <outline val="0"/>
        <shadow val="0"/>
        <u val="none"/>
        <vertAlign val="baseline"/>
        <sz val="12"/>
      </font>
      <numFmt numFmtId="0" formatCode="General"/>
      <fill>
        <patternFill patternType="none">
          <fgColor indexed="64"/>
          <bgColor indexed="65"/>
        </patternFill>
      </fill>
      <alignment horizontal="center" vertical="center" textRotation="0" indent="0" justifyLastLine="0" shrinkToFit="0" readingOrder="0"/>
    </dxf>
    <dxf>
      <font>
        <b/>
        <i val="0"/>
        <strike val="0"/>
        <condense val="0"/>
        <extend val="0"/>
        <outline val="0"/>
        <shadow val="0"/>
        <u val="none"/>
        <vertAlign val="baseline"/>
        <sz val="12"/>
        <color auto="1"/>
        <name val="Tahoma"/>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auto="1"/>
        <name val="Tahoma"/>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ahoma"/>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2"/>
        <color auto="1"/>
        <name val="Tahoma"/>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ahoma"/>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auto="1"/>
        <name val="Tahoma"/>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ahoma"/>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auto="1"/>
        <name val="Tahoma"/>
        <scheme val="none"/>
      </font>
      <numFmt numFmtId="171" formatCode="_-[$$-240A]\ * #,##0_-;\-[$$-240A]\ * #,##0_-;_-[$$-240A]\ * &quot;-&quot;??_-;_-@_-"/>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ahoma"/>
        <scheme val="none"/>
      </font>
      <numFmt numFmtId="165" formatCode="_-&quot;$&quot;\ * #,##0_-;\-&quot;$&quot;\ * #,##0_-;_-&quot;$&quot;\ * &quot;-&quot;??_-;_-@_-"/>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2"/>
        <color auto="1"/>
        <name val="Tahoma"/>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ahoma"/>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ahoma"/>
        <scheme val="none"/>
      </font>
      <numFmt numFmtId="1" formatCode="0"/>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ahoma"/>
        <scheme val="none"/>
      </font>
      <numFmt numFmtId="1" formatCode="0"/>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2"/>
        <color auto="1"/>
        <name val="Tahoma"/>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ahoma"/>
        <scheme val="none"/>
      </font>
      <numFmt numFmtId="33" formatCode="_-* #,##0_-;\-* #,##0_-;_-* &quot;-&quot;_-;_-@_-"/>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2"/>
        <color auto="1"/>
        <name val="Tahoma"/>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ahoma"/>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auto="1"/>
        <name val="Tahoma"/>
        <scheme val="none"/>
      </font>
      <numFmt numFmtId="19" formatCode="d/mm/yyyy"/>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2"/>
        <color auto="1"/>
        <name val="Tahoma"/>
        <scheme val="none"/>
      </font>
      <numFmt numFmtId="19" formatCode="d/mm/yyyy"/>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2"/>
        <color auto="1"/>
        <name val="Tahoma"/>
        <scheme val="none"/>
      </font>
      <numFmt numFmtId="19" formatCode="d/mm/yyyy"/>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2"/>
        <color auto="1"/>
        <name val="Tahoma"/>
        <scheme val="none"/>
      </font>
      <numFmt numFmtId="19" formatCode="d/mm/yyyy"/>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auto="1"/>
        <name val="Tahoma"/>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ahoma"/>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strike val="0"/>
        <outline val="0"/>
        <shadow val="0"/>
        <u val="none"/>
        <vertAlign val="baseline"/>
        <sz val="12"/>
        <color auto="1"/>
        <name val="Tahoma"/>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ahoma"/>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auto="1"/>
        <name val="Tahoma"/>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ahoma"/>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auto="1"/>
        <name val="Tahoma"/>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Tahoma"/>
        <scheme val="none"/>
      </font>
      <numFmt numFmtId="34" formatCode="_-&quot;$&quot;\ * #,##0.00_-;\-&quot;$&quot;\ * #,##0.00_-;_-&quot;$&quot;\ * &quot;-&quot;??_-;_-@_-"/>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i val="0"/>
        <strike val="0"/>
        <condense val="0"/>
        <extend val="0"/>
        <outline val="0"/>
        <shadow val="0"/>
        <u val="none"/>
        <vertAlign val="baseline"/>
        <sz val="12"/>
        <color auto="1"/>
        <name val="Tahoma"/>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2"/>
        <color auto="1"/>
        <name val="Tahoma"/>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2"/>
        <color auto="1"/>
        <name val="Tahoma"/>
        <scheme val="none"/>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indexed="20"/>
      </font>
      <fill>
        <patternFill>
          <bgColor indexed="45"/>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indexed="20"/>
      </font>
      <fill>
        <patternFill>
          <bgColor indexed="45"/>
        </patternFill>
      </fill>
    </dxf>
    <dxf>
      <font>
        <color indexed="20"/>
      </font>
      <fill>
        <patternFill>
          <bgColor indexed="4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K:\RESUMEN%20PRESUPUESTAL%20POR%20RUBRO%20(8)12092016.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docs.live.net/Users/handr/Desktop/UAESP/Seguimiento%20Proyectos/SEGUIMIENTO%20MENSUAL%20RESERVAS%20CONSTITUIDAS%20DICIEMBRE%20DE%202020%2016%20feb.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FORME X RUBRO (2)"/>
      <sheetName val="INFORME X RUBRO"/>
      <sheetName val="CDPS "/>
      <sheetName val="TD CRPS"/>
      <sheetName val="td compromisos marce"/>
      <sheetName val="CRPS "/>
      <sheetName val="Hoja4"/>
      <sheetName val="EJECUCIÓN"/>
      <sheetName val="T.D. CONC.GASTO"/>
      <sheetName val="CDPS CONC.GASTO"/>
      <sheetName val="Listas"/>
      <sheetName val="RESUMEN PRESUPUESTAL POR RUBRO "/>
    </sheetNames>
    <sheetDataSet>
      <sheetData sheetId="0" refreshError="1"/>
      <sheetData sheetId="1" refreshError="1"/>
      <sheetData sheetId="2" refreshError="1"/>
      <sheetData sheetId="3">
        <row r="5">
          <cell r="A5" t="str">
            <v>1003-1-1-01-14-00-0000-00</v>
          </cell>
          <cell r="B5" t="str">
            <v>UNIDAD ADMINISTRATIVA ESPECIAL DE SERVICIOS PUBLICOS</v>
          </cell>
          <cell r="C5">
            <v>6548627</v>
          </cell>
        </row>
        <row r="6">
          <cell r="A6" t="str">
            <v>1003-1-1-01-21-00-0000-00</v>
          </cell>
          <cell r="B6" t="str">
            <v>UNIDAD ADMINISTRATIVA ESPECIAL DE SERVICIOS PUBLICOS</v>
          </cell>
          <cell r="C6">
            <v>14015732</v>
          </cell>
        </row>
        <row r="7">
          <cell r="A7" t="str">
            <v>1003-1-1-01-26-00-0000-00</v>
          </cell>
          <cell r="B7" t="str">
            <v>UNIDAD ADMINISTRATIVA ESPECIAL DE SERVICIOS PUBLICOS</v>
          </cell>
          <cell r="C7">
            <v>420956</v>
          </cell>
        </row>
        <row r="8">
          <cell r="A8" t="str">
            <v>1013-3-1-14-02-21-0584-205</v>
          </cell>
          <cell r="B8" t="str">
            <v>METRICA CONSULTORES S A S</v>
          </cell>
          <cell r="C8">
            <v>41083592</v>
          </cell>
        </row>
        <row r="9">
          <cell r="A9" t="str">
            <v>1023-3-1-14-02-21-0584-204</v>
          </cell>
          <cell r="B9" t="str">
            <v>MARIA CAMILA CORAL VILLOTA</v>
          </cell>
          <cell r="C9">
            <v>13410000</v>
          </cell>
        </row>
        <row r="10">
          <cell r="A10" t="str">
            <v>103-1-1-02-03-01-0000-00</v>
          </cell>
          <cell r="B10" t="str">
            <v>MARCELA  GOMEZ CLARK</v>
          </cell>
          <cell r="C10">
            <v>5800000</v>
          </cell>
        </row>
        <row r="11">
          <cell r="A11" t="str">
            <v>1043-3-1-14-02-21-0584-204</v>
          </cell>
          <cell r="B11" t="str">
            <v>EMPRESA DE ACUEDUCTO ALCANTARILLADO Y ASEO DE BOGOTA ESP</v>
          </cell>
          <cell r="C11">
            <v>5000000000</v>
          </cell>
        </row>
        <row r="12">
          <cell r="A12" t="str">
            <v>1073-3-1-14-02-21-0584-205</v>
          </cell>
          <cell r="B12" t="str">
            <v>VIVIANA ISABEL ARENAS VIOLA</v>
          </cell>
          <cell r="C12">
            <v>34883333</v>
          </cell>
        </row>
        <row r="13">
          <cell r="A13" t="str">
            <v>1073-3-1-14-02-21-0584-207</v>
          </cell>
          <cell r="B13" t="str">
            <v>VIVIANA ISABEL ARENAS VIOLA</v>
          </cell>
          <cell r="C13">
            <v>34883333</v>
          </cell>
        </row>
        <row r="14">
          <cell r="A14" t="str">
            <v>1083-1-1-02-03-01-0000-00</v>
          </cell>
          <cell r="B14" t="str">
            <v>HERNANDO DE JESUS HERRERA MERCADO</v>
          </cell>
          <cell r="C14">
            <v>1399591620</v>
          </cell>
        </row>
        <row r="15">
          <cell r="A15" t="str">
            <v>1103-3-1-14-02-21-0584-205</v>
          </cell>
          <cell r="B15" t="str">
            <v>HELI ALFREDO IZACIGA SUAREZ</v>
          </cell>
          <cell r="C15">
            <v>21532362</v>
          </cell>
        </row>
        <row r="16">
          <cell r="A16" t="str">
            <v>1123-1-1-02-03-01-0000-00</v>
          </cell>
          <cell r="B16" t="str">
            <v>ALBERTO  ROA QUINONES</v>
          </cell>
          <cell r="C16">
            <v>76266666</v>
          </cell>
        </row>
        <row r="17">
          <cell r="A17" t="str">
            <v>113-1-1-02-03-01-0000-00</v>
          </cell>
          <cell r="B17" t="str">
            <v>RAUL WEXLER PULIDO TELLEZ</v>
          </cell>
          <cell r="C17">
            <v>5800000</v>
          </cell>
        </row>
        <row r="18">
          <cell r="A18" t="str">
            <v>1133-1-2-02-03-00-0000-00</v>
          </cell>
          <cell r="B18" t="str">
            <v>UNIDAD ADMINISTRATIVA ESPECIAL DE SERVICIOS PUBLICOS</v>
          </cell>
          <cell r="C18">
            <v>805060</v>
          </cell>
        </row>
        <row r="19">
          <cell r="A19" t="str">
            <v>1143-1-1-02-03-01-0000-00</v>
          </cell>
          <cell r="B19" t="str">
            <v>ZAYRA ESTEFANIA USECHE GOMEZ</v>
          </cell>
          <cell r="C19">
            <v>3200000</v>
          </cell>
        </row>
        <row r="20">
          <cell r="A20" t="str">
            <v>1153-3-1-14-03-31-0581-235</v>
          </cell>
          <cell r="B20" t="str">
            <v>LUISA FERNANDA SANTIAGO DELVASTO</v>
          </cell>
          <cell r="C20">
            <v>57000000</v>
          </cell>
        </row>
        <row r="21">
          <cell r="A21" t="str">
            <v>1163-1-1-02-03-01-0000-00</v>
          </cell>
          <cell r="B21" t="str">
            <v>BDO AUDIT S A</v>
          </cell>
          <cell r="C21">
            <v>46400000</v>
          </cell>
        </row>
        <row r="22">
          <cell r="A22" t="str">
            <v>1173-1-1-03-01-02-0000-00</v>
          </cell>
          <cell r="B22" t="str">
            <v>UNIDAD ADMINISTRATIVA ESPECIAL DE SERVICIOS PUBLICOS</v>
          </cell>
          <cell r="C22">
            <v>36802000</v>
          </cell>
        </row>
        <row r="23">
          <cell r="A23" t="str">
            <v>1173-1-1-03-01-03-0000-00</v>
          </cell>
          <cell r="B23" t="str">
            <v>UNIDAD ADMINISTRATIVA ESPECIAL DE SERVICIOS PUBLICOS</v>
          </cell>
          <cell r="C23">
            <v>50861361</v>
          </cell>
        </row>
        <row r="24">
          <cell r="A24" t="str">
            <v>1173-1-1-03-01-05-0000-00</v>
          </cell>
          <cell r="B24" t="str">
            <v>UNIDAD ADMINISTRATIVA ESPECIAL DE SERVICIOS PUBLICOS</v>
          </cell>
          <cell r="C24">
            <v>24596700</v>
          </cell>
        </row>
        <row r="25">
          <cell r="A25" t="str">
            <v>1173-1-1-03-02-01-0000-00</v>
          </cell>
          <cell r="B25" t="str">
            <v>UNIDAD ADMINISTRATIVA ESPECIAL DE SERVICIOS PUBLICOS</v>
          </cell>
          <cell r="C25">
            <v>39529024</v>
          </cell>
        </row>
        <row r="26">
          <cell r="A26" t="str">
            <v>1173-1-1-03-02-02-0000-00</v>
          </cell>
          <cell r="B26" t="str">
            <v>UNIDAD ADMINISTRATIVA ESPECIAL DE SERVICIOS PUBLICOS</v>
          </cell>
          <cell r="C26">
            <v>35004980</v>
          </cell>
        </row>
        <row r="27">
          <cell r="A27" t="str">
            <v>1173-1-1-03-02-04-0000-00</v>
          </cell>
          <cell r="B27" t="str">
            <v>UNIDAD ADMINISTRATIVA ESPECIAL DE SERVICIOS PUBLICOS</v>
          </cell>
          <cell r="C27">
            <v>3610172</v>
          </cell>
        </row>
        <row r="28">
          <cell r="A28" t="str">
            <v>1173-1-1-03-02-06-0000-00</v>
          </cell>
          <cell r="B28" t="str">
            <v>UNIDAD ADMINISTRATIVA ESPECIAL DE SERVICIOS PUBLICOS</v>
          </cell>
          <cell r="C28">
            <v>18447600</v>
          </cell>
        </row>
        <row r="29">
          <cell r="A29" t="str">
            <v>1173-1-1-03-02-07-0000-00</v>
          </cell>
          <cell r="B29" t="str">
            <v>UNIDAD ADMINISTRATIVA ESPECIAL DE SERVICIOS PUBLICOS</v>
          </cell>
          <cell r="C29">
            <v>12299700</v>
          </cell>
        </row>
        <row r="30">
          <cell r="A30" t="str">
            <v>1173-1-1-03-02-09-0000-00</v>
          </cell>
          <cell r="B30" t="str">
            <v>UNIDAD ADMINISTRATIVA ESPECIAL DE SERVICIOS PUBLICOS</v>
          </cell>
          <cell r="C30">
            <v>8892</v>
          </cell>
        </row>
        <row r="31">
          <cell r="A31" t="str">
            <v>1183-3-1-14-03-31-0581-235</v>
          </cell>
          <cell r="B31" t="str">
            <v>EMPRESA DE TELECOMUNICACIONES DE BOGOTA SA ESP</v>
          </cell>
          <cell r="C31">
            <v>159386506</v>
          </cell>
        </row>
        <row r="32">
          <cell r="A32" t="str">
            <v>1193-1-1-02-03-01-0000-00</v>
          </cell>
          <cell r="B32" t="str">
            <v>GERARDO  PINZON</v>
          </cell>
          <cell r="C32">
            <v>52250000</v>
          </cell>
        </row>
        <row r="33">
          <cell r="A33" t="str">
            <v>123-3-1-14-02-21-0584-205</v>
          </cell>
          <cell r="B33" t="str">
            <v>GABRIELA  SANDOVAL MONTOYA</v>
          </cell>
          <cell r="C33">
            <v>83999990</v>
          </cell>
        </row>
        <row r="34">
          <cell r="A34" t="str">
            <v>1263-1-1-02-03-01-0000-00</v>
          </cell>
          <cell r="B34" t="str">
            <v>JEIMY JOHANA PEDRAZA VENEGAS</v>
          </cell>
          <cell r="C34">
            <v>0</v>
          </cell>
        </row>
        <row r="35">
          <cell r="A35" t="str">
            <v>1273-1-1-02-03-01-0000-00</v>
          </cell>
          <cell r="B35" t="str">
            <v>MARIELA  RUIZ JEREZ</v>
          </cell>
          <cell r="C35">
            <v>0</v>
          </cell>
        </row>
        <row r="36">
          <cell r="A36" t="str">
            <v>1303-1-1-02-03-01-0000-00</v>
          </cell>
          <cell r="B36" t="str">
            <v>KELLY MARCELA TORRES RISCANEVO</v>
          </cell>
          <cell r="C36">
            <v>42750000</v>
          </cell>
        </row>
        <row r="37">
          <cell r="A37" t="str">
            <v>1323-1-1-02-03-01-0000-00</v>
          </cell>
          <cell r="B37" t="str">
            <v>MONICA  CASTRO MARTINEZ</v>
          </cell>
          <cell r="C37">
            <v>66500000</v>
          </cell>
        </row>
        <row r="38">
          <cell r="A38" t="str">
            <v>133-3-1-14-03-31-0581-235</v>
          </cell>
          <cell r="B38" t="str">
            <v>RUBEN ESTEBAN BUITRAGO DAZA</v>
          </cell>
          <cell r="C38">
            <v>21597000</v>
          </cell>
        </row>
        <row r="39">
          <cell r="A39" t="str">
            <v>1373-3-1-14-03-31-0581-235</v>
          </cell>
          <cell r="B39" t="str">
            <v>JOSE LEONARDO ALVAREZ ORTIZ</v>
          </cell>
          <cell r="C39">
            <v>15620000</v>
          </cell>
        </row>
        <row r="40">
          <cell r="A40" t="str">
            <v>1403-1-1-01-01-00-0000-00</v>
          </cell>
          <cell r="B40" t="str">
            <v>UNIDAD ADMINISTRATIVA ESPECIAL DE SERVICIOS PUBLICOS</v>
          </cell>
          <cell r="C40">
            <v>499100201</v>
          </cell>
        </row>
        <row r="41">
          <cell r="A41" t="str">
            <v>1403-1-1-01-04-00-0000-00</v>
          </cell>
          <cell r="B41" t="str">
            <v>UNIDAD ADMINISTRATIVA ESPECIAL DE SERVICIOS PUBLICOS</v>
          </cell>
          <cell r="C41">
            <v>39478773</v>
          </cell>
        </row>
        <row r="42">
          <cell r="A42" t="str">
            <v>1403-1-1-01-05-00-0000-00</v>
          </cell>
          <cell r="B42" t="str">
            <v>UNIDAD ADMINISTRATIVA ESPECIAL DE SERVICIOS PUBLICOS</v>
          </cell>
          <cell r="C42">
            <v>8209167</v>
          </cell>
        </row>
        <row r="43">
          <cell r="A43" t="str">
            <v>1403-1-1-01-06-00-0000-00</v>
          </cell>
          <cell r="B43" t="str">
            <v>UNIDAD ADMINISTRATIVA ESPECIAL DE SERVICIOS PUBLICOS</v>
          </cell>
          <cell r="C43">
            <v>830033</v>
          </cell>
        </row>
        <row r="44">
          <cell r="A44" t="str">
            <v>1403-1-1-01-07-00-0000-00</v>
          </cell>
          <cell r="B44" t="str">
            <v>UNIDAD ADMINISTRATIVA ESPECIAL DE SERVICIOS PUBLICOS</v>
          </cell>
          <cell r="C44">
            <v>62825</v>
          </cell>
        </row>
        <row r="45">
          <cell r="A45" t="str">
            <v>1403-1-1-01-08-00-0000-00</v>
          </cell>
          <cell r="B45" t="str">
            <v>UNIDAD ADMINISTRATIVA ESPECIAL DE SERVICIOS PUBLICOS</v>
          </cell>
          <cell r="C45">
            <v>32095179</v>
          </cell>
        </row>
        <row r="46">
          <cell r="A46" t="str">
            <v>1403-1-1-01-13-00-0000-00</v>
          </cell>
          <cell r="B46" t="str">
            <v>UNIDAD ADMINISTRATIVA ESPECIAL DE SERVICIOS PUBLICOS</v>
          </cell>
          <cell r="C46">
            <v>1017274</v>
          </cell>
        </row>
        <row r="47">
          <cell r="A47" t="str">
            <v>1403-1-1-01-14-00-0000-00</v>
          </cell>
          <cell r="B47" t="str">
            <v>UNIDAD ADMINISTRATIVA ESPECIAL DE SERVICIOS PUBLICOS</v>
          </cell>
          <cell r="C47">
            <v>37561099</v>
          </cell>
        </row>
        <row r="48">
          <cell r="A48" t="str">
            <v>1403-1-1-01-15-00-0000-00</v>
          </cell>
          <cell r="B48" t="str">
            <v>UNIDAD ADMINISTRATIVA ESPECIAL DE SERVICIOS PUBLICOS</v>
          </cell>
          <cell r="C48">
            <v>153647778</v>
          </cell>
        </row>
        <row r="49">
          <cell r="A49" t="str">
            <v>1403-1-1-01-16-00-0000-00</v>
          </cell>
          <cell r="B49" t="str">
            <v>UNIDAD ADMINISTRATIVA ESPECIAL DE SERVICIOS PUBLICOS</v>
          </cell>
          <cell r="C49">
            <v>7680299</v>
          </cell>
        </row>
        <row r="50">
          <cell r="A50" t="str">
            <v>1403-1-1-01-17-00-0000-00</v>
          </cell>
          <cell r="B50" t="str">
            <v>UNIDAD ADMINISTRATIVA ESPECIAL DE SERVICIOS PUBLICOS</v>
          </cell>
          <cell r="C50">
            <v>486061</v>
          </cell>
        </row>
        <row r="51">
          <cell r="A51" t="str">
            <v>1403-1-1-01-21-00-0000-00</v>
          </cell>
          <cell r="B51" t="str">
            <v>UNIDAD ADMINISTRATIVA ESPECIAL DE SERVICIOS PUBLICOS</v>
          </cell>
          <cell r="C51">
            <v>51397416</v>
          </cell>
        </row>
        <row r="52">
          <cell r="A52" t="str">
            <v>1403-1-1-01-26-00-0000-00</v>
          </cell>
          <cell r="B52" t="str">
            <v>UNIDAD ADMINISTRATIVA ESPECIAL DE SERVICIOS PUBLICOS</v>
          </cell>
          <cell r="C52">
            <v>2704881</v>
          </cell>
        </row>
        <row r="53">
          <cell r="A53" t="str">
            <v>1413-3-1-14-02-21-0584-206</v>
          </cell>
          <cell r="B53" t="str">
            <v>OTONIEL  DIAZ MUÑOZ</v>
          </cell>
          <cell r="C53">
            <v>185934</v>
          </cell>
        </row>
        <row r="54">
          <cell r="A54" t="str">
            <v>143-3-1-14-03-31-0581-235</v>
          </cell>
          <cell r="B54" t="str">
            <v>YULLIE EUGENIA QUICANO RAMIREZ</v>
          </cell>
          <cell r="C54">
            <v>96000000</v>
          </cell>
        </row>
        <row r="55">
          <cell r="A55" t="str">
            <v>1443-3-1-14-02-21-0584-206</v>
          </cell>
          <cell r="B55" t="str">
            <v>OTONIEL  DIAZ MUÑOZ</v>
          </cell>
          <cell r="C55">
            <v>2390640</v>
          </cell>
        </row>
        <row r="56">
          <cell r="A56" t="str">
            <v>153-3-1-14-03-31-0581-235</v>
          </cell>
          <cell r="B56" t="str">
            <v>PATRICIA ELIZABETH MURCIA PAEZ</v>
          </cell>
          <cell r="C56">
            <v>180959998</v>
          </cell>
        </row>
        <row r="57">
          <cell r="A57" t="str">
            <v>163-3-1-14-03-31-0581-235</v>
          </cell>
          <cell r="B57" t="str">
            <v>WILSON ARTURO BORDA MORA</v>
          </cell>
          <cell r="C57">
            <v>35999991</v>
          </cell>
        </row>
        <row r="58">
          <cell r="A58" t="str">
            <v>173-3-1-14-03-31-0581-235</v>
          </cell>
          <cell r="B58" t="str">
            <v>SEBASTIAN  MORALES GALVIS</v>
          </cell>
          <cell r="C58">
            <v>35900666</v>
          </cell>
        </row>
        <row r="59">
          <cell r="A59" t="str">
            <v>183-3-1-14-03-31-0581-235</v>
          </cell>
          <cell r="B59" t="str">
            <v>MONICA SOLEDAD MURCIA PAEZ</v>
          </cell>
          <cell r="C59">
            <v>208799992</v>
          </cell>
        </row>
        <row r="60">
          <cell r="A60" t="str">
            <v>193-3-1-14-02-21-0584-205</v>
          </cell>
          <cell r="B60" t="str">
            <v>DORA SOFIA ROBAYO BARBOSA</v>
          </cell>
          <cell r="C60">
            <v>95999869</v>
          </cell>
        </row>
        <row r="61">
          <cell r="A61" t="str">
            <v>203-1-1-02-03-01-0000-00</v>
          </cell>
          <cell r="B61" t="str">
            <v>KAREN ISABEL MURCIA MATALLANA</v>
          </cell>
          <cell r="C61">
            <v>65998500</v>
          </cell>
        </row>
        <row r="62">
          <cell r="A62" t="str">
            <v>223-1-2-02-03-00-0000-00</v>
          </cell>
          <cell r="B62" t="str">
            <v>UNIDAD ADMINISTRATIVA ESPECIAL DE SERVICIOS PUBLICOS</v>
          </cell>
          <cell r="C62">
            <v>16825792</v>
          </cell>
        </row>
        <row r="63">
          <cell r="A63" t="str">
            <v>23-3-1-14-02-21-0584-205</v>
          </cell>
          <cell r="B63" t="str">
            <v>DIAZ UMAÑA &amp; ASOCIADOS SAS</v>
          </cell>
          <cell r="C63">
            <v>208568000</v>
          </cell>
        </row>
        <row r="64">
          <cell r="A64" t="str">
            <v>233-1-2-02-08-01-0000-00</v>
          </cell>
          <cell r="B64" t="str">
            <v>UNIDAD ADMINISTRATIVA ESPECIAL DE SERVICIOS PUBLICOS</v>
          </cell>
          <cell r="C64">
            <v>63742060</v>
          </cell>
        </row>
        <row r="65">
          <cell r="B65" t="str">
            <v>TEBOCOL SAS</v>
          </cell>
          <cell r="C65">
            <v>1189845</v>
          </cell>
        </row>
        <row r="66">
          <cell r="A66" t="str">
            <v>233-1-2-02-08-02-0000-00</v>
          </cell>
          <cell r="B66" t="str">
            <v>UNIDAD ADMINISTRATIVA ESPECIAL DE SERVICIOS PUBLICOS</v>
          </cell>
          <cell r="C66">
            <v>3262220</v>
          </cell>
        </row>
        <row r="67">
          <cell r="A67" t="str">
            <v>233-1-2-02-08-03-0000-00</v>
          </cell>
          <cell r="B67" t="str">
            <v>UNIDAD ADMINISTRATIVA ESPECIAL DE SERVICIOS PUBLICOS</v>
          </cell>
          <cell r="C67">
            <v>139150</v>
          </cell>
        </row>
        <row r="68">
          <cell r="A68" t="str">
            <v>233-1-2-02-08-04-0000-00</v>
          </cell>
          <cell r="B68" t="str">
            <v>UNIDAD ADMINISTRATIVA ESPECIAL DE SERVICIOS PUBLICOS</v>
          </cell>
          <cell r="C68">
            <v>51043640</v>
          </cell>
        </row>
        <row r="69">
          <cell r="A69" t="str">
            <v>243-3-1-14-02-21-0584-205</v>
          </cell>
          <cell r="B69" t="str">
            <v>UNIDAD ADMINISTRATIVA ESPECIAL DE SERVICIOS PUBLICOS</v>
          </cell>
          <cell r="C69">
            <v>31839955</v>
          </cell>
        </row>
        <row r="70">
          <cell r="A70" t="str">
            <v>253-1-2-01-02-00-0000-00</v>
          </cell>
          <cell r="B70" t="str">
            <v>UNIDAD ADMINISTRATIVA ESPECIAL DE SERVICIOS PUBLICOS</v>
          </cell>
          <cell r="C70">
            <v>1754800</v>
          </cell>
        </row>
        <row r="71">
          <cell r="A71" t="str">
            <v>253-1-2-01-04-00-0000-00</v>
          </cell>
          <cell r="B71" t="str">
            <v>UNIDAD ADMINISTRATIVA ESPECIAL DE SERVICIOS PUBLICOS</v>
          </cell>
          <cell r="C71">
            <v>9108372</v>
          </cell>
        </row>
        <row r="72">
          <cell r="A72" t="str">
            <v>253-1-2-02-03-00-0000-00</v>
          </cell>
          <cell r="B72" t="str">
            <v>UNIDAD ADMINISTRATIVA ESPECIAL DE SERVICIOS PUBLICOS</v>
          </cell>
          <cell r="C72">
            <v>3848900</v>
          </cell>
        </row>
        <row r="73">
          <cell r="A73" t="str">
            <v>253-1-2-02-04-00-0000-00</v>
          </cell>
          <cell r="B73" t="str">
            <v>UNIDAD ADMINISTRATIVA ESPECIAL DE SERVICIOS PUBLICOS</v>
          </cell>
          <cell r="C73">
            <v>1742250</v>
          </cell>
        </row>
        <row r="74">
          <cell r="A74" t="str">
            <v>253-1-2-02-05-01-0000-00</v>
          </cell>
          <cell r="B74" t="str">
            <v>UNIDAD ADMINISTRATIVA ESPECIAL DE SERVICIOS PUBLICOS</v>
          </cell>
          <cell r="C74">
            <v>2528786</v>
          </cell>
        </row>
        <row r="75">
          <cell r="A75" t="str">
            <v>253-1-2-03-02-00-0000-00</v>
          </cell>
          <cell r="B75" t="str">
            <v>UNIDAD ADMINISTRATIVA ESPECIAL DE SERVICIOS PUBLICOS</v>
          </cell>
          <cell r="C75">
            <v>972556</v>
          </cell>
        </row>
        <row r="76">
          <cell r="A76" t="str">
            <v>273-3-1-14-03-31-0581-235</v>
          </cell>
          <cell r="B76" t="str">
            <v>SIRLEY LORENA QUINTERO GOMEZ</v>
          </cell>
          <cell r="C76">
            <v>32199996</v>
          </cell>
        </row>
        <row r="77">
          <cell r="A77" t="str">
            <v>283-3-1-14-03-31-0581-235</v>
          </cell>
          <cell r="B77" t="str">
            <v>JOHANA  PATIÑO VELILLA</v>
          </cell>
          <cell r="C77">
            <v>80499996</v>
          </cell>
        </row>
        <row r="78">
          <cell r="A78" t="str">
            <v>293-3-1-14-02-21-0584-204</v>
          </cell>
          <cell r="B78" t="str">
            <v>TANIA MARINELA GARCIA MENDEZ</v>
          </cell>
          <cell r="C78">
            <v>66000000</v>
          </cell>
        </row>
        <row r="79">
          <cell r="A79" t="str">
            <v>303-3-1-14-02-21-0584-206</v>
          </cell>
          <cell r="B79" t="str">
            <v>FRANCISCO JAVIER ACOSTA SUAREZ</v>
          </cell>
          <cell r="C79">
            <v>144928000</v>
          </cell>
        </row>
        <row r="80">
          <cell r="A80" t="str">
            <v>313-3-1-14-03-31-0581-235</v>
          </cell>
          <cell r="B80" t="str">
            <v>GUILLERMO ALFONSO AGUANCHA BAUTE</v>
          </cell>
          <cell r="C80">
            <v>85249999</v>
          </cell>
        </row>
        <row r="81">
          <cell r="A81" t="str">
            <v>323-3-1-14-03-31-0581-235</v>
          </cell>
          <cell r="B81" t="str">
            <v>LUZ DARY CUEVAS MUÑOZ</v>
          </cell>
          <cell r="C81">
            <v>90933326</v>
          </cell>
        </row>
        <row r="82">
          <cell r="A82" t="str">
            <v>33-3-1-14-02-21-0584-206</v>
          </cell>
          <cell r="B82" t="str">
            <v>DENNY VANNESSA SOTELO BUSTOS</v>
          </cell>
          <cell r="C82">
            <v>95990500</v>
          </cell>
        </row>
        <row r="83">
          <cell r="A83" t="str">
            <v>333-3-1-14-02-21-0584-205</v>
          </cell>
          <cell r="B83" t="str">
            <v>SAADA SOLIMA MAHMUD SANCHEZ</v>
          </cell>
          <cell r="C83">
            <v>85704667</v>
          </cell>
        </row>
        <row r="84">
          <cell r="A84" t="str">
            <v>333-3-1-14-02-21-0584-206</v>
          </cell>
          <cell r="B84" t="str">
            <v>SAADA SOLIMA MAHMUD SANCHEZ</v>
          </cell>
          <cell r="C84">
            <v>85704448</v>
          </cell>
        </row>
        <row r="85">
          <cell r="A85" t="str">
            <v>343-3-1-14-01-14-0582-171</v>
          </cell>
          <cell r="B85" t="str">
            <v>MILTON FERNANDO MONTOYA PARDO</v>
          </cell>
          <cell r="C85">
            <v>170906659</v>
          </cell>
        </row>
        <row r="86">
          <cell r="A86" t="str">
            <v>353-3-1-14-01-14-0582-171</v>
          </cell>
          <cell r="B86" t="str">
            <v>MARIA CAMILA ANA FERNANDA LOZANO MARTINEZ</v>
          </cell>
          <cell r="C86">
            <v>73666659</v>
          </cell>
        </row>
        <row r="87">
          <cell r="A87" t="str">
            <v>363-3-1-14-01-14-0582-171</v>
          </cell>
          <cell r="B87" t="str">
            <v>ANGIE ALEXANDRA HERNANDEZ CASTAÑO</v>
          </cell>
          <cell r="C87">
            <v>40181814</v>
          </cell>
        </row>
        <row r="88">
          <cell r="A88" t="str">
            <v>373-3-1-14-03-31-0581-235</v>
          </cell>
          <cell r="B88" t="str">
            <v>DANIEL ARTURO JAIME VELANDIA</v>
          </cell>
          <cell r="C88">
            <v>77000000</v>
          </cell>
        </row>
        <row r="89">
          <cell r="A89" t="str">
            <v>403-1-1-01-01-00-0000-00</v>
          </cell>
          <cell r="B89" t="str">
            <v>UNIDAD ADMINISTRATIVA ESPECIAL DE SERVICIOS PUBLICOS</v>
          </cell>
          <cell r="C89">
            <v>347329304</v>
          </cell>
        </row>
        <row r="90">
          <cell r="A90" t="str">
            <v>403-1-1-01-04-00-0000-00</v>
          </cell>
          <cell r="B90" t="str">
            <v>UNIDAD ADMINISTRATIVA ESPECIAL DE SERVICIOS PUBLICOS</v>
          </cell>
          <cell r="C90">
            <v>25294882</v>
          </cell>
        </row>
        <row r="91">
          <cell r="A91" t="str">
            <v>403-1-1-01-05-00-0000-00</v>
          </cell>
          <cell r="B91" t="str">
            <v>UNIDAD ADMINISTRATIVA ESPECIAL DE SERVICIOS PUBLICOS</v>
          </cell>
          <cell r="C91">
            <v>4019060</v>
          </cell>
        </row>
        <row r="92">
          <cell r="A92" t="str">
            <v>403-1-1-01-06-00-0000-00</v>
          </cell>
          <cell r="B92" t="str">
            <v>UNIDAD ADMINISTRATIVA ESPECIAL DE SERVICIOS PUBLICOS</v>
          </cell>
          <cell r="C92">
            <v>705714</v>
          </cell>
        </row>
        <row r="93">
          <cell r="A93" t="str">
            <v>403-1-1-01-07-00-0000-00</v>
          </cell>
          <cell r="B93" t="str">
            <v>UNIDAD ADMINISTRATIVA ESPECIAL DE SERVICIOS PUBLICOS</v>
          </cell>
          <cell r="C93">
            <v>751483</v>
          </cell>
        </row>
        <row r="94">
          <cell r="A94" t="str">
            <v>403-1-1-01-08-00-0000-00</v>
          </cell>
          <cell r="B94" t="str">
            <v>UNIDAD ADMINISTRATIVA ESPECIAL DE SERVICIOS PUBLICOS</v>
          </cell>
          <cell r="C94">
            <v>14564598</v>
          </cell>
        </row>
        <row r="95">
          <cell r="A95" t="str">
            <v>403-1-1-01-13-00-0000-00</v>
          </cell>
          <cell r="B95" t="str">
            <v>UNIDAD ADMINISTRATIVA ESPECIAL DE SERVICIOS PUBLICOS</v>
          </cell>
          <cell r="C95">
            <v>192116</v>
          </cell>
        </row>
        <row r="96">
          <cell r="A96" t="str">
            <v>403-1-1-01-15-00-0000-00</v>
          </cell>
          <cell r="B96" t="str">
            <v>UNIDAD ADMINISTRATIVA ESPECIAL DE SERVICIOS PUBLICOS</v>
          </cell>
          <cell r="C96">
            <v>101763812</v>
          </cell>
        </row>
        <row r="97">
          <cell r="A97" t="str">
            <v>403-1-1-01-16-00-0000-00</v>
          </cell>
          <cell r="B97" t="str">
            <v>UNIDAD ADMINISTRATIVA ESPECIAL DE SERVICIOS PUBLICOS</v>
          </cell>
          <cell r="C97">
            <v>3456508</v>
          </cell>
        </row>
        <row r="98">
          <cell r="A98" t="str">
            <v>403-1-1-01-17-00-0000-00</v>
          </cell>
          <cell r="B98" t="str">
            <v>UNIDAD ADMINISTRATIVA ESPECIAL DE SERVICIOS PUBLICOS</v>
          </cell>
          <cell r="C98">
            <v>315811</v>
          </cell>
        </row>
        <row r="99">
          <cell r="A99" t="str">
            <v>403-1-1-01-21-00-0000-00</v>
          </cell>
          <cell r="B99" t="str">
            <v>UNIDAD ADMINISTRATIVA ESPECIAL DE SERVICIOS PUBLICOS</v>
          </cell>
          <cell r="C99">
            <v>1808917</v>
          </cell>
        </row>
        <row r="100">
          <cell r="A100" t="str">
            <v>403-1-1-01-28-00-0000-00</v>
          </cell>
          <cell r="B100" t="str">
            <v>UNIDAD ADMINISTRATIVA ESPECIAL DE SERVICIOS PUBLICOS</v>
          </cell>
          <cell r="C100">
            <v>19941623</v>
          </cell>
        </row>
        <row r="101">
          <cell r="A101" t="str">
            <v>413-1-2-01-03-00-0000-00</v>
          </cell>
          <cell r="B101" t="str">
            <v>ORGANIZACION TERPEL S A</v>
          </cell>
          <cell r="C101">
            <v>50000000</v>
          </cell>
        </row>
        <row r="102">
          <cell r="A102" t="str">
            <v>423-3-1-14-02-21-0584-205</v>
          </cell>
          <cell r="B102" t="str">
            <v>CRISTHIAN OMAR LIZCANO ORTIZ</v>
          </cell>
          <cell r="C102">
            <v>178640000</v>
          </cell>
        </row>
        <row r="103">
          <cell r="A103" t="str">
            <v>43-3-1-14-02-21-0584-205</v>
          </cell>
          <cell r="B103" t="str">
            <v>CAROLINA  GONZALEZ BARRETO</v>
          </cell>
          <cell r="C103">
            <v>97850000</v>
          </cell>
        </row>
        <row r="104">
          <cell r="A104" t="str">
            <v>433-3-1-14-02-21-0584-205</v>
          </cell>
          <cell r="B104" t="str">
            <v>NATHALY LUCIA SEPULVEDA RAMOS</v>
          </cell>
          <cell r="C104">
            <v>49500000</v>
          </cell>
        </row>
        <row r="105">
          <cell r="A105" t="str">
            <v>443-3-1-14-02-21-0584-205</v>
          </cell>
          <cell r="B105" t="str">
            <v>JUAN CARLOS SANDOVAL KLEVENS</v>
          </cell>
          <cell r="C105">
            <v>33000000</v>
          </cell>
        </row>
        <row r="106">
          <cell r="A106" t="str">
            <v>453-3-1-14-02-21-0584-205</v>
          </cell>
          <cell r="B106" t="str">
            <v>KELLY JOHANNA BASABE ALVARADO</v>
          </cell>
          <cell r="C106">
            <v>44000000</v>
          </cell>
        </row>
        <row r="107">
          <cell r="A107" t="str">
            <v>463-1-1-02-03-01-0000-00</v>
          </cell>
          <cell r="B107" t="str">
            <v>SUAREZ BELTRAN SAS</v>
          </cell>
          <cell r="C107">
            <v>244199999</v>
          </cell>
        </row>
        <row r="108">
          <cell r="A108" t="str">
            <v>473-1-1-02-03-01-0000-00</v>
          </cell>
          <cell r="B108" t="str">
            <v>CLARA IVY GONZALEZ MARROQUIN</v>
          </cell>
          <cell r="C108">
            <v>258293333</v>
          </cell>
        </row>
        <row r="109">
          <cell r="A109" t="str">
            <v>483-3-1-14-02-21-0584-206</v>
          </cell>
          <cell r="B109" t="str">
            <v>CARLOS ALBERTO RAMIREZ ASTUDILLO</v>
          </cell>
          <cell r="C109">
            <v>76999860</v>
          </cell>
        </row>
        <row r="110">
          <cell r="A110" t="str">
            <v>503-3-1-14-02-21-0584-204</v>
          </cell>
          <cell r="B110" t="str">
            <v>CORAL DELGADO &amp; ASOCIADOS SAS</v>
          </cell>
          <cell r="C110">
            <v>99999865</v>
          </cell>
        </row>
        <row r="111">
          <cell r="A111" t="str">
            <v>503-3-1-14-02-21-0584-205</v>
          </cell>
          <cell r="B111" t="str">
            <v>CORAL DELGADO &amp; ASOCIADOS SAS</v>
          </cell>
          <cell r="C111">
            <v>99999865</v>
          </cell>
        </row>
        <row r="112">
          <cell r="A112" t="str">
            <v>503-3-1-14-03-31-0581-235</v>
          </cell>
          <cell r="B112" t="str">
            <v>CORAL DELGADO &amp; ASOCIADOS SAS</v>
          </cell>
          <cell r="C112">
            <v>41644594</v>
          </cell>
        </row>
        <row r="113">
          <cell r="A113" t="str">
            <v>53-3-1-14-03-31-0581-235</v>
          </cell>
          <cell r="B113" t="str">
            <v>MARTA CECILIA MURCIA CHAVARRO</v>
          </cell>
          <cell r="C113">
            <v>95999999</v>
          </cell>
        </row>
        <row r="114">
          <cell r="A114" t="str">
            <v>533-3-1-14-02-21-0584-204</v>
          </cell>
          <cell r="B114" t="str">
            <v>E CON S.A.S.</v>
          </cell>
          <cell r="C114">
            <v>347999998</v>
          </cell>
        </row>
        <row r="115">
          <cell r="A115" t="str">
            <v>533-3-1-14-02-21-0584-205</v>
          </cell>
          <cell r="B115" t="str">
            <v>E CON S.A.S.</v>
          </cell>
          <cell r="C115">
            <v>231999998</v>
          </cell>
        </row>
        <row r="116">
          <cell r="A116" t="str">
            <v>563-1-2-03-01-02-0000-00</v>
          </cell>
          <cell r="B116" t="str">
            <v>SUPERINTENDENCIA DE INDUSTRIA Y COMERCIO</v>
          </cell>
          <cell r="C116">
            <v>20520786723</v>
          </cell>
        </row>
        <row r="117">
          <cell r="A117" t="str">
            <v>573-3-1-14-02-21-0584-205</v>
          </cell>
          <cell r="B117" t="str">
            <v>SOTO SINISTERRA SAS</v>
          </cell>
          <cell r="C117">
            <v>32300060</v>
          </cell>
        </row>
        <row r="118">
          <cell r="A118" t="str">
            <v>583-3-1-14-02-21-0584-204</v>
          </cell>
          <cell r="B118" t="str">
            <v>HENRY ANDRES GUALDRON VELASCO</v>
          </cell>
          <cell r="C118">
            <v>48900000</v>
          </cell>
        </row>
        <row r="119">
          <cell r="A119" t="str">
            <v>593-3-1-14-03-31-0581-235</v>
          </cell>
          <cell r="B119" t="str">
            <v>JOSE ANTONIO RONDON RODRIGUEZ</v>
          </cell>
          <cell r="C119">
            <v>125666666</v>
          </cell>
        </row>
        <row r="120">
          <cell r="A120" t="str">
            <v>603-1-2-02-03-00-0000-00</v>
          </cell>
          <cell r="B120" t="str">
            <v>REDEX S A S</v>
          </cell>
          <cell r="C120">
            <v>12537827</v>
          </cell>
        </row>
        <row r="121">
          <cell r="A121" t="str">
            <v>623-3-1-14-03-31-0581-235</v>
          </cell>
          <cell r="B121" t="str">
            <v>JOSE DAVID SERNA JARAMILLO</v>
          </cell>
          <cell r="C121">
            <v>81200000</v>
          </cell>
        </row>
        <row r="122">
          <cell r="A122" t="str">
            <v>63-3-1-14-02-21-0584-206</v>
          </cell>
          <cell r="B122" t="str">
            <v>LAURA INES TELLO CLAVIJO</v>
          </cell>
          <cell r="C122">
            <v>23989000</v>
          </cell>
        </row>
        <row r="123">
          <cell r="A123" t="str">
            <v>633-3-1-14-03-31-0581-235</v>
          </cell>
          <cell r="B123" t="str">
            <v>JUAN SEBASTIAN CALLEJAS PARADA</v>
          </cell>
          <cell r="C123">
            <v>48750000</v>
          </cell>
        </row>
        <row r="124">
          <cell r="A124" t="str">
            <v>643-3-1-14-01-14-0583-172</v>
          </cell>
          <cell r="B124" t="str">
            <v>LION PRODUCCIONES S A</v>
          </cell>
          <cell r="C124">
            <v>50000000</v>
          </cell>
        </row>
        <row r="125">
          <cell r="A125" t="str">
            <v>643-3-1-14-02-21-0584-205</v>
          </cell>
          <cell r="B125" t="str">
            <v>LION PRODUCCIONES S A</v>
          </cell>
          <cell r="C125">
            <v>51712000</v>
          </cell>
        </row>
        <row r="126">
          <cell r="A126" t="str">
            <v>643-3-1-14-03-31-0581-235</v>
          </cell>
          <cell r="B126" t="str">
            <v>LION PRODUCCIONES S A</v>
          </cell>
          <cell r="C126">
            <v>122400000</v>
          </cell>
        </row>
        <row r="127">
          <cell r="A127" t="str">
            <v>653-3-1-14-03-31-0581-235</v>
          </cell>
          <cell r="B127" t="str">
            <v>FABIAN ANDRES LOZANO AGUILAR</v>
          </cell>
          <cell r="C127">
            <v>26107200</v>
          </cell>
        </row>
        <row r="128">
          <cell r="A128" t="str">
            <v>663-3-1-14-03-31-0581-235</v>
          </cell>
          <cell r="B128" t="str">
            <v>RUBEN DARIO JIMENEZ GIRALDO</v>
          </cell>
          <cell r="C128">
            <v>53493333</v>
          </cell>
        </row>
        <row r="129">
          <cell r="A129" t="str">
            <v>673-1-1-03-01-02-0000-00</v>
          </cell>
          <cell r="B129" t="str">
            <v>UNIDAD ADMINISTRATIVA ESPECIAL DE SERVICIOS PUBLICOS</v>
          </cell>
          <cell r="C129">
            <v>34215460</v>
          </cell>
        </row>
        <row r="130">
          <cell r="A130" t="str">
            <v>673-1-1-03-01-03-0000-00</v>
          </cell>
          <cell r="B130" t="str">
            <v>UNIDAD ADMINISTRATIVA ESPECIAL DE SERVICIOS PUBLICOS</v>
          </cell>
          <cell r="C130">
            <v>47124440</v>
          </cell>
        </row>
        <row r="131">
          <cell r="A131" t="str">
            <v>673-1-1-03-01-05-0000-00</v>
          </cell>
          <cell r="B131" t="str">
            <v>UNIDAD ADMINISTRATIVA ESPECIAL DE SERVICIOS PUBLICOS</v>
          </cell>
          <cell r="C131">
            <v>19986000</v>
          </cell>
        </row>
        <row r="132">
          <cell r="A132" t="str">
            <v>673-1-1-03-02-01-0000-00</v>
          </cell>
          <cell r="B132" t="str">
            <v>UNIDAD ADMINISTRATIVA ESPECIAL DE SERVICIOS PUBLICOS</v>
          </cell>
          <cell r="C132">
            <v>35234928</v>
          </cell>
        </row>
        <row r="133">
          <cell r="A133" t="str">
            <v>673-1-1-03-02-02-0000-00</v>
          </cell>
          <cell r="B133" t="str">
            <v>UNIDAD ADMINISTRATIVA ESPECIAL DE SERVICIOS PUBLICOS</v>
          </cell>
          <cell r="C133">
            <v>32315540</v>
          </cell>
        </row>
        <row r="134">
          <cell r="A134" t="str">
            <v>673-1-1-03-02-04-0000-00</v>
          </cell>
          <cell r="B134" t="str">
            <v>UNIDAD ADMINISTRATIVA ESPECIAL DE SERVICIOS PUBLICOS</v>
          </cell>
          <cell r="C134">
            <v>3117800</v>
          </cell>
        </row>
        <row r="135">
          <cell r="A135" t="str">
            <v>673-1-1-03-02-06-0000-00</v>
          </cell>
          <cell r="B135" t="str">
            <v>UNIDAD ADMINISTRATIVA ESPECIAL DE SERVICIOS PUBLICOS</v>
          </cell>
          <cell r="C135">
            <v>14989850</v>
          </cell>
        </row>
        <row r="136">
          <cell r="A136" t="str">
            <v>673-1-1-03-02-07-0000-00</v>
          </cell>
          <cell r="B136" t="str">
            <v>UNIDAD ADMINISTRATIVA ESPECIAL DE SERVICIOS PUBLICOS</v>
          </cell>
          <cell r="C136">
            <v>9994200</v>
          </cell>
        </row>
        <row r="137">
          <cell r="A137" t="str">
            <v>673-1-1-03-02-09-0000-00</v>
          </cell>
          <cell r="B137" t="str">
            <v>UNIDAD ADMINISTRATIVA ESPECIAL DE SERVICIOS PUBLICOS</v>
          </cell>
          <cell r="C137">
            <v>8892</v>
          </cell>
        </row>
        <row r="138">
          <cell r="A138" t="str">
            <v>693-3-1-14-02-21-0584-204</v>
          </cell>
          <cell r="B138" t="str">
            <v>ALVARO IVAN RODRIGUEZ PINZON</v>
          </cell>
          <cell r="C138">
            <v>69600000</v>
          </cell>
        </row>
        <row r="139">
          <cell r="A139" t="str">
            <v>703-1-2-01-01-00-0000-00</v>
          </cell>
          <cell r="C139">
            <v>7744399</v>
          </cell>
        </row>
        <row r="140">
          <cell r="A140" t="str">
            <v>713-3-1-14-03-31-0581-235</v>
          </cell>
          <cell r="B140" t="str">
            <v>JOHN KENNEDY LEON CASTIBLANCO</v>
          </cell>
          <cell r="C140">
            <v>32323200</v>
          </cell>
        </row>
        <row r="141">
          <cell r="A141" t="str">
            <v>723-3-1-14-03-31-0581-235</v>
          </cell>
          <cell r="B141" t="str">
            <v>EMPRESA DE TELECOMUNICACIONES DE BOGOTA SA ESP</v>
          </cell>
          <cell r="C141">
            <v>13000000</v>
          </cell>
        </row>
        <row r="142">
          <cell r="A142" t="str">
            <v>73-3-1-14-02-21-0584-205</v>
          </cell>
          <cell r="B142" t="str">
            <v>JORGE  MADERO GIRALDO</v>
          </cell>
          <cell r="C142">
            <v>180959998</v>
          </cell>
        </row>
        <row r="143">
          <cell r="A143" t="str">
            <v>733-3-1-14-03-26-0226-222</v>
          </cell>
          <cell r="B143" t="str">
            <v>JESUS ANTONIO MUÑOZ CIFUENTES</v>
          </cell>
          <cell r="C143">
            <v>10000000</v>
          </cell>
        </row>
        <row r="144">
          <cell r="A144" t="str">
            <v>733-3-1-14-03-26-0226-223</v>
          </cell>
          <cell r="B144" t="str">
            <v>JESUS ANTONIO MUÑOZ CIFUENTES</v>
          </cell>
          <cell r="C144">
            <v>180000000</v>
          </cell>
        </row>
        <row r="145">
          <cell r="A145" t="str">
            <v>743-3-1-14-03-31-0581-235</v>
          </cell>
          <cell r="B145" t="str">
            <v>ANDRES FERNANDO MATEUS DIAZ</v>
          </cell>
          <cell r="C145">
            <v>123000000</v>
          </cell>
        </row>
        <row r="146">
          <cell r="A146" t="str">
            <v>753-3-1-14-03-31-0581-235</v>
          </cell>
          <cell r="B146" t="str">
            <v>LUIS JAVIER RODRIGUEZ LUQUE</v>
          </cell>
          <cell r="C146">
            <v>61400000</v>
          </cell>
        </row>
        <row r="147">
          <cell r="A147" t="str">
            <v>763-3-1-14-03-31-0581-235</v>
          </cell>
          <cell r="B147" t="str">
            <v>ANGIE TATIANA QUINTERO VEGA</v>
          </cell>
          <cell r="C147">
            <v>500000</v>
          </cell>
        </row>
        <row r="148">
          <cell r="A148" t="str">
            <v>773-3-1-14-02-21-0584-204</v>
          </cell>
          <cell r="B148" t="str">
            <v>JASBLEIDY  ORJUELA ESCOBAR</v>
          </cell>
          <cell r="C148">
            <v>143733333</v>
          </cell>
        </row>
        <row r="149">
          <cell r="A149" t="str">
            <v>783-3-1-14-02-21-0584-204</v>
          </cell>
          <cell r="B149" t="str">
            <v>EFRAIM ALBERTO MONTANA PLATA</v>
          </cell>
          <cell r="C149">
            <v>178060000</v>
          </cell>
        </row>
        <row r="150">
          <cell r="A150" t="str">
            <v>793-3-1-14-02-21-0584-204</v>
          </cell>
          <cell r="B150" t="str">
            <v>YULY ANDREA GALINDO CASTRO</v>
          </cell>
          <cell r="C150">
            <v>67166388</v>
          </cell>
        </row>
        <row r="151">
          <cell r="A151" t="str">
            <v>803-3-1-14-02-21-0584-204</v>
          </cell>
          <cell r="B151" t="str">
            <v>MARQUEZ Y ASOCIADOS CONSULTORES S A S</v>
          </cell>
          <cell r="C151">
            <v>146500000</v>
          </cell>
        </row>
        <row r="152">
          <cell r="A152" t="str">
            <v>813-3-1-14-02-21-0584-204</v>
          </cell>
          <cell r="B152" t="str">
            <v>JANETH SOFIA TORRES SANCHEZ</v>
          </cell>
          <cell r="C152">
            <v>94346666</v>
          </cell>
        </row>
        <row r="153">
          <cell r="A153" t="str">
            <v>83-3-1-14-02-21-0584-205</v>
          </cell>
          <cell r="B153" t="str">
            <v>ELIANA ALEJANDRA CAMARGO NIÑO</v>
          </cell>
          <cell r="C153">
            <v>53999998</v>
          </cell>
        </row>
        <row r="154">
          <cell r="A154" t="str">
            <v>833-1-2-02-06-01-0000-00</v>
          </cell>
          <cell r="B154" t="str">
            <v>QBE SEGUROS S A Y PODRA USAR LAS</v>
          </cell>
          <cell r="C154">
            <v>148769622</v>
          </cell>
        </row>
        <row r="155">
          <cell r="A155" t="str">
            <v>843-1-1-01-01-00-0000-00</v>
          </cell>
          <cell r="B155" t="str">
            <v>UNIDAD ADMINISTRATIVA ESPECIAL DE SERVICIOS PUBLICOS</v>
          </cell>
          <cell r="C155">
            <v>415032199</v>
          </cell>
        </row>
        <row r="156">
          <cell r="A156" t="str">
            <v>843-1-1-01-04-00-0000-00</v>
          </cell>
          <cell r="B156" t="str">
            <v>UNIDAD ADMINISTRATIVA ESPECIAL DE SERVICIOS PUBLICOS</v>
          </cell>
          <cell r="C156">
            <v>32861436</v>
          </cell>
        </row>
        <row r="157">
          <cell r="A157" t="str">
            <v>843-1-1-01-05-00-0000-00</v>
          </cell>
          <cell r="B157" t="str">
            <v>UNIDAD ADMINISTRATIVA ESPECIAL DE SERVICIOS PUBLICOS</v>
          </cell>
          <cell r="C157">
            <v>3817227</v>
          </cell>
        </row>
        <row r="158">
          <cell r="A158" t="str">
            <v>843-1-1-01-06-00-0000-00</v>
          </cell>
          <cell r="B158" t="str">
            <v>UNIDAD ADMINISTRATIVA ESPECIAL DE SERVICIOS PUBLICOS</v>
          </cell>
          <cell r="C158">
            <v>854700</v>
          </cell>
        </row>
        <row r="159">
          <cell r="A159" t="str">
            <v>843-1-1-01-07-00-0000-00</v>
          </cell>
          <cell r="B159" t="str">
            <v>UNIDAD ADMINISTRATIVA ESPECIAL DE SERVICIOS PUBLICOS</v>
          </cell>
          <cell r="C159">
            <v>995316</v>
          </cell>
        </row>
        <row r="160">
          <cell r="A160" t="str">
            <v>843-1-1-01-08-00-0000-00</v>
          </cell>
          <cell r="B160" t="str">
            <v>UNIDAD ADMINISTRATIVA ESPECIAL DE SERVICIOS PUBLICOS</v>
          </cell>
          <cell r="C160">
            <v>20823461</v>
          </cell>
        </row>
        <row r="161">
          <cell r="A161" t="str">
            <v>843-1-1-01-13-00-0000-00</v>
          </cell>
          <cell r="B161" t="str">
            <v>UNIDAD ADMINISTRATIVA ESPECIAL DE SERVICIOS PUBLICOS</v>
          </cell>
          <cell r="C161">
            <v>52751</v>
          </cell>
        </row>
        <row r="162">
          <cell r="A162" t="str">
            <v>843-1-1-01-14-00-0000-00</v>
          </cell>
          <cell r="B162" t="str">
            <v>UNIDAD ADMINISTRATIVA ESPECIAL DE SERVICIOS PUBLICOS</v>
          </cell>
          <cell r="C162">
            <v>3905243</v>
          </cell>
        </row>
        <row r="163">
          <cell r="A163" t="str">
            <v>843-1-1-01-15-00-0000-00</v>
          </cell>
          <cell r="B163" t="str">
            <v>UNIDAD ADMINISTRATIVA ESPECIAL DE SERVICIOS PUBLICOS</v>
          </cell>
          <cell r="C163">
            <v>131944217</v>
          </cell>
        </row>
        <row r="164">
          <cell r="A164" t="str">
            <v>843-1-1-01-16-00-0000-00</v>
          </cell>
          <cell r="B164" t="str">
            <v>UNIDAD ADMINISTRATIVA ESPECIAL DE SERVICIOS PUBLICOS</v>
          </cell>
          <cell r="C164">
            <v>5433139</v>
          </cell>
        </row>
        <row r="165">
          <cell r="A165" t="str">
            <v>843-1-1-01-17-00-0000-00</v>
          </cell>
          <cell r="B165" t="str">
            <v>UNIDAD ADMINISTRATIVA ESPECIAL DE SERVICIOS PUBLICOS</v>
          </cell>
          <cell r="C165">
            <v>394495</v>
          </cell>
        </row>
        <row r="166">
          <cell r="A166" t="str">
            <v>843-1-1-01-26-00-0000-00</v>
          </cell>
          <cell r="B166" t="str">
            <v>UNIDAD ADMINISTRATIVA ESPECIAL DE SERVICIOS PUBLICOS</v>
          </cell>
          <cell r="C166">
            <v>359453</v>
          </cell>
        </row>
        <row r="167">
          <cell r="A167" t="str">
            <v>853-1-2-02-05-01-0000-00</v>
          </cell>
          <cell r="B167" t="str">
            <v>UNIÓN TEMPORAL EMINSER-SOLOASEO</v>
          </cell>
          <cell r="C167">
            <v>140939480</v>
          </cell>
        </row>
        <row r="168">
          <cell r="A168" t="str">
            <v>853-3-1-14-02-21-0584-204</v>
          </cell>
          <cell r="B168" t="str">
            <v>UNIÓN TEMPORAL EMINSER-SOLOASEO</v>
          </cell>
          <cell r="C168">
            <v>59093900</v>
          </cell>
        </row>
        <row r="169">
          <cell r="A169" t="str">
            <v>853-3-1-14-02-21-0584-205</v>
          </cell>
          <cell r="B169" t="str">
            <v>UNIÓN TEMPORAL EMINSER-SOLOASEO</v>
          </cell>
          <cell r="C169">
            <v>59093900</v>
          </cell>
        </row>
        <row r="170">
          <cell r="A170" t="str">
            <v>863-3-1-14-03-31-0581-235</v>
          </cell>
          <cell r="B170" t="str">
            <v>HAROLD ARTURO CAMPOS GARCIA</v>
          </cell>
          <cell r="C170">
            <v>50000000</v>
          </cell>
        </row>
        <row r="171">
          <cell r="A171" t="str">
            <v>893-1-1-02-03-01-0000-00</v>
          </cell>
          <cell r="B171" t="str">
            <v>EDMUNDO MERCED TONCEL ROSADO</v>
          </cell>
          <cell r="C171">
            <v>135024000</v>
          </cell>
        </row>
        <row r="172">
          <cell r="A172" t="str">
            <v>903-1-1-02-03-01-0000-00</v>
          </cell>
          <cell r="B172" t="str">
            <v>JUAN CARLOS JIMENEZ TRIANA</v>
          </cell>
          <cell r="C172">
            <v>119093330</v>
          </cell>
        </row>
        <row r="173">
          <cell r="A173" t="str">
            <v>923-1-1-02-03-01-0000-00</v>
          </cell>
          <cell r="B173" t="str">
            <v>ANDREA PATRICIA RAMIREZ RUBIO</v>
          </cell>
          <cell r="C173">
            <v>80000000</v>
          </cell>
        </row>
        <row r="174">
          <cell r="A174" t="str">
            <v>93-3-1-14-03-31-0581-235</v>
          </cell>
          <cell r="B174" t="str">
            <v>DIEGO IVAN PALACIOS DONCEL</v>
          </cell>
          <cell r="C174">
            <v>180095991</v>
          </cell>
        </row>
        <row r="175">
          <cell r="A175" t="str">
            <v>973-3-1-14-02-21-0584-205</v>
          </cell>
          <cell r="B175" t="str">
            <v>ERIKA  NIEVES DIAZ</v>
          </cell>
          <cell r="C175">
            <v>94683333</v>
          </cell>
        </row>
        <row r="176">
          <cell r="A176" t="str">
            <v>993-3-1-14-03-31-0581-235</v>
          </cell>
          <cell r="B176" t="str">
            <v>MARIA ALEJANDRA OLIVARES HERNADEZ</v>
          </cell>
          <cell r="C176">
            <v>64000000</v>
          </cell>
        </row>
        <row r="177">
          <cell r="A177" t="str">
            <v>1493-3-1-14-02-21-0584-204</v>
          </cell>
          <cell r="B177" t="str">
            <v>CONSORCIO INTERCAPITAL</v>
          </cell>
          <cell r="C177">
            <v>1696251669</v>
          </cell>
        </row>
        <row r="178">
          <cell r="A178" t="str">
            <v>1453-3-1-14-03-31-0581-235</v>
          </cell>
          <cell r="B178" t="str">
            <v>JOSE  MARQUEZ ARBOLEDA</v>
          </cell>
          <cell r="C178">
            <v>14960000</v>
          </cell>
        </row>
        <row r="179">
          <cell r="A179" t="str">
            <v>1343-1-2-02-02-00-0000-00</v>
          </cell>
          <cell r="B179" t="str">
            <v>BEATRIZ ELENA CARDENAS CASAS</v>
          </cell>
          <cell r="C179">
            <v>10035000</v>
          </cell>
        </row>
        <row r="180">
          <cell r="A180" t="str">
            <v>1083-1-2-03-01-02-0000-00</v>
          </cell>
          <cell r="B180" t="str">
            <v>HERNANDO DE JESUS HERRERA MERCADO</v>
          </cell>
          <cell r="C180">
            <v>207441660</v>
          </cell>
        </row>
        <row r="181">
          <cell r="A181" t="str">
            <v>1363-3-1-14-03-31-0581-235</v>
          </cell>
          <cell r="B181" t="str">
            <v>SUBATOURS SAS</v>
          </cell>
          <cell r="C181">
            <v>4269790</v>
          </cell>
        </row>
        <row r="182">
          <cell r="A182" t="str">
            <v>933-1-1-02-03-01-0000-00</v>
          </cell>
          <cell r="B182" t="str">
            <v>DENIYER ALECSA SANCHEZ HERRADA</v>
          </cell>
          <cell r="C182">
            <v>11466667</v>
          </cell>
        </row>
        <row r="183">
          <cell r="A183" t="str">
            <v>1433-3-1-14-02-21-0584-205</v>
          </cell>
          <cell r="B183" t="str">
            <v>MIGUEL ANGEL QUINTERO LIZARAZO</v>
          </cell>
          <cell r="C183">
            <v>73800000</v>
          </cell>
        </row>
        <row r="184">
          <cell r="A184" t="str">
            <v>1463-3-1-14-03-31-0581-235</v>
          </cell>
          <cell r="B184" t="str">
            <v>JEIMY JOHANA PEDRAZA VENEGAS</v>
          </cell>
          <cell r="C184">
            <v>10720000</v>
          </cell>
        </row>
        <row r="185">
          <cell r="A185" t="str">
            <v>1473-3-1-14-03-31-0581-235</v>
          </cell>
          <cell r="B185" t="str">
            <v>MARIELA  RUIZ JEREZ</v>
          </cell>
          <cell r="C185">
            <v>10720000</v>
          </cell>
        </row>
        <row r="186">
          <cell r="A186" t="str">
            <v>1553-1-1-03-01-01-0000-00</v>
          </cell>
          <cell r="B186" t="str">
            <v>UNIDAD ADMINISTRATIVA ESPECIAL DE SERVICIOS PUBLICOS</v>
          </cell>
          <cell r="C186">
            <v>509958</v>
          </cell>
        </row>
        <row r="187">
          <cell r="A187" t="str">
            <v>1513-1-1-02-03-01-0000-00</v>
          </cell>
          <cell r="B187" t="str">
            <v>DIEGO ANDRES JIMENEZ ALFONSO</v>
          </cell>
          <cell r="C187">
            <v>26999841</v>
          </cell>
        </row>
        <row r="188">
          <cell r="A188" t="str">
            <v>1623-1-1-02-03-01-0000-00</v>
          </cell>
          <cell r="B188" t="str">
            <v>CARLOS ALBERTO RODRIGUEZ GUZMAN</v>
          </cell>
          <cell r="C188">
            <v>66115000</v>
          </cell>
        </row>
        <row r="189">
          <cell r="A189" t="str">
            <v>1483-3-1-14-01-14-0582-171</v>
          </cell>
          <cell r="B189" t="str">
            <v>CRISTIAN  RENDON GOMEZ</v>
          </cell>
          <cell r="C189">
            <v>2666666</v>
          </cell>
        </row>
        <row r="190">
          <cell r="A190" t="str">
            <v>1483-3-1-14-01-14-0583-172</v>
          </cell>
          <cell r="B190" t="str">
            <v>CRISTIAN  RENDON GOMEZ</v>
          </cell>
          <cell r="C190">
            <v>3333334</v>
          </cell>
        </row>
        <row r="191">
          <cell r="A191" t="str">
            <v>1603-3-1-14-02-21-0584-205</v>
          </cell>
          <cell r="B191" t="str">
            <v>ANDRES  HERRERA AGUILAR</v>
          </cell>
          <cell r="C191">
            <v>58404042</v>
          </cell>
        </row>
        <row r="192">
          <cell r="A192" t="str">
            <v>1593-3-1-14-02-21-0584-207</v>
          </cell>
          <cell r="B192" t="str">
            <v>GABRIEL FELIPE SABOGAL ROJAS</v>
          </cell>
          <cell r="C192">
            <v>40880954</v>
          </cell>
        </row>
        <row r="193">
          <cell r="A193" t="str">
            <v>1653-1-1-03-01-02-0000-00</v>
          </cell>
          <cell r="B193" t="str">
            <v>UNIDAD ADMINISTRATIVA ESPECIAL DE SERVICIOS PUBLICOS</v>
          </cell>
          <cell r="C193">
            <v>39199240</v>
          </cell>
        </row>
        <row r="194">
          <cell r="A194" t="str">
            <v>1653-1-1-03-01-03-0000-00</v>
          </cell>
          <cell r="B194" t="str">
            <v>UNIDAD ADMINISTRATIVA ESPECIAL DE SERVICIOS PUBLICOS</v>
          </cell>
          <cell r="C194">
            <v>55036645</v>
          </cell>
        </row>
        <row r="195">
          <cell r="A195" t="str">
            <v>1653-1-1-03-01-05-0000-00</v>
          </cell>
          <cell r="B195" t="str">
            <v>UNIDAD ADMINISTRATIVA ESPECIAL DE SERVICIOS PUBLICOS</v>
          </cell>
          <cell r="C195">
            <v>26239300</v>
          </cell>
        </row>
        <row r="196">
          <cell r="A196" t="str">
            <v>1653-1-1-03-02-01-0000-00</v>
          </cell>
          <cell r="B196" t="str">
            <v>UNIDAD ADMINISTRATIVA ESPECIAL DE SERVICIOS PUBLICOS</v>
          </cell>
          <cell r="C196">
            <v>47787640</v>
          </cell>
        </row>
        <row r="197">
          <cell r="A197" t="str">
            <v>1653-1-1-03-02-02-0000-00</v>
          </cell>
          <cell r="B197" t="str">
            <v>UNIDAD ADMINISTRATIVA ESPECIAL DE SERVICIOS PUBLICOS</v>
          </cell>
          <cell r="C197">
            <v>38500840</v>
          </cell>
        </row>
        <row r="198">
          <cell r="A198" t="str">
            <v>1653-1-1-03-02-04-0000-00</v>
          </cell>
          <cell r="B198" t="str">
            <v>UNIDAD ADMINISTRATIVA ESPECIAL DE SERVICIOS PUBLICOS</v>
          </cell>
          <cell r="C198">
            <v>3952872</v>
          </cell>
        </row>
        <row r="199">
          <cell r="A199" t="str">
            <v>1653-1-1-03-02-06-0000-00</v>
          </cell>
          <cell r="B199" t="str">
            <v>UNIDAD ADMINISTRATIVA ESPECIAL DE SERVICIOS PUBLICOS</v>
          </cell>
          <cell r="C199">
            <v>19679800</v>
          </cell>
        </row>
        <row r="200">
          <cell r="A200" t="str">
            <v>1653-1-1-03-02-07-0000-00</v>
          </cell>
          <cell r="B200" t="str">
            <v>UNIDAD ADMINISTRATIVA ESPECIAL DE SERVICIOS PUBLICOS</v>
          </cell>
          <cell r="C200">
            <v>13119400</v>
          </cell>
        </row>
        <row r="201">
          <cell r="A201" t="str">
            <v>1653-1-1-03-02-09-0000-00</v>
          </cell>
          <cell r="B201" t="str">
            <v>UNIDAD ADMINISTRATIVA ESPECIAL DE SERVICIOS PUBLICOS</v>
          </cell>
          <cell r="C201">
            <v>11098</v>
          </cell>
        </row>
        <row r="202">
          <cell r="A202" t="str">
            <v>253-1-2-01-03-00-0000-00</v>
          </cell>
          <cell r="B202" t="str">
            <v>UNIDAD ADMINISTRATIVA ESPECIAL DE SERVICIOS PUBLICOS</v>
          </cell>
          <cell r="C202">
            <v>365214</v>
          </cell>
        </row>
        <row r="203">
          <cell r="A203" t="str">
            <v>253-1-2-02-10-00-0000-00</v>
          </cell>
          <cell r="B203" t="str">
            <v>UNIDAD ADMINISTRATIVA ESPECIAL DE SERVICIOS PUBLICOS</v>
          </cell>
          <cell r="C203">
            <v>1078000</v>
          </cell>
        </row>
        <row r="204">
          <cell r="A204" t="str">
            <v>1743-1-1-02-03-01-0000-00</v>
          </cell>
          <cell r="B204" t="str">
            <v>JENNIFER LINEY GARCIA ROJAS</v>
          </cell>
          <cell r="C204">
            <v>9866660</v>
          </cell>
        </row>
        <row r="205">
          <cell r="A205" t="str">
            <v>1503-1-2-02-03-00-0000-00</v>
          </cell>
          <cell r="B205" t="str">
            <v>SERVICIOS POSTALES NACIONALES S A</v>
          </cell>
          <cell r="C205">
            <v>54000000</v>
          </cell>
        </row>
        <row r="206">
          <cell r="A206" t="str">
            <v>1613-3-1-14-02-21-0584-205</v>
          </cell>
          <cell r="B206" t="str">
            <v>SOLEDAD  TAMAYO TAMAYO</v>
          </cell>
          <cell r="C206">
            <v>120176000</v>
          </cell>
        </row>
        <row r="207">
          <cell r="A207" t="str">
            <v>1683-3-1-14-02-21-0584-206</v>
          </cell>
          <cell r="B207" t="str">
            <v>HIDROSUELOS SAS</v>
          </cell>
          <cell r="C207">
            <v>166256666</v>
          </cell>
        </row>
        <row r="208">
          <cell r="A208" t="str">
            <v>1683-3-1-14-02-21-0584-207</v>
          </cell>
          <cell r="B208" t="str">
            <v>HIDROSUELOS SAS</v>
          </cell>
          <cell r="C208">
            <v>90567334</v>
          </cell>
        </row>
        <row r="209">
          <cell r="A209" t="str">
            <v>1643-3-1-14-03-31-0581-235</v>
          </cell>
          <cell r="B209" t="str">
            <v>PILAR  MURILLO GARCIA</v>
          </cell>
          <cell r="C209">
            <v>40000000</v>
          </cell>
        </row>
        <row r="210">
          <cell r="A210" t="str">
            <v>1763-3-1-14-03-31-0581-235</v>
          </cell>
          <cell r="B210" t="str">
            <v>YOBIPLEX CORPORATION S A S</v>
          </cell>
          <cell r="C210">
            <v>144999999</v>
          </cell>
        </row>
        <row r="211">
          <cell r="A211" t="str">
            <v>1523-1-2-02-05-01-0000-00</v>
          </cell>
          <cell r="B211" t="str">
            <v>AGROBOLSA S A COMISIONISTA DE BOLSA</v>
          </cell>
          <cell r="C211">
            <v>12798023</v>
          </cell>
        </row>
        <row r="212">
          <cell r="A212" t="str">
            <v>1523-3-1-14-01-14-0583-172</v>
          </cell>
          <cell r="B212" t="str">
            <v>AGROBOLSA S A COMISIONISTA DE BOLSA</v>
          </cell>
          <cell r="C212">
            <v>12798025</v>
          </cell>
        </row>
        <row r="213">
          <cell r="A213" t="str">
            <v>1713-3-1-14-02-21-0584-204</v>
          </cell>
          <cell r="B213" t="str">
            <v>TRANSPORTES ESPECIALES F.S.G S.A.S</v>
          </cell>
          <cell r="C213">
            <v>11180000</v>
          </cell>
        </row>
        <row r="214">
          <cell r="A214" t="str">
            <v>1523-3-1-14-02-21-0584-205</v>
          </cell>
          <cell r="B214" t="str">
            <v>AGROBOLSA S A COMISIONISTA DE BOLSA</v>
          </cell>
          <cell r="C214">
            <v>12798023</v>
          </cell>
        </row>
        <row r="215">
          <cell r="A215" t="str">
            <v>1723-3-1-14-02-21-0584-205</v>
          </cell>
          <cell r="B215" t="str">
            <v>UNIDAD ADMINISTRATIVA ESPECIAL DE SERVICIOS PUBLICOS</v>
          </cell>
          <cell r="C215">
            <v>19866820</v>
          </cell>
        </row>
        <row r="216">
          <cell r="A216" t="str">
            <v>1693-3-1-14-03-31-0581-235</v>
          </cell>
          <cell r="B216" t="str">
            <v>DISTRIBUCIONES EYG S.A.S</v>
          </cell>
          <cell r="C216">
            <v>744000</v>
          </cell>
        </row>
        <row r="217">
          <cell r="A217" t="str">
            <v>1913-3-1-14-01-14-0582-171</v>
          </cell>
          <cell r="B217" t="str">
            <v>CONSORCIO INTERALUMBRADO</v>
          </cell>
          <cell r="C217">
            <v>1172431554</v>
          </cell>
        </row>
        <row r="218">
          <cell r="A218" t="str">
            <v>1843-1-1-02-03-01-0000-00</v>
          </cell>
          <cell r="B218" t="str">
            <v>MARIA DEL PILAR CASTILLO MONCALEANO</v>
          </cell>
          <cell r="C218">
            <v>33600000</v>
          </cell>
        </row>
        <row r="219">
          <cell r="A219" t="str">
            <v>1863-1-1-02-03-01-0000-00</v>
          </cell>
          <cell r="B219" t="str">
            <v>JUAN CARLOS FERNANDEZ ANDRADE</v>
          </cell>
          <cell r="C219">
            <v>24990000</v>
          </cell>
        </row>
        <row r="220">
          <cell r="A220" t="str">
            <v>1673-3-1-14-02-21-0584-205</v>
          </cell>
          <cell r="B220" t="str">
            <v>CARLOS ANIBAL LOZANO LOZANO</v>
          </cell>
          <cell r="C220">
            <v>34133333</v>
          </cell>
        </row>
        <row r="221">
          <cell r="A221" t="str">
            <v>1663-3-1-14-02-21-0584-205</v>
          </cell>
          <cell r="B221" t="str">
            <v>JHON LENON MAYO PARRA</v>
          </cell>
          <cell r="C221">
            <v>34133333</v>
          </cell>
        </row>
        <row r="222">
          <cell r="A222" t="str">
            <v>1923-1-1-01-01-00-0000-00</v>
          </cell>
          <cell r="B222" t="str">
            <v>UNIDAD ADMINISTRATIVA ESPECIAL DE SERVICIOS PUBLICOS</v>
          </cell>
          <cell r="C222">
            <v>448955287</v>
          </cell>
        </row>
        <row r="223">
          <cell r="A223" t="str">
            <v>1973-1-1-01-01-00-0000-00</v>
          </cell>
          <cell r="B223" t="str">
            <v>UNIDAD ADMINISTRATIVA ESPECIAL DE SERVICIOS PUBLICOS</v>
          </cell>
          <cell r="C223">
            <v>2886067</v>
          </cell>
        </row>
        <row r="224">
          <cell r="A224" t="str">
            <v>1923-1-1-01-04-00-0000-00</v>
          </cell>
          <cell r="B224" t="str">
            <v>UNIDAD ADMINISTRATIVA ESPECIAL DE SERVICIOS PUBLICOS</v>
          </cell>
          <cell r="C224">
            <v>34111737</v>
          </cell>
        </row>
        <row r="225">
          <cell r="A225" t="str">
            <v>1923-1-1-01-05-00-0000-00</v>
          </cell>
          <cell r="B225" t="str">
            <v>UNIDAD ADMINISTRATIVA ESPECIAL DE SERVICIOS PUBLICOS</v>
          </cell>
          <cell r="C225">
            <v>5273157</v>
          </cell>
        </row>
        <row r="226">
          <cell r="A226" t="str">
            <v>1923-1-1-01-06-00-0000-00</v>
          </cell>
          <cell r="B226" t="str">
            <v>UNIDAD ADMINISTRATIVA ESPECIAL DE SERVICIOS PUBLICOS</v>
          </cell>
          <cell r="C226">
            <v>852110</v>
          </cell>
        </row>
        <row r="227">
          <cell r="A227" t="str">
            <v>1923-1-1-01-07-00-0000-00</v>
          </cell>
          <cell r="B227" t="str">
            <v>UNIDAD ADMINISTRATIVA ESPECIAL DE SERVICIOS PUBLICOS</v>
          </cell>
          <cell r="C227">
            <v>416350</v>
          </cell>
        </row>
        <row r="228">
          <cell r="A228" t="str">
            <v>1923-1-1-01-08-00-0000-00</v>
          </cell>
          <cell r="B228" t="str">
            <v>UNIDAD ADMINISTRATIVA ESPECIAL DE SERVICIOS PUBLICOS</v>
          </cell>
          <cell r="C228">
            <v>28497729</v>
          </cell>
        </row>
        <row r="229">
          <cell r="A229" t="str">
            <v>1923-1-1-01-13-00-0000-00</v>
          </cell>
          <cell r="B229" t="str">
            <v>UNIDAD ADMINISTRATIVA ESPECIAL DE SERVICIOS PUBLICOS</v>
          </cell>
          <cell r="C229">
            <v>2462713</v>
          </cell>
        </row>
        <row r="230">
          <cell r="A230" t="str">
            <v>1923-1-1-01-14-00-0000-00</v>
          </cell>
          <cell r="B230" t="str">
            <v>UNIDAD ADMINISTRATIVA ESPECIAL DE SERVICIOS PUBLICOS</v>
          </cell>
          <cell r="C230">
            <v>34544680</v>
          </cell>
        </row>
        <row r="231">
          <cell r="A231" t="str">
            <v>1973-1-1-01-14-00-0000-00</v>
          </cell>
          <cell r="B231" t="str">
            <v>UNIDAD ADMINISTRATIVA ESPECIAL DE SERVICIOS PUBLICOS</v>
          </cell>
          <cell r="C231">
            <v>2061476</v>
          </cell>
        </row>
        <row r="232">
          <cell r="A232" t="str">
            <v>1923-1-1-01-15-00-0000-00</v>
          </cell>
          <cell r="B232" t="str">
            <v>UNIDAD ADMINISTRATIVA ESPECIAL DE SERVICIOS PUBLICOS</v>
          </cell>
          <cell r="C232">
            <v>133863682</v>
          </cell>
        </row>
        <row r="233">
          <cell r="A233" t="str">
            <v>1923-1-1-01-16-00-0000-00</v>
          </cell>
          <cell r="B233" t="str">
            <v>UNIDAD ADMINISTRATIVA ESPECIAL DE SERVICIOS PUBLICOS</v>
          </cell>
          <cell r="C233">
            <v>8999928</v>
          </cell>
        </row>
        <row r="234">
          <cell r="A234" t="str">
            <v>1923-1-1-01-17-00-0000-00</v>
          </cell>
          <cell r="B234" t="str">
            <v>UNIDAD ADMINISTRATIVA ESPECIAL DE SERVICIOS PUBLICOS</v>
          </cell>
          <cell r="C234">
            <v>424256</v>
          </cell>
        </row>
        <row r="235">
          <cell r="A235" t="str">
            <v>1923-1-1-01-21-00-0000-00</v>
          </cell>
          <cell r="B235" t="str">
            <v>UNIDAD ADMINISTRATIVA ESPECIAL DE SERVICIOS PUBLICOS</v>
          </cell>
          <cell r="C235">
            <v>37076186</v>
          </cell>
        </row>
        <row r="236">
          <cell r="A236" t="str">
            <v>1923-1-1-01-26-00-0000-00</v>
          </cell>
          <cell r="B236" t="str">
            <v>UNIDAD ADMINISTRATIVA ESPECIAL DE SERVICIOS PUBLICOS</v>
          </cell>
          <cell r="C236">
            <v>2659284</v>
          </cell>
        </row>
        <row r="237">
          <cell r="A237" t="str">
            <v>1973-1-1-01-26-00-0000-00</v>
          </cell>
          <cell r="B237" t="str">
            <v>UNIDAD ADMINISTRATIVA ESPECIAL DE SERVICIOS PUBLICOS</v>
          </cell>
          <cell r="C237">
            <v>172346</v>
          </cell>
        </row>
        <row r="238">
          <cell r="A238" t="str">
            <v>1933-1-1-03-01-01-0000-00</v>
          </cell>
          <cell r="B238" t="str">
            <v>UNIDAD ADMINISTRATIVA ESPECIAL DE SERVICIOS PUBLICOS</v>
          </cell>
          <cell r="C238">
            <v>1707963</v>
          </cell>
        </row>
        <row r="239">
          <cell r="A239" t="str">
            <v>1883-1-3-02-12-00-0000-00</v>
          </cell>
          <cell r="B239" t="str">
            <v>CODENSA S. A. ESP</v>
          </cell>
          <cell r="C239">
            <v>84251074790</v>
          </cell>
        </row>
        <row r="240">
          <cell r="A240" t="str">
            <v>1903-3-1-14-01-14-0582-171</v>
          </cell>
          <cell r="B240" t="str">
            <v>INGENIERIA Y SOLUCIONES ESPECIALIZADAS  S.A.S.</v>
          </cell>
          <cell r="C240">
            <v>939800290</v>
          </cell>
        </row>
        <row r="241">
          <cell r="A241" t="str">
            <v>1563-1-1-02-03-01-0000-00</v>
          </cell>
          <cell r="B241" t="str">
            <v>SANDRA LUCIA ALBA DIAZ</v>
          </cell>
          <cell r="C241">
            <v>36000000</v>
          </cell>
        </row>
        <row r="242">
          <cell r="A242" t="str">
            <v>2163-1-1-02-03-01-0000-00</v>
          </cell>
          <cell r="B242" t="str">
            <v>LUZ DARI MONTAÑEZ MONTAÑEZ</v>
          </cell>
          <cell r="C242">
            <v>27650000</v>
          </cell>
        </row>
        <row r="243">
          <cell r="A243" t="str">
            <v>1853-1-2-02-04-00-0000-00</v>
          </cell>
          <cell r="B243" t="str">
            <v>D P C LTDA PUBLICACIONES DESPACHOS PUBLICOS DE COLOMBIA LTDA</v>
          </cell>
          <cell r="C243">
            <v>800000</v>
          </cell>
        </row>
        <row r="244">
          <cell r="A244" t="str">
            <v>2043-3-1-14-02-21-0584-205</v>
          </cell>
          <cell r="B244" t="str">
            <v>SERGIO REINEL DIAZ</v>
          </cell>
          <cell r="C244">
            <v>23800000</v>
          </cell>
        </row>
        <row r="245">
          <cell r="A245" t="str">
            <v>2023-3-1-14-02-21-0584-205</v>
          </cell>
          <cell r="B245" t="str">
            <v>JOSUE ALEXANDRO BARON DUARTE</v>
          </cell>
          <cell r="C245">
            <v>31733333</v>
          </cell>
        </row>
        <row r="246">
          <cell r="A246" t="str">
            <v>2063-3-1-14-02-21-0584-205</v>
          </cell>
          <cell r="B246" t="str">
            <v>WILLIAM EDUARDO CALDERÓN CASTILLO</v>
          </cell>
          <cell r="C246">
            <v>28500000</v>
          </cell>
        </row>
        <row r="247">
          <cell r="A247" t="str">
            <v>2083-3-1-14-02-21-0584-205</v>
          </cell>
          <cell r="B247" t="str">
            <v>ANA MARIA ROMERO JIMENEZ</v>
          </cell>
          <cell r="C247">
            <v>23800000</v>
          </cell>
        </row>
        <row r="248">
          <cell r="A248" t="str">
            <v>2013-3-1-14-02-21-0584-205</v>
          </cell>
          <cell r="B248" t="str">
            <v>HELBER HUGO MORALES RINCON</v>
          </cell>
          <cell r="C248">
            <v>31733333</v>
          </cell>
        </row>
        <row r="249">
          <cell r="A249" t="str">
            <v>2053-3-1-14-02-21-0584-205</v>
          </cell>
          <cell r="B249" t="str">
            <v>MAYERLI CATHERIN CORONEL RODRIGUEZ</v>
          </cell>
          <cell r="C249">
            <v>23700000</v>
          </cell>
        </row>
        <row r="250">
          <cell r="A250" t="str">
            <v>2073-3-1-14-02-21-0584-205</v>
          </cell>
          <cell r="B250" t="str">
            <v>yisell zarith tellez garzon</v>
          </cell>
          <cell r="C250">
            <v>23700000</v>
          </cell>
        </row>
        <row r="251">
          <cell r="A251" t="str">
            <v>1773-3-1-14-02-21-0584-205</v>
          </cell>
          <cell r="B251" t="str">
            <v>FABIAN LEONARDO BOCANEGRA LINARES</v>
          </cell>
          <cell r="C251">
            <v>31600000</v>
          </cell>
        </row>
        <row r="252">
          <cell r="A252" t="str">
            <v>2033-3-1-14-02-21-0584-205</v>
          </cell>
          <cell r="B252" t="str">
            <v>AIDA LILIA HIPUS DE TACHIRA</v>
          </cell>
          <cell r="C252">
            <v>31600000</v>
          </cell>
        </row>
        <row r="253">
          <cell r="A253" t="str">
            <v>2093-3-1-14-02-21-0584-206</v>
          </cell>
          <cell r="B253" t="str">
            <v>DANIEL  GAMARRA POLO</v>
          </cell>
          <cell r="C253">
            <v>40000000</v>
          </cell>
        </row>
        <row r="254">
          <cell r="A254" t="str">
            <v>2103-3-1-14-02-21-0584-206</v>
          </cell>
          <cell r="B254" t="str">
            <v>JUAN MANUEL ESTEBAN MENA</v>
          </cell>
          <cell r="C254">
            <v>23700000</v>
          </cell>
        </row>
        <row r="255">
          <cell r="A255" t="str">
            <v>1943-3-1-14-02-21-0584-207</v>
          </cell>
          <cell r="B255" t="str">
            <v>NELSON LIBARDO LOZANO BARRERA</v>
          </cell>
          <cell r="C255">
            <v>32000000</v>
          </cell>
        </row>
        <row r="256">
          <cell r="A256" t="str">
            <v>2153-3-1-14-03-26-0226-222</v>
          </cell>
          <cell r="B256" t="str">
            <v>CARMEN LUZ ROJAS GONZALEZ</v>
          </cell>
          <cell r="C256">
            <v>24864000</v>
          </cell>
        </row>
        <row r="257">
          <cell r="A257" t="str">
            <v>2123-3-1-14-03-26-0226-222</v>
          </cell>
          <cell r="B257" t="str">
            <v>DIEGO ALEJANDRO JAIMES RAMIREZ</v>
          </cell>
          <cell r="C257">
            <v>24864000</v>
          </cell>
        </row>
        <row r="258">
          <cell r="A258" t="str">
            <v>2113-3-1-14-03-26-0226-222</v>
          </cell>
          <cell r="B258" t="str">
            <v>JUAN CARLOS DIAZ GOMEZ</v>
          </cell>
          <cell r="C258">
            <v>24864000</v>
          </cell>
        </row>
        <row r="259">
          <cell r="A259" t="str">
            <v>1533-1-2-02-05-01-0000-00</v>
          </cell>
          <cell r="B259" t="str">
            <v>CORREAGRO S.A</v>
          </cell>
          <cell r="C259">
            <v>327748573</v>
          </cell>
        </row>
        <row r="260">
          <cell r="A260" t="str">
            <v>1533-3-1-14-01-14-0583-172</v>
          </cell>
          <cell r="B260" t="str">
            <v>CORREAGRO S.A</v>
          </cell>
          <cell r="C260">
            <v>153387951</v>
          </cell>
        </row>
        <row r="261">
          <cell r="A261" t="str">
            <v>1533-3-1-14-02-21-0584-205</v>
          </cell>
          <cell r="B261" t="str">
            <v>CORREAGRO S.A</v>
          </cell>
          <cell r="C261">
            <v>338234910</v>
          </cell>
        </row>
        <row r="262">
          <cell r="A262" t="str">
            <v>2273-1-2-02-02-00-0000-00</v>
          </cell>
          <cell r="C262">
            <v>761128</v>
          </cell>
        </row>
        <row r="263">
          <cell r="A263" t="str">
            <v>2143-3-1-14-03-26-0226-222</v>
          </cell>
          <cell r="B263" t="str">
            <v>JOSE DARIO GONZALEZ CASTRO</v>
          </cell>
          <cell r="C263">
            <v>24864000</v>
          </cell>
        </row>
        <row r="264">
          <cell r="A264" t="str">
            <v>2133-3-1-14-03-26-0226-222</v>
          </cell>
          <cell r="B264" t="str">
            <v>ANDREA DEL PILAR GUERRERO RODRIGUEZ</v>
          </cell>
          <cell r="C264">
            <v>17404000</v>
          </cell>
        </row>
        <row r="265">
          <cell r="A265" t="str">
            <v>2303-1-1-03-01-02-0000-00</v>
          </cell>
          <cell r="B265" t="str">
            <v>UNIDAD ADMINISTRATIVA ESPECIAL DE SERVICIOS PUBLICOS</v>
          </cell>
          <cell r="C265">
            <v>39252380</v>
          </cell>
        </row>
        <row r="266">
          <cell r="A266" t="str">
            <v>2303-1-1-03-01-03-0000-00</v>
          </cell>
          <cell r="B266" t="str">
            <v>UNIDAD ADMINISTRATIVA ESPECIAL DE SERVICIOS PUBLICOS</v>
          </cell>
          <cell r="C266">
            <v>55209462</v>
          </cell>
        </row>
        <row r="267">
          <cell r="A267" t="str">
            <v>2303-1-1-03-01-05-0000-00</v>
          </cell>
          <cell r="B267" t="str">
            <v>UNIDAD ADMINISTRATIVA ESPECIAL DE SERVICIOS PUBLICOS</v>
          </cell>
          <cell r="C267">
            <v>27251600</v>
          </cell>
        </row>
        <row r="268">
          <cell r="A268" t="str">
            <v>2303-1-1-03-02-01-0000-00</v>
          </cell>
          <cell r="B268" t="str">
            <v>UNIDAD ADMINISTRATIVA ESPECIAL DE SERVICIOS PUBLICOS</v>
          </cell>
          <cell r="C268">
            <v>42619491</v>
          </cell>
        </row>
        <row r="269">
          <cell r="A269" t="str">
            <v>2303-1-1-03-02-02-0000-00</v>
          </cell>
          <cell r="B269" t="str">
            <v>UNIDAD ADMINISTRATIVA ESPECIAL DE SERVICIOS PUBLICOS</v>
          </cell>
          <cell r="C269">
            <v>38831880</v>
          </cell>
        </row>
        <row r="270">
          <cell r="A270" t="str">
            <v>2303-1-1-03-02-04-0000-00</v>
          </cell>
          <cell r="B270" t="str">
            <v>UNIDAD ADMINISTRATIVA ESPECIAL DE SERVICIOS PUBLICOS</v>
          </cell>
          <cell r="C270">
            <v>3982672</v>
          </cell>
        </row>
        <row r="271">
          <cell r="A271" t="str">
            <v>2303-1-1-03-02-06-0000-00</v>
          </cell>
          <cell r="B271" t="str">
            <v>UNIDAD ADMINISTRATIVA ESPECIAL DE SERVICIOS PUBLICOS</v>
          </cell>
          <cell r="C271">
            <v>20439300</v>
          </cell>
        </row>
        <row r="272">
          <cell r="A272" t="str">
            <v>2303-1-1-03-02-07-0000-00</v>
          </cell>
          <cell r="B272" t="str">
            <v>UNIDAD ADMINISTRATIVA ESPECIAL DE SERVICIOS PUBLICOS</v>
          </cell>
          <cell r="C272">
            <v>13625800</v>
          </cell>
        </row>
        <row r="273">
          <cell r="A273" t="str">
            <v>2303-1-1-03-02-09-0000-00</v>
          </cell>
          <cell r="B273" t="str">
            <v>UNIDAD ADMINISTRATIVA ESPECIAL DE SERVICIOS PUBLICOS</v>
          </cell>
          <cell r="C273">
            <v>9627</v>
          </cell>
        </row>
        <row r="274">
          <cell r="A274" t="str">
            <v>2383-1-1-02-03-01-0000-00</v>
          </cell>
          <cell r="B274" t="str">
            <v>ANA MARIA RODRIGUEZ ALFONSO</v>
          </cell>
          <cell r="C274">
            <v>41250000</v>
          </cell>
        </row>
        <row r="275">
          <cell r="A275" t="str">
            <v>2253-3-1-14-02-21-0584-205</v>
          </cell>
          <cell r="B275" t="str">
            <v>DIANA FABIOLA ONOFRE JARA</v>
          </cell>
          <cell r="C275">
            <v>30666666</v>
          </cell>
        </row>
        <row r="276">
          <cell r="A276" t="str">
            <v>2263-3-1-14-02-21-0584-206</v>
          </cell>
          <cell r="B276" t="str">
            <v>JUAN DIEGO GUERRON CARCAMO</v>
          </cell>
          <cell r="C276">
            <v>30800000</v>
          </cell>
        </row>
        <row r="277">
          <cell r="A277" t="str">
            <v>2373-3-1-14-02-21-0584-205</v>
          </cell>
          <cell r="B277" t="str">
            <v>INGESTRUT SAS</v>
          </cell>
          <cell r="C277">
            <v>147202041</v>
          </cell>
        </row>
        <row r="278">
          <cell r="A278" t="str">
            <v>2373-3-1-14-03-31-0581-235</v>
          </cell>
          <cell r="B278" t="str">
            <v>INGESTRUT SAS</v>
          </cell>
          <cell r="C278">
            <v>23742000</v>
          </cell>
        </row>
        <row r="279">
          <cell r="A279" t="str">
            <v>2403-3-1-14-03-31-0581-235</v>
          </cell>
          <cell r="B279" t="str">
            <v>RAMIREZ TORRES CONSULTORES INMOBILIARIOS SAS</v>
          </cell>
          <cell r="C279">
            <v>5029644</v>
          </cell>
        </row>
        <row r="280">
          <cell r="A280" t="str">
            <v>2423-3-1-14-02-21-0584-204</v>
          </cell>
          <cell r="B280" t="str">
            <v>DIEGO ALEXANDER OSPINA ZARATE</v>
          </cell>
          <cell r="C280">
            <v>22300000</v>
          </cell>
        </row>
        <row r="281">
          <cell r="A281" t="str">
            <v>2413-3-1-14-02-21-0584-204</v>
          </cell>
          <cell r="B281" t="str">
            <v>SANDRA KATERINE DELGADO CARVAJAL</v>
          </cell>
          <cell r="C281">
            <v>18583333</v>
          </cell>
        </row>
        <row r="282">
          <cell r="A282" t="str">
            <v>2433-3-1-14-02-21-0584-204</v>
          </cell>
          <cell r="B282" t="str">
            <v>ANDRES EDUARDO MANJARRES SALAS</v>
          </cell>
          <cell r="C282">
            <v>31220000</v>
          </cell>
        </row>
        <row r="283">
          <cell r="A283" t="str">
            <v>2453-3-1-14-02-21-0584-204</v>
          </cell>
          <cell r="B283" t="str">
            <v>DANIEL ARMANDO ORJUELA DELGADO</v>
          </cell>
          <cell r="C283">
            <v>37000000</v>
          </cell>
        </row>
        <row r="284">
          <cell r="A284" t="str">
            <v>2463-3-1-14-02-21-0584-204</v>
          </cell>
          <cell r="B284" t="str">
            <v>JORGE LUIS VASQUEZ RODRIGUEZ</v>
          </cell>
          <cell r="C284">
            <v>22200000</v>
          </cell>
        </row>
        <row r="285">
          <cell r="A285" t="str">
            <v>2323-3-1-14-02-21-0584-205</v>
          </cell>
          <cell r="B285" t="str">
            <v>MILTON SEBASTIAN APONTE MONROY</v>
          </cell>
          <cell r="C285">
            <v>22200000</v>
          </cell>
        </row>
        <row r="286">
          <cell r="A286" t="str">
            <v>2333-3-1-14-02-21-0584-205</v>
          </cell>
          <cell r="B286" t="str">
            <v>ALBA YANETH CAMELO VELOZA</v>
          </cell>
          <cell r="C286">
            <v>29200000</v>
          </cell>
        </row>
        <row r="287">
          <cell r="A287" t="str">
            <v>2193-3-1-14-02-21-0584-205</v>
          </cell>
          <cell r="B287" t="str">
            <v>CARLOS EDUARDO LLANOS GIL</v>
          </cell>
          <cell r="C287">
            <v>29200000</v>
          </cell>
        </row>
        <row r="288">
          <cell r="A288" t="str">
            <v>2283-3-1-14-02-21-0584-205</v>
          </cell>
          <cell r="B288" t="str">
            <v>PAULA ANDREA QUINTERO RAMIREZ</v>
          </cell>
          <cell r="C288">
            <v>21900000</v>
          </cell>
        </row>
        <row r="289">
          <cell r="A289" t="str">
            <v>1633-3-4-00-00-00-0000-00</v>
          </cell>
          <cell r="B289" t="str">
            <v>KALED ROLANDO ROJAS SANTANA</v>
          </cell>
          <cell r="C289">
            <v>2566667</v>
          </cell>
        </row>
        <row r="290">
          <cell r="A290" t="str">
            <v>2173-3-1-14-02-21-0584-204</v>
          </cell>
          <cell r="B290" t="str">
            <v>MARIA FERNANDA RAMIREZ GARCIA</v>
          </cell>
          <cell r="C290">
            <v>94266665</v>
          </cell>
        </row>
        <row r="291">
          <cell r="A291" t="str">
            <v>1353-3-1-14-03-31-0581-235</v>
          </cell>
          <cell r="B291" t="str">
            <v>CONTROLES EMPRESARIALES LTDA</v>
          </cell>
          <cell r="C291">
            <v>110668841</v>
          </cell>
        </row>
        <row r="292">
          <cell r="A292" t="str">
            <v>613-3-1-14-03-31-0581-235</v>
          </cell>
          <cell r="B292" t="str">
            <v>COLOMBIANA DE COMERCIO SA</v>
          </cell>
          <cell r="C292">
            <v>11754900</v>
          </cell>
        </row>
        <row r="293">
          <cell r="A293" t="str">
            <v>1703-3-1-14-03-31-0581-235</v>
          </cell>
          <cell r="B293" t="str">
            <v>MAKRO SUPERMAYORISTA S.A.S</v>
          </cell>
          <cell r="C293">
            <v>6151470</v>
          </cell>
        </row>
        <row r="294">
          <cell r="A294" t="str">
            <v>2593-3-1-14-03-31-0581-235</v>
          </cell>
          <cell r="B294" t="str">
            <v>MAKRO SUPERMAYORISTA S.A.S</v>
          </cell>
          <cell r="C294">
            <v>53030</v>
          </cell>
        </row>
        <row r="295">
          <cell r="A295" t="str">
            <v>2493-1-1-01-01-00-0000-00</v>
          </cell>
          <cell r="B295" t="str">
            <v>UNIDAD ADMINISTRATIVA ESPECIAL DE SERVICIOS PUBLICOS</v>
          </cell>
          <cell r="C295">
            <v>460416819</v>
          </cell>
        </row>
        <row r="296">
          <cell r="A296" t="str">
            <v>2493-1-1-01-04-00-0000-00</v>
          </cell>
          <cell r="B296" t="str">
            <v>UNIDAD ADMINISTRATIVA ESPECIAL DE SERVICIOS PUBLICOS</v>
          </cell>
          <cell r="C296">
            <v>34669239</v>
          </cell>
        </row>
        <row r="297">
          <cell r="A297" t="str">
            <v>2493-1-1-01-05-00-0000-00</v>
          </cell>
          <cell r="B297" t="str">
            <v>UNIDAD ADMINISTRATIVA ESPECIAL DE SERVICIOS PUBLICOS</v>
          </cell>
          <cell r="C297">
            <v>5360342</v>
          </cell>
        </row>
        <row r="298">
          <cell r="A298" t="str">
            <v>2493-1-1-01-06-00-0000-00</v>
          </cell>
          <cell r="B298" t="str">
            <v>UNIDAD ADMINISTRATIVA ESPECIAL DE SERVICIOS PUBLICOS</v>
          </cell>
          <cell r="C298">
            <v>854700</v>
          </cell>
        </row>
        <row r="299">
          <cell r="A299" t="str">
            <v>2493-1-1-01-07-00-0000-00</v>
          </cell>
          <cell r="B299" t="str">
            <v>UNIDAD ADMINISTRATIVA ESPECIAL DE SERVICIOS PUBLICOS</v>
          </cell>
          <cell r="C299">
            <v>589974</v>
          </cell>
        </row>
        <row r="300">
          <cell r="A300" t="str">
            <v>2493-1-1-01-08-00-0000-00</v>
          </cell>
          <cell r="B300" t="str">
            <v>UNIDAD ADMINISTRATIVA ESPECIAL DE SERVICIOS PUBLICOS</v>
          </cell>
          <cell r="C300">
            <v>5668582</v>
          </cell>
        </row>
        <row r="301">
          <cell r="A301" t="str">
            <v>2493-1-1-01-13-00-0000-00</v>
          </cell>
          <cell r="B301" t="str">
            <v>UNIDAD ADMINISTRATIVA ESPECIAL DE SERVICIOS PUBLICOS</v>
          </cell>
          <cell r="C301">
            <v>111786</v>
          </cell>
        </row>
        <row r="302">
          <cell r="A302" t="str">
            <v>2493-1-1-01-14-00-0000-00</v>
          </cell>
          <cell r="B302" t="str">
            <v>UNIDAD ADMINISTRATIVA ESPECIAL DE SERVICIOS PUBLICOS</v>
          </cell>
          <cell r="C302">
            <v>31693364</v>
          </cell>
        </row>
        <row r="303">
          <cell r="A303" t="str">
            <v>2493-1-1-01-15-00-0000-00</v>
          </cell>
          <cell r="B303" t="str">
            <v>UNIDAD ADMINISTRATIVA ESPECIAL DE SERVICIOS PUBLICOS</v>
          </cell>
          <cell r="C303">
            <v>133759285</v>
          </cell>
        </row>
        <row r="304">
          <cell r="A304" t="str">
            <v>2493-1-1-01-16-00-0000-00</v>
          </cell>
          <cell r="B304" t="str">
            <v>UNIDAD ADMINISTRATIVA ESPECIAL DE SERVICIOS PUBLICOS</v>
          </cell>
          <cell r="C304">
            <v>9548420</v>
          </cell>
        </row>
        <row r="305">
          <cell r="A305" t="str">
            <v>2493-1-1-01-17-00-0000-00</v>
          </cell>
          <cell r="B305" t="str">
            <v>UNIDAD ADMINISTRATIVA ESPECIAL DE SERVICIOS PUBLICOS</v>
          </cell>
          <cell r="C305">
            <v>398427</v>
          </cell>
        </row>
        <row r="306">
          <cell r="A306" t="str">
            <v>2493-1-1-01-21-00-0000-00</v>
          </cell>
          <cell r="B306" t="str">
            <v>UNIDAD ADMINISTRATIVA ESPECIAL DE SERVICIOS PUBLICOS</v>
          </cell>
          <cell r="C306">
            <v>2502753</v>
          </cell>
        </row>
        <row r="307">
          <cell r="A307" t="str">
            <v>2493-1-1-01-26-00-0000-00</v>
          </cell>
          <cell r="B307" t="str">
            <v>UNIDAD ADMINISTRATIVA ESPECIAL DE SERVICIOS PUBLICOS</v>
          </cell>
          <cell r="C307">
            <v>2788546</v>
          </cell>
        </row>
        <row r="308">
          <cell r="A308" t="str">
            <v>2393-1-1-02-03-01-0000-00</v>
          </cell>
          <cell r="C308">
            <v>2740000</v>
          </cell>
        </row>
        <row r="309">
          <cell r="A309" t="str">
            <v>2443-1-1-02-03-01-0000-00</v>
          </cell>
          <cell r="B309" t="str">
            <v>DIEGO ARMANDO GUTIERREZ DIMATE</v>
          </cell>
          <cell r="C309">
            <v>50866666</v>
          </cell>
        </row>
        <row r="310">
          <cell r="A310" t="str">
            <v>2723-3-1-14-01-14-0582-171</v>
          </cell>
          <cell r="B310" t="str">
            <v>ANGELICA  VARGAS CHAVARRO</v>
          </cell>
          <cell r="C310">
            <v>38500000</v>
          </cell>
        </row>
        <row r="311">
          <cell r="A311" t="str">
            <v>2713-3-1-14-01-14-0582-171</v>
          </cell>
          <cell r="B311" t="str">
            <v>TIRSA PATRICIA UPARELA OLIVERA</v>
          </cell>
          <cell r="C311">
            <v>19600000</v>
          </cell>
        </row>
        <row r="312">
          <cell r="A312" t="str">
            <v>2663-3-1-14-01-14-0582-171</v>
          </cell>
          <cell r="B312" t="str">
            <v>FERNANDO ANDRÉS CARVAJAL MOLINA</v>
          </cell>
          <cell r="C312">
            <v>26600000</v>
          </cell>
        </row>
        <row r="313">
          <cell r="A313" t="str">
            <v>2813-3-1-14-01-14-0582-171</v>
          </cell>
          <cell r="B313" t="str">
            <v>SANDRA PATRICIA BENAVIDES BUITRAGO</v>
          </cell>
          <cell r="C313">
            <v>28000000</v>
          </cell>
        </row>
        <row r="314">
          <cell r="A314" t="str">
            <v>2513-3-1-14-02-21-0584-204</v>
          </cell>
          <cell r="B314" t="str">
            <v>GLORIA ROCIO JIMENEZ RIOS</v>
          </cell>
          <cell r="C314">
            <v>27613333</v>
          </cell>
        </row>
        <row r="315">
          <cell r="A315" t="str">
            <v>2543-3-1-14-02-21-0584-204</v>
          </cell>
          <cell r="B315" t="str">
            <v>LUZ HELENA GOMEZ LEYVA</v>
          </cell>
          <cell r="C315">
            <v>67125333</v>
          </cell>
        </row>
        <row r="316">
          <cell r="A316" t="str">
            <v>2843-3-1-14-02-21-0584-204</v>
          </cell>
          <cell r="B316" t="str">
            <v>OSCAR JAVIER FONSECA GOMEZ</v>
          </cell>
          <cell r="C316">
            <v>56000000</v>
          </cell>
        </row>
        <row r="317">
          <cell r="A317" t="str">
            <v>2343-3-1-14-02-21-0584-205</v>
          </cell>
          <cell r="B317" t="str">
            <v>JAVIER ALBEIRO HERNANDEZ JARAMILLO</v>
          </cell>
          <cell r="C317">
            <v>29066666</v>
          </cell>
        </row>
        <row r="318">
          <cell r="A318" t="str">
            <v>2213-3-1-14-02-21-0584-205</v>
          </cell>
          <cell r="B318" t="str">
            <v>CESAR AUGUSTO AVILA VALENZUELA</v>
          </cell>
          <cell r="C318">
            <v>28933333</v>
          </cell>
        </row>
        <row r="319">
          <cell r="A319" t="str">
            <v>2203-3-1-14-02-21-0584-205</v>
          </cell>
          <cell r="B319" t="str">
            <v>MONICA VIVIANA PORRAS BEDOYA</v>
          </cell>
          <cell r="C319">
            <v>28933333</v>
          </cell>
        </row>
        <row r="320">
          <cell r="A320" t="str">
            <v>2473-3-1-14-02-21-0584-205</v>
          </cell>
          <cell r="B320" t="str">
            <v>LUISA FERNANDA INSIGNARES GOMEZ</v>
          </cell>
          <cell r="C320">
            <v>25199999</v>
          </cell>
        </row>
        <row r="321">
          <cell r="A321" t="str">
            <v>2903-3-1-14-02-21-0584-205</v>
          </cell>
          <cell r="B321" t="str">
            <v>ROSARIO ELEVYN RAMIREZ ROMERO</v>
          </cell>
          <cell r="C321">
            <v>25083333</v>
          </cell>
        </row>
        <row r="322">
          <cell r="A322" t="str">
            <v>2313-3-1-14-03-31-0581-235</v>
          </cell>
          <cell r="B322" t="str">
            <v>COMPUTEL SYSTEM SAS</v>
          </cell>
          <cell r="C322">
            <v>129754556</v>
          </cell>
        </row>
        <row r="323">
          <cell r="A323" t="str">
            <v>1873-3-1-14-02-21-0584-204</v>
          </cell>
          <cell r="B323" t="str">
            <v>GEOCAPITAL S.A.</v>
          </cell>
          <cell r="C323">
            <v>152502366</v>
          </cell>
        </row>
        <row r="324">
          <cell r="A324" t="str">
            <v>1873-3-1-14-02-21-0584-205</v>
          </cell>
          <cell r="B324" t="str">
            <v>GEOCAPITAL S.A.</v>
          </cell>
          <cell r="C324">
            <v>58717295</v>
          </cell>
        </row>
        <row r="325">
          <cell r="A325" t="str">
            <v>2883-1-1-03-01-01-0000-00</v>
          </cell>
          <cell r="B325" t="str">
            <v>UNIDAD ADMINISTRATIVA ESPECIAL DE SERVICIOS PUBLICOS</v>
          </cell>
          <cell r="C325">
            <v>238134</v>
          </cell>
        </row>
        <row r="326">
          <cell r="A326" t="str">
            <v>2523-3-1-14-02-21-0584-204</v>
          </cell>
          <cell r="B326" t="str">
            <v>XAM SOLUCIONES INTEGRALES S.A.S</v>
          </cell>
          <cell r="C326">
            <v>9651200</v>
          </cell>
        </row>
        <row r="327">
          <cell r="A327" t="str">
            <v>2823-3-1-14-01-14-0582-171</v>
          </cell>
          <cell r="B327" t="str">
            <v>CRISTIAN  RENDON GOMEZ</v>
          </cell>
          <cell r="C327">
            <v>19600000</v>
          </cell>
        </row>
        <row r="328">
          <cell r="A328" t="str">
            <v>2533-3-1-14-01-14-0582-171</v>
          </cell>
          <cell r="B328" t="str">
            <v>LEIDY JOHANA MUÑOZ CARRERO</v>
          </cell>
          <cell r="C328">
            <v>35000000</v>
          </cell>
        </row>
        <row r="329">
          <cell r="A329" t="str">
            <v>2703-3-1-14-01-14-0582-171</v>
          </cell>
          <cell r="B329" t="str">
            <v>EDWIN MAURICIO RAMOS AMAYA</v>
          </cell>
          <cell r="C329">
            <v>28000000</v>
          </cell>
        </row>
        <row r="330">
          <cell r="A330" t="str">
            <v>2653-3-1-14-01-14-0582-171</v>
          </cell>
          <cell r="B330" t="str">
            <v>TANIA CAMILA AGUILAR MENDIETA</v>
          </cell>
          <cell r="C330">
            <v>19600000</v>
          </cell>
        </row>
        <row r="331">
          <cell r="A331" t="str">
            <v>2733-3-1-14-01-14-0582-171</v>
          </cell>
          <cell r="B331" t="str">
            <v>JUAN FRANCISCO MARADEI GARCIA</v>
          </cell>
          <cell r="C331">
            <v>35000000</v>
          </cell>
        </row>
        <row r="332">
          <cell r="A332" t="str">
            <v>2693-3-1-14-01-14-0582-171</v>
          </cell>
          <cell r="B332" t="str">
            <v>ALEX ROBERTO SALAMANCA</v>
          </cell>
          <cell r="C332">
            <v>0</v>
          </cell>
        </row>
        <row r="333">
          <cell r="A333" t="str">
            <v>2853-3-1-14-01-14-0582-171</v>
          </cell>
          <cell r="B333" t="str">
            <v>DANIEL SARMIENTO E HIJOS S.A.S.</v>
          </cell>
          <cell r="C333">
            <v>6000000</v>
          </cell>
        </row>
        <row r="334">
          <cell r="A334" t="str">
            <v>2673-3-1-14-01-14-0582-171</v>
          </cell>
          <cell r="B334" t="str">
            <v>GONZALO FERNANDO CISNEROS GARAVITO</v>
          </cell>
          <cell r="C334">
            <v>42000000</v>
          </cell>
        </row>
        <row r="335">
          <cell r="A335" t="str">
            <v>2683-3-1-14-01-14-0582-171</v>
          </cell>
          <cell r="B335" t="str">
            <v>WILLIAM ANDRES NINO TORRES</v>
          </cell>
          <cell r="C335">
            <v>26600000</v>
          </cell>
        </row>
        <row r="336">
          <cell r="A336" t="str">
            <v>2913-3-1-14-01-14-0583-172</v>
          </cell>
          <cell r="B336" t="str">
            <v>UNIÓN TEMPORAL PROINPRO</v>
          </cell>
          <cell r="C336">
            <v>175538376</v>
          </cell>
        </row>
        <row r="337">
          <cell r="A337" t="str">
            <v>2833-3-1-14-02-21-0584-204</v>
          </cell>
          <cell r="B337" t="str">
            <v>RAUL  NAVARRO JARAMILLO</v>
          </cell>
          <cell r="C337">
            <v>49000000</v>
          </cell>
        </row>
        <row r="338">
          <cell r="A338" t="str">
            <v>2773-3-1-14-02-21-0584-204</v>
          </cell>
          <cell r="B338" t="str">
            <v>DALGY DANIT LEAL OJEDA</v>
          </cell>
          <cell r="C338">
            <v>31650000</v>
          </cell>
        </row>
        <row r="339">
          <cell r="A339" t="str">
            <v>2743-3-1-14-02-21-0584-204</v>
          </cell>
          <cell r="B339" t="str">
            <v>CINDY LORENA MORENO FLOREZ</v>
          </cell>
          <cell r="C339">
            <v>33600000</v>
          </cell>
        </row>
        <row r="340">
          <cell r="A340" t="str">
            <v>2753-3-1-14-02-21-0584-204</v>
          </cell>
          <cell r="B340" t="str">
            <v>LUIS FELIPE PACHON GANTIVA</v>
          </cell>
          <cell r="C340">
            <v>36400000</v>
          </cell>
        </row>
        <row r="341">
          <cell r="A341" t="str">
            <v>2993-3-1-14-02-21-0584-204</v>
          </cell>
          <cell r="B341" t="str">
            <v>SESCOLOMBIA S A S</v>
          </cell>
          <cell r="C341">
            <v>78880000</v>
          </cell>
        </row>
        <row r="342">
          <cell r="A342" t="str">
            <v>2793-3-1-14-02-21-0584-204</v>
          </cell>
          <cell r="B342" t="str">
            <v>ANDREA PATRICIA ACOSTA OVALLE</v>
          </cell>
          <cell r="C342">
            <v>21000000</v>
          </cell>
        </row>
        <row r="343">
          <cell r="A343" t="str">
            <v>2893-3-1-14-02-21-0584-205</v>
          </cell>
          <cell r="B343" t="str">
            <v>CLAUDIA MERCEDES CIFUENTES CIFUENTES</v>
          </cell>
          <cell r="C343">
            <v>21000000</v>
          </cell>
        </row>
        <row r="344">
          <cell r="A344" t="str">
            <v>2953-3-1-14-02-21-0584-205</v>
          </cell>
          <cell r="B344" t="str">
            <v>GIOVANNI ENRIQUE PEÑA SUAREZ</v>
          </cell>
          <cell r="C344">
            <v>21000000</v>
          </cell>
        </row>
        <row r="345">
          <cell r="A345" t="str">
            <v>2933-3-1-14-02-21-0584-205</v>
          </cell>
          <cell r="B345" t="str">
            <v>LUIS ALBERTO HERNANDEZ SILVA</v>
          </cell>
          <cell r="C345">
            <v>21000000</v>
          </cell>
        </row>
        <row r="346">
          <cell r="A346" t="str">
            <v>2233-3-1-14-02-21-0584-205</v>
          </cell>
          <cell r="B346" t="str">
            <v>SHIRLEY ESTELA PADILLA DORIA</v>
          </cell>
          <cell r="C346">
            <v>28000000</v>
          </cell>
        </row>
        <row r="347">
          <cell r="A347" t="str">
            <v>2353-3-1-14-02-21-0584-205</v>
          </cell>
          <cell r="B347" t="str">
            <v>LORENA  PERDOMO SEPULVEDA</v>
          </cell>
          <cell r="C347">
            <v>28000000</v>
          </cell>
        </row>
        <row r="348">
          <cell r="A348" t="str">
            <v>1983-3-1-14-02-21-0584-205</v>
          </cell>
          <cell r="B348" t="str">
            <v>NANCY GIOVANNA CELY</v>
          </cell>
          <cell r="C348">
            <v>28000000</v>
          </cell>
        </row>
        <row r="349">
          <cell r="A349" t="str">
            <v>2973-3-1-14-02-21-0584-205</v>
          </cell>
          <cell r="B349" t="str">
            <v>LAURA MERCEDES MORENO PARRA</v>
          </cell>
          <cell r="C349">
            <v>21000000</v>
          </cell>
        </row>
        <row r="350">
          <cell r="A350" t="str">
            <v>2643-3-1-14-02-21-0584-206</v>
          </cell>
          <cell r="B350" t="str">
            <v>OCTAVIO ENRIQUE VEGA CASTRO</v>
          </cell>
          <cell r="C350">
            <v>30000000</v>
          </cell>
        </row>
        <row r="351">
          <cell r="A351" t="str">
            <v>2613-3-1-14-02-21-0584-206</v>
          </cell>
          <cell r="B351" t="str">
            <v>MARIA ANGELICA RAMIREZ RAMIREZ</v>
          </cell>
          <cell r="C351">
            <v>44100000</v>
          </cell>
        </row>
        <row r="352">
          <cell r="A352" t="str">
            <v>2623-3-1-14-02-21-0584-206</v>
          </cell>
          <cell r="B352" t="str">
            <v>LUIS ORLANDO SANCHEZ GOMEZ</v>
          </cell>
          <cell r="C352">
            <v>58100000</v>
          </cell>
        </row>
        <row r="353">
          <cell r="A353" t="str">
            <v>2633-3-1-14-02-21-0584-206</v>
          </cell>
          <cell r="B353" t="str">
            <v>PAUL  LEHOUCQ MONTOYA</v>
          </cell>
          <cell r="C353">
            <v>83636000</v>
          </cell>
        </row>
        <row r="354">
          <cell r="A354" t="str">
            <v>2603-3-1-14-02-21-0584-206</v>
          </cell>
          <cell r="B354" t="str">
            <v>YAMIT ALEJANDRO VELASQUEZ OBANDO</v>
          </cell>
          <cell r="C354">
            <v>16100000</v>
          </cell>
        </row>
        <row r="355">
          <cell r="A355" t="str">
            <v>2583-3-1-14-03-31-0581-235</v>
          </cell>
          <cell r="B355" t="str">
            <v>ERIKA  MORALES AMOROCHO</v>
          </cell>
          <cell r="C355">
            <v>11460000</v>
          </cell>
        </row>
        <row r="356">
          <cell r="A356" t="str">
            <v>2553-3-1-14-03-31-0581-235</v>
          </cell>
          <cell r="B356" t="str">
            <v>NICOLAS  LIZARAZO LEYVA</v>
          </cell>
          <cell r="C356">
            <v>7000000</v>
          </cell>
        </row>
        <row r="357">
          <cell r="A357" t="str">
            <v>2573-3-1-14-03-31-0581-235</v>
          </cell>
          <cell r="B357" t="str">
            <v>MONICA  OCAÑA BERNAL</v>
          </cell>
          <cell r="C357">
            <v>11460000</v>
          </cell>
        </row>
        <row r="358">
          <cell r="A358" t="str">
            <v>2563-3-1-14-03-31-0581-235</v>
          </cell>
          <cell r="B358" t="str">
            <v>MARTHA  TRUJILLO PANIAGUA</v>
          </cell>
          <cell r="C358">
            <v>11460000</v>
          </cell>
        </row>
        <row r="359">
          <cell r="A359" t="str">
            <v>2963-3-1-14-02-21-0584-205</v>
          </cell>
          <cell r="B359" t="str">
            <v>UNIDAD ADMINISTRATIVA ESPECIAL DE SERVICIOS PUBLICOS</v>
          </cell>
          <cell r="C359">
            <v>150000000</v>
          </cell>
        </row>
        <row r="360">
          <cell r="A360" t="str">
            <v>3023-3-1-14-02-21-0584-204</v>
          </cell>
          <cell r="B360" t="str">
            <v>LUIS GABRIEL PRECIADO GUERRERO</v>
          </cell>
          <cell r="C360">
            <v>21100000</v>
          </cell>
        </row>
        <row r="361">
          <cell r="A361" t="str">
            <v>3033-3-1-14-02-21-0584-204</v>
          </cell>
          <cell r="B361" t="str">
            <v>ASOCIACION NACIONAL DE EMPRESAS DE SERVICIOS PUBLICOS Y COMUNICACIONES ANDESCO</v>
          </cell>
          <cell r="C361">
            <v>21000000</v>
          </cell>
        </row>
        <row r="362">
          <cell r="A362" t="str">
            <v>3043-1-1-03-01-02-0000-00</v>
          </cell>
          <cell r="B362" t="str">
            <v>UNIDAD ADMINISTRATIVA ESPECIAL DE SERVICIOS PUBLICOS</v>
          </cell>
          <cell r="C362">
            <v>38275720</v>
          </cell>
        </row>
        <row r="363">
          <cell r="A363" t="str">
            <v>3043-1-1-03-01-03-0000-00</v>
          </cell>
          <cell r="B363" t="str">
            <v>UNIDAD ADMINISTRATIVA ESPECIAL DE SERVICIOS PUBLICOS</v>
          </cell>
          <cell r="C363">
            <v>53587679</v>
          </cell>
        </row>
        <row r="364">
          <cell r="A364" t="str">
            <v>3043-1-1-03-01-05-0000-00</v>
          </cell>
          <cell r="B364" t="str">
            <v>UNIDAD ADMINISTRATIVA ESPECIAL DE SERVICIOS PUBLICOS</v>
          </cell>
          <cell r="C364">
            <v>27530000</v>
          </cell>
        </row>
        <row r="365">
          <cell r="A365" t="str">
            <v>3043-1-1-03-02-01-0000-00</v>
          </cell>
          <cell r="B365" t="str">
            <v>UNIDAD ADMINISTRATIVA ESPECIAL DE SERVICIOS PUBLICOS</v>
          </cell>
          <cell r="C365">
            <v>41773259</v>
          </cell>
        </row>
        <row r="366">
          <cell r="A366" t="str">
            <v>3043-1-1-03-02-02-0000-00</v>
          </cell>
          <cell r="B366" t="str">
            <v>UNIDAD ADMINISTRATIVA ESPECIAL DE SERVICIOS PUBLICOS</v>
          </cell>
          <cell r="C366">
            <v>37379880</v>
          </cell>
        </row>
        <row r="367">
          <cell r="A367" t="str">
            <v>3043-1-1-03-02-04-0000-00</v>
          </cell>
          <cell r="B367" t="str">
            <v>UNIDAD ADMINISTRATIVA ESPECIAL DE SERVICIOS PUBLICOS</v>
          </cell>
          <cell r="C367">
            <v>3745372</v>
          </cell>
        </row>
        <row r="368">
          <cell r="A368" t="str">
            <v>3043-1-1-03-02-06-0000-00</v>
          </cell>
          <cell r="B368" t="str">
            <v>UNIDAD ADMINISTRATIVA ESPECIAL DE SERVICIOS PUBLICOS</v>
          </cell>
          <cell r="C368">
            <v>20648100</v>
          </cell>
        </row>
        <row r="369">
          <cell r="A369" t="str">
            <v>3043-1-1-03-02-07-0000-00</v>
          </cell>
          <cell r="B369" t="str">
            <v>UNIDAD ADMINISTRATIVA ESPECIAL DE SERVICIOS PUBLICOS</v>
          </cell>
          <cell r="C369">
            <v>13764500</v>
          </cell>
        </row>
        <row r="370">
          <cell r="A370" t="str">
            <v>3043-1-1-03-02-09-0000-00</v>
          </cell>
          <cell r="B370" t="str">
            <v>UNIDAD ADMINISTRATIVA ESPECIAL DE SERVICIOS PUBLICOS</v>
          </cell>
          <cell r="C370">
            <v>9627</v>
          </cell>
        </row>
        <row r="371">
          <cell r="A371" t="str">
            <v>3063-1-1-02-03-01-0000-00</v>
          </cell>
          <cell r="B371" t="str">
            <v>INSIGNARES &amp; SILVA ABOGADOS ASOCIADOS SAS</v>
          </cell>
          <cell r="C371">
            <v>9280000</v>
          </cell>
        </row>
        <row r="372">
          <cell r="A372" t="str">
            <v>3073-1-1-03-01-02-0000-00</v>
          </cell>
          <cell r="B372" t="str">
            <v>UNIDAD ADMINISTRATIVA ESPECIAL DE SERVICIOS PUBLICOS</v>
          </cell>
          <cell r="C372">
            <v>5625960</v>
          </cell>
        </row>
        <row r="373">
          <cell r="A373" t="str">
            <v>3073-1-1-03-01-03-0000-00</v>
          </cell>
          <cell r="B373" t="str">
            <v>UNIDAD ADMINISTRATIVA ESPECIAL DE SERVICIOS PUBLICOS</v>
          </cell>
          <cell r="C373">
            <v>7930075</v>
          </cell>
        </row>
        <row r="374">
          <cell r="A374" t="str">
            <v>3073-1-1-03-01-05-0000-00</v>
          </cell>
          <cell r="B374" t="str">
            <v>UNIDAD ADMINISTRATIVA ESPECIAL DE SERVICIOS PUBLICOS</v>
          </cell>
          <cell r="C374">
            <v>9358960</v>
          </cell>
        </row>
        <row r="375">
          <cell r="A375" t="str">
            <v>3073-1-1-03-02-02-0000-00</v>
          </cell>
          <cell r="B375" t="str">
            <v>UNIDAD ADMINISTRATIVA ESPECIAL DE SERVICIOS PUBLICOS</v>
          </cell>
          <cell r="C375">
            <v>5569440</v>
          </cell>
        </row>
        <row r="376">
          <cell r="A376" t="str">
            <v>3073-1-1-03-02-04-0000-00</v>
          </cell>
          <cell r="B376" t="str">
            <v>UNIDAD ADMINISTRATIVA ESPECIAL DE SERVICIOS PUBLICOS</v>
          </cell>
          <cell r="C376">
            <v>543072</v>
          </cell>
        </row>
        <row r="377">
          <cell r="A377" t="str">
            <v>3073-1-1-03-02-06-0000-00</v>
          </cell>
          <cell r="B377" t="str">
            <v>UNIDAD ADMINISTRATIVA ESPECIAL DE SERVICIOS PUBLICOS</v>
          </cell>
          <cell r="C377">
            <v>7018970</v>
          </cell>
        </row>
        <row r="378">
          <cell r="A378" t="str">
            <v>3073-1-1-03-02-07-0000-00</v>
          </cell>
          <cell r="B378" t="str">
            <v>UNIDAD ADMINISTRATIVA ESPECIAL DE SERVICIOS PUBLICOS</v>
          </cell>
          <cell r="C378">
            <v>4677580</v>
          </cell>
        </row>
        <row r="379">
          <cell r="A379" t="str">
            <v>253-1-1-02-03-01-0000-00</v>
          </cell>
          <cell r="B379" t="str">
            <v>UNIDAD ADMINISTRATIVA ESPECIAL DE SERVICIOS PUBLICOS</v>
          </cell>
          <cell r="C379">
            <v>500000</v>
          </cell>
        </row>
        <row r="380">
          <cell r="A380" t="str">
            <v>2983-1-1-02-03-01-0000-00</v>
          </cell>
          <cell r="B380" t="str">
            <v>RAUL WEXLER PULIDO TELLEZ</v>
          </cell>
          <cell r="C380">
            <v>17400000</v>
          </cell>
        </row>
        <row r="381">
          <cell r="A381" t="str">
            <v>2483-3-4-00-00-00-0000-00</v>
          </cell>
          <cell r="B381" t="str">
            <v>GESTION RURAL Y URBANA S.A.S.</v>
          </cell>
          <cell r="C381">
            <v>72790711</v>
          </cell>
        </row>
        <row r="382">
          <cell r="A382" t="str">
            <v>3143-1-2-02-06-01-0000-00</v>
          </cell>
          <cell r="B382" t="str">
            <v>QBE SEGUROS S A Y PODRA USAR LAS</v>
          </cell>
          <cell r="C382">
            <v>35412173</v>
          </cell>
        </row>
        <row r="383">
          <cell r="A383" t="str">
            <v>3253-3-1-15-02-13-1109-130</v>
          </cell>
          <cell r="B383" t="str">
            <v>AUTOMATIZACIÓN Y PESO S.A.S</v>
          </cell>
          <cell r="C383">
            <v>30937200</v>
          </cell>
        </row>
        <row r="384">
          <cell r="A384" t="str">
            <v>2863-1-2-02-05-01-0000-00</v>
          </cell>
          <cell r="B384" t="str">
            <v>CAR SCANNERS SAS</v>
          </cell>
          <cell r="C384">
            <v>44800000</v>
          </cell>
        </row>
        <row r="385">
          <cell r="A385" t="str">
            <v>3083-1-2-02-06-01-0000-00</v>
          </cell>
          <cell r="B385" t="str">
            <v>SEGUROS DEL ESTADO S A</v>
          </cell>
          <cell r="C385">
            <v>4813151</v>
          </cell>
        </row>
        <row r="386">
          <cell r="A386" t="str">
            <v>3183-1-1-02-03-01-0000-00</v>
          </cell>
          <cell r="B386" t="str">
            <v>JUAN CARLOS JIMENEZ TRIANA</v>
          </cell>
          <cell r="C386">
            <v>36000000</v>
          </cell>
        </row>
        <row r="387">
          <cell r="A387" t="str">
            <v>3173-3-1-15-02-13-1109-130</v>
          </cell>
          <cell r="B387" t="str">
            <v>DISARDECA LTDA</v>
          </cell>
          <cell r="C387">
            <v>52500000</v>
          </cell>
        </row>
        <row r="388">
          <cell r="A388" t="str">
            <v>3193-3-1-15-07-42-1042-185</v>
          </cell>
          <cell r="B388" t="str">
            <v>MARTIN EULISES RUBIO SAENZ</v>
          </cell>
          <cell r="C388">
            <v>52200000</v>
          </cell>
        </row>
        <row r="389">
          <cell r="A389" t="str">
            <v>3263-3-1-15-07-42-1042-185</v>
          </cell>
          <cell r="B389" t="str">
            <v>PAOLA  ROMERO NEIRA</v>
          </cell>
          <cell r="C389">
            <v>22040000</v>
          </cell>
        </row>
        <row r="390">
          <cell r="A390" t="str">
            <v>3223-3-1-15-07-42-1042-185</v>
          </cell>
          <cell r="B390" t="str">
            <v>SANDRA MELISSA CARDENAS ESPINOSA</v>
          </cell>
          <cell r="C390">
            <v>71250000</v>
          </cell>
        </row>
        <row r="391">
          <cell r="A391" t="str">
            <v>3273-3-1-15-07-42-1042-185</v>
          </cell>
          <cell r="B391" t="str">
            <v>INSIGNARES &amp; SILVA ABOGADOS ASOCIADOS SAS</v>
          </cell>
          <cell r="C391">
            <v>79344000</v>
          </cell>
        </row>
        <row r="392">
          <cell r="A392" t="str">
            <v>3203-3-1-15-07-42-1042-185</v>
          </cell>
          <cell r="B392" t="str">
            <v>JOSE IGNACIO VARGAS MARTINEZ</v>
          </cell>
          <cell r="C392">
            <v>17000000</v>
          </cell>
        </row>
        <row r="393">
          <cell r="A393" t="str">
            <v>3233-3-1-15-07-42-1042-185</v>
          </cell>
          <cell r="B393" t="str">
            <v>GUSTAVO ANTONIO ROMERO ALVAREZ</v>
          </cell>
          <cell r="C393">
            <v>39666666</v>
          </cell>
        </row>
        <row r="394">
          <cell r="A394" t="str">
            <v>2873-1-2-01-04-00-0000-00</v>
          </cell>
          <cell r="B394" t="str">
            <v>PAPELERIA LOS ANDES LTDA</v>
          </cell>
          <cell r="C394">
            <v>49328695</v>
          </cell>
        </row>
        <row r="395">
          <cell r="A395" t="str">
            <v>3103-1-1-01-01-00-0000-00</v>
          </cell>
          <cell r="B395" t="str">
            <v>UNIDAD ADMINISTRATIVA ESPECIAL DE SERVICIOS PUBLICOS</v>
          </cell>
          <cell r="C395">
            <v>487030912</v>
          </cell>
        </row>
        <row r="396">
          <cell r="A396" t="str">
            <v>3103-1-1-01-04-00-0000-00</v>
          </cell>
          <cell r="B396" t="str">
            <v>UNIDAD ADMINISTRATIVA ESPECIAL DE SERVICIOS PUBLICOS</v>
          </cell>
          <cell r="C396">
            <v>33596584</v>
          </cell>
        </row>
        <row r="397">
          <cell r="A397" t="str">
            <v>3103-1-1-01-05-00-0000-00</v>
          </cell>
          <cell r="B397" t="str">
            <v>UNIDAD ADMINISTRATIVA ESPECIAL DE SERVICIOS PUBLICOS</v>
          </cell>
          <cell r="C397">
            <v>5273988</v>
          </cell>
        </row>
        <row r="398">
          <cell r="A398" t="str">
            <v>3103-1-1-01-06-00-0000-00</v>
          </cell>
          <cell r="B398" t="str">
            <v>UNIDAD ADMINISTRATIVA ESPECIAL DE SERVICIOS PUBLICOS</v>
          </cell>
          <cell r="C398">
            <v>712250</v>
          </cell>
        </row>
        <row r="399">
          <cell r="A399" t="str">
            <v>3103-1-1-01-07-00-0000-00</v>
          </cell>
          <cell r="B399" t="str">
            <v>UNIDAD ADMINISTRATIVA ESPECIAL DE SERVICIOS PUBLICOS</v>
          </cell>
          <cell r="C399">
            <v>518462</v>
          </cell>
        </row>
        <row r="400">
          <cell r="A400" t="str">
            <v>3103-1-1-01-08-00-0000-00</v>
          </cell>
          <cell r="B400" t="str">
            <v>UNIDAD ADMINISTRATIVA ESPECIAL DE SERVICIOS PUBLICOS</v>
          </cell>
          <cell r="C400">
            <v>12745536</v>
          </cell>
        </row>
        <row r="401">
          <cell r="A401" t="str">
            <v>3103-1-1-01-11-00-0000-00</v>
          </cell>
          <cell r="B401" t="str">
            <v>UNIDAD ADMINISTRATIVA ESPECIAL DE SERVICIOS PUBLICOS</v>
          </cell>
          <cell r="C401">
            <v>776565116</v>
          </cell>
        </row>
        <row r="402">
          <cell r="A402" t="str">
            <v>3103-1-1-01-13-00-0000-00</v>
          </cell>
          <cell r="B402" t="str">
            <v>UNIDAD ADMINISTRATIVA ESPECIAL DE SERVICIOS PUBLICOS</v>
          </cell>
          <cell r="C402">
            <v>434496</v>
          </cell>
        </row>
        <row r="403">
          <cell r="A403" t="str">
            <v>3103-1-1-01-14-00-0000-00</v>
          </cell>
          <cell r="B403" t="str">
            <v>UNIDAD ADMINISTRATIVA ESPECIAL DE SERVICIOS PUBLICOS</v>
          </cell>
          <cell r="C403">
            <v>64496394</v>
          </cell>
        </row>
        <row r="404">
          <cell r="A404" t="str">
            <v>3103-1-1-01-15-00-0000-00</v>
          </cell>
          <cell r="B404" t="str">
            <v>UNIDAD ADMINISTRATIVA ESPECIAL DE SERVICIOS PUBLICOS</v>
          </cell>
          <cell r="C404">
            <v>126768046</v>
          </cell>
        </row>
        <row r="405">
          <cell r="A405" t="str">
            <v>3103-1-1-01-16-00-0000-00</v>
          </cell>
          <cell r="B405" t="str">
            <v>UNIDAD ADMINISTRATIVA ESPECIAL DE SERVICIOS PUBLICOS</v>
          </cell>
          <cell r="C405">
            <v>8592695</v>
          </cell>
        </row>
        <row r="406">
          <cell r="A406" t="str">
            <v>3103-1-1-01-17-00-0000-00</v>
          </cell>
          <cell r="B406" t="str">
            <v>UNIDAD ADMINISTRATIVA ESPECIAL DE SERVICIOS PUBLICOS</v>
          </cell>
          <cell r="C406">
            <v>376603</v>
          </cell>
        </row>
        <row r="407">
          <cell r="A407" t="str">
            <v>3103-1-1-01-21-00-0000-00</v>
          </cell>
          <cell r="B407" t="str">
            <v>UNIDAD ADMINISTRATIVA ESPECIAL DE SERVICIOS PUBLICOS</v>
          </cell>
          <cell r="C407">
            <v>294712</v>
          </cell>
        </row>
        <row r="408">
          <cell r="A408" t="str">
            <v>3103-1-1-01-26-00-0000-00</v>
          </cell>
          <cell r="B408" t="str">
            <v>UNIDAD ADMINISTRATIVA ESPECIAL DE SERVICIOS PUBLICOS</v>
          </cell>
          <cell r="C408">
            <v>5735475</v>
          </cell>
        </row>
        <row r="409">
          <cell r="A409" t="str">
            <v>3163-1-1-03-01-02-0000-00</v>
          </cell>
          <cell r="B409" t="str">
            <v>UNIDAD ADMINISTRATIVA ESPECIAL DE SERVICIOS PUBLICOS</v>
          </cell>
          <cell r="C409">
            <v>38839820</v>
          </cell>
        </row>
        <row r="410">
          <cell r="A410" t="str">
            <v>3163-1-1-03-01-03-0000-00</v>
          </cell>
          <cell r="B410" t="str">
            <v>UNIDAD ADMINISTRATIVA ESPECIAL DE SERVICIOS PUBLICOS</v>
          </cell>
          <cell r="C410">
            <v>54250550</v>
          </cell>
        </row>
        <row r="411">
          <cell r="A411" t="str">
            <v>3163-1-1-03-01-05-0000-00</v>
          </cell>
          <cell r="B411" t="str">
            <v>UNIDAD ADMINISTRATIVA ESPECIAL DE SERVICIOS PUBLICOS</v>
          </cell>
          <cell r="C411">
            <v>60887500</v>
          </cell>
        </row>
        <row r="412">
          <cell r="A412" t="str">
            <v>3163-1-1-03-02-01-0000-00</v>
          </cell>
          <cell r="B412" t="str">
            <v>UNIDAD ADMINISTRATIVA ESPECIAL DE SERVICIOS PUBLICOS</v>
          </cell>
          <cell r="C412">
            <v>93465317</v>
          </cell>
        </row>
        <row r="413">
          <cell r="A413" t="str">
            <v>3163-1-1-03-02-02-0000-00</v>
          </cell>
          <cell r="B413" t="str">
            <v>UNIDAD ADMINISTRATIVA ESPECIAL DE SERVICIOS PUBLICOS</v>
          </cell>
          <cell r="C413">
            <v>37751100</v>
          </cell>
        </row>
        <row r="414">
          <cell r="A414" t="str">
            <v>3163-1-1-03-02-04-0000-00</v>
          </cell>
          <cell r="B414" t="str">
            <v>UNIDAD ADMINISTRATIVA ESPECIAL DE SERVICIOS PUBLICOS</v>
          </cell>
          <cell r="C414">
            <v>3572872</v>
          </cell>
        </row>
        <row r="415">
          <cell r="A415" t="str">
            <v>3163-1-1-03-02-06-0000-00</v>
          </cell>
          <cell r="B415" t="str">
            <v>UNIDAD ADMINISTRATIVA ESPECIAL DE SERVICIOS PUBLICOS</v>
          </cell>
          <cell r="C415">
            <v>45665300</v>
          </cell>
        </row>
        <row r="416">
          <cell r="A416" t="str">
            <v>3163-1-1-03-02-07-0000-00</v>
          </cell>
          <cell r="B416" t="str">
            <v>UNIDAD ADMINISTRATIVA ESPECIAL DE SERVICIOS PUBLICOS</v>
          </cell>
          <cell r="C416">
            <v>30442900</v>
          </cell>
        </row>
        <row r="417">
          <cell r="A417" t="str">
            <v>3163-1-1-03-02-09-0000-00</v>
          </cell>
          <cell r="B417" t="str">
            <v>UNIDAD ADMINISTRATIVA ESPECIAL DE SERVICIOS PUBLICOS</v>
          </cell>
          <cell r="C417">
            <v>24187</v>
          </cell>
        </row>
        <row r="418">
          <cell r="A418" t="str">
            <v>3113-1-2-02-02-00-0000-00</v>
          </cell>
          <cell r="B418" t="str">
            <v>ALPIDIO  MEJIA GIRALDO</v>
          </cell>
          <cell r="C418">
            <v>182631</v>
          </cell>
        </row>
        <row r="419">
          <cell r="A419" t="str">
            <v>3123-1-2-03-02-00-0000-00</v>
          </cell>
          <cell r="B419" t="str">
            <v>HARVEY MAURICIO LEYTON CRUZ</v>
          </cell>
          <cell r="C419">
            <v>1000000</v>
          </cell>
        </row>
        <row r="420">
          <cell r="A420" t="str">
            <v>3413-1-2-02-06-01-0000-00</v>
          </cell>
          <cell r="B420" t="str">
            <v>QBE SEGUROS S A Y PODRA USAR LAS</v>
          </cell>
          <cell r="C420">
            <v>1500000</v>
          </cell>
        </row>
        <row r="421">
          <cell r="A421" t="str">
            <v>3363-3-1-15-02-13-1109-130</v>
          </cell>
          <cell r="B421" t="str">
            <v>CAROLINA  JIMENEZ DEL RIO</v>
          </cell>
          <cell r="C421">
            <v>15586666</v>
          </cell>
        </row>
        <row r="422">
          <cell r="A422" t="str">
            <v>3353-3-1-15-02-13-1109-130</v>
          </cell>
          <cell r="B422" t="str">
            <v>HENRY ALBERTO PALOMO NEGRETE</v>
          </cell>
          <cell r="C422">
            <v>22266666</v>
          </cell>
        </row>
        <row r="423">
          <cell r="A423" t="str">
            <v>3213-3-1-15-07-42-1042-185</v>
          </cell>
          <cell r="B423" t="str">
            <v>JAVIER ARTURO CALDERON RIVEROS</v>
          </cell>
          <cell r="C423">
            <v>10140000</v>
          </cell>
        </row>
        <row r="424">
          <cell r="A424" t="str">
            <v>3553-3-1-15-02-13-1109-130</v>
          </cell>
          <cell r="B424" t="str">
            <v>FUNDACION IZAR</v>
          </cell>
          <cell r="C424">
            <v>25015950</v>
          </cell>
        </row>
        <row r="425">
          <cell r="A425" t="str">
            <v>3483-3-1-15-02-13-1109-130</v>
          </cell>
          <cell r="B425" t="str">
            <v>METRICA CONSULTORES S A S</v>
          </cell>
          <cell r="C425">
            <v>55805212</v>
          </cell>
        </row>
        <row r="426">
          <cell r="A426" t="str">
            <v>3543-3-1-15-02-13-1109-130</v>
          </cell>
          <cell r="B426" t="str">
            <v>JOSE WILLIAM OSPINA GARCIA</v>
          </cell>
          <cell r="C426">
            <v>75133333</v>
          </cell>
        </row>
        <row r="427">
          <cell r="A427" t="str">
            <v>3533-3-1-15-02-13-1109-130</v>
          </cell>
          <cell r="B427" t="str">
            <v>RODRIGO  LOZANO AVILA</v>
          </cell>
          <cell r="C427">
            <v>51600667</v>
          </cell>
        </row>
        <row r="428">
          <cell r="A428" t="str">
            <v>3383-3-1-15-02-13-1109-130</v>
          </cell>
          <cell r="B428" t="str">
            <v>CAREN  MORENO PRIETO</v>
          </cell>
          <cell r="C428">
            <v>57566667</v>
          </cell>
        </row>
        <row r="429">
          <cell r="A429" t="str">
            <v>3313-3-1-15-02-13-1109-130</v>
          </cell>
          <cell r="B429" t="str">
            <v>OSCAR HERNANDO PINTO MORENO</v>
          </cell>
          <cell r="C429">
            <v>30800000</v>
          </cell>
        </row>
        <row r="430">
          <cell r="A430" t="str">
            <v>3243-3-1-15-07-42-1042-185</v>
          </cell>
          <cell r="B430" t="str">
            <v>NESKY  PASTRANA RAMOS</v>
          </cell>
          <cell r="C430">
            <v>43466666</v>
          </cell>
        </row>
        <row r="431">
          <cell r="A431" t="str">
            <v>3473-3-1-15-07-42-1042-185</v>
          </cell>
          <cell r="B431" t="str">
            <v>MARIA DEL PILAR PEREZ GUAYACAN</v>
          </cell>
          <cell r="C431">
            <v>9600000</v>
          </cell>
        </row>
        <row r="432">
          <cell r="A432" t="str">
            <v>3583-3-1-15-07-42-1042-185</v>
          </cell>
          <cell r="B432" t="str">
            <v>FABIANA CONSTANZA HERNANDEZ AHUMADA</v>
          </cell>
          <cell r="C432">
            <v>37333333</v>
          </cell>
        </row>
        <row r="433">
          <cell r="A433" t="str">
            <v>3453-3-1-15-07-42-1042-185</v>
          </cell>
          <cell r="B433" t="str">
            <v>MARCOS ALEXANDER MOZO RUIZ</v>
          </cell>
          <cell r="C433">
            <v>9360000</v>
          </cell>
        </row>
        <row r="434">
          <cell r="A434" t="str">
            <v>3563-3-1-15-07-42-1042-185</v>
          </cell>
          <cell r="B434" t="str">
            <v>JULIO ERNESTO VILLARREAL NAVARRO</v>
          </cell>
          <cell r="C434">
            <v>29000000</v>
          </cell>
        </row>
        <row r="435">
          <cell r="A435" t="str">
            <v>3523-1-1-01-01-00-0000-00</v>
          </cell>
          <cell r="B435" t="str">
            <v>UNIDAD ADMINISTRATIVA ESPECIAL DE SERVICIOS PUBLICOS</v>
          </cell>
          <cell r="C435">
            <v>406695186</v>
          </cell>
        </row>
        <row r="436">
          <cell r="A436" t="str">
            <v>3523-1-1-01-04-00-0000-00</v>
          </cell>
          <cell r="B436" t="str">
            <v>UNIDAD ADMINISTRATIVA ESPECIAL DE SERVICIOS PUBLICOS</v>
          </cell>
          <cell r="C436">
            <v>32840016</v>
          </cell>
        </row>
        <row r="437">
          <cell r="A437" t="str">
            <v>3523-1-1-01-05-00-0000-00</v>
          </cell>
          <cell r="B437" t="str">
            <v>UNIDAD ADMINISTRATIVA ESPECIAL DE SERVICIOS PUBLICOS</v>
          </cell>
          <cell r="C437">
            <v>4219706</v>
          </cell>
        </row>
        <row r="438">
          <cell r="A438" t="str">
            <v>3523-1-1-01-06-00-0000-00</v>
          </cell>
          <cell r="B438" t="str">
            <v>UNIDAD ADMINISTRATIVA ESPECIAL DE SERVICIOS PUBLICOS</v>
          </cell>
          <cell r="C438">
            <v>701890</v>
          </cell>
        </row>
        <row r="439">
          <cell r="A439" t="str">
            <v>3523-1-1-01-07-00-0000-00</v>
          </cell>
          <cell r="B439" t="str">
            <v>UNIDAD ADMINISTRATIVA ESPECIAL DE SERVICIOS PUBLICOS</v>
          </cell>
          <cell r="C439">
            <v>518461</v>
          </cell>
        </row>
        <row r="440">
          <cell r="A440" t="str">
            <v>3523-1-1-01-08-00-0000-00</v>
          </cell>
          <cell r="B440" t="str">
            <v>UNIDAD ADMINISTRATIVA ESPECIAL DE SERVICIOS PUBLICOS</v>
          </cell>
          <cell r="C440">
            <v>6878641</v>
          </cell>
        </row>
        <row r="441">
          <cell r="A441" t="str">
            <v>3523-1-1-01-11-00-0000-00</v>
          </cell>
          <cell r="B441" t="str">
            <v>UNIDAD ADMINISTRATIVA ESPECIAL DE SERVICIOS PUBLICOS</v>
          </cell>
          <cell r="C441">
            <v>360229</v>
          </cell>
        </row>
        <row r="442">
          <cell r="A442" t="str">
            <v>3523-1-1-01-14-00-0000-00</v>
          </cell>
          <cell r="B442" t="str">
            <v>UNIDAD ADMINISTRATIVA ESPECIAL DE SERVICIOS PUBLICOS</v>
          </cell>
          <cell r="C442">
            <v>14893822</v>
          </cell>
        </row>
        <row r="443">
          <cell r="A443" t="str">
            <v>3523-1-1-01-15-00-0000-00</v>
          </cell>
          <cell r="B443" t="str">
            <v>UNIDAD ADMINISTRATIVA ESPECIAL DE SERVICIOS PUBLICOS</v>
          </cell>
          <cell r="C443">
            <v>125883895</v>
          </cell>
        </row>
        <row r="444">
          <cell r="A444" t="str">
            <v>3523-1-1-01-16-00-0000-00</v>
          </cell>
          <cell r="B444" t="str">
            <v>UNIDAD ADMINISTRATIVA ESPECIAL DE SERVICIOS PUBLICOS</v>
          </cell>
          <cell r="C444">
            <v>9193396</v>
          </cell>
        </row>
        <row r="445">
          <cell r="A445" t="str">
            <v>3523-1-1-01-17-00-0000-00</v>
          </cell>
          <cell r="B445" t="str">
            <v>UNIDAD ADMINISTRATIVA ESPECIAL DE SERVICIOS PUBLICOS</v>
          </cell>
          <cell r="C445">
            <v>425863</v>
          </cell>
        </row>
        <row r="446">
          <cell r="A446" t="str">
            <v>3523-1-1-01-26-00-0000-00</v>
          </cell>
          <cell r="B446" t="str">
            <v>UNIDAD ADMINISTRATIVA ESPECIAL DE SERVICIOS PUBLICOS</v>
          </cell>
          <cell r="C446">
            <v>1183392</v>
          </cell>
        </row>
        <row r="447">
          <cell r="A447" t="str">
            <v>3603-1-2-02-09-01-0000-00</v>
          </cell>
          <cell r="B447" t="str">
            <v>CENTRO INTERNACIONAL DE ENERGIAS RENOVÁVEIS - BIOGÁS</v>
          </cell>
          <cell r="C447">
            <v>306000</v>
          </cell>
        </row>
        <row r="448">
          <cell r="A448" t="str">
            <v>1823-3-4-00-00-00-0000-00</v>
          </cell>
          <cell r="B448" t="str">
            <v>CAJA DE VIVIENDA POPULAR</v>
          </cell>
          <cell r="C448">
            <v>92729273</v>
          </cell>
        </row>
        <row r="449">
          <cell r="A449" t="str">
            <v>3973-1-2-02-06-01-0000-00</v>
          </cell>
          <cell r="B449" t="str">
            <v>QBE SEGUROS S A Y PODRA USAR LAS</v>
          </cell>
          <cell r="C449">
            <v>17706086</v>
          </cell>
        </row>
        <row r="450">
          <cell r="A450" t="str">
            <v>3723-3-1-15-02-13-1109-130</v>
          </cell>
          <cell r="B450" t="str">
            <v>OSCAR LEONARDO RAMIREZ ORJUELA</v>
          </cell>
          <cell r="C450">
            <v>30000000</v>
          </cell>
        </row>
        <row r="451">
          <cell r="A451" t="str">
            <v>3733-3-1-15-02-13-1109-130</v>
          </cell>
          <cell r="B451" t="str">
            <v>JORGE LUIS ZAMBRANO MURCIA</v>
          </cell>
          <cell r="C451">
            <v>17500000</v>
          </cell>
        </row>
        <row r="452">
          <cell r="A452" t="str">
            <v>3743-3-1-15-02-13-1109-130</v>
          </cell>
          <cell r="B452" t="str">
            <v>MARIA ELENA POVEDA MURCIA</v>
          </cell>
          <cell r="C452">
            <v>12500000</v>
          </cell>
        </row>
        <row r="453">
          <cell r="A453" t="str">
            <v>3753-3-1-15-02-13-1109-130</v>
          </cell>
          <cell r="B453" t="str">
            <v>CARLOS MANUEL ESTRADA CADAVID</v>
          </cell>
          <cell r="C453">
            <v>70000000</v>
          </cell>
        </row>
        <row r="454">
          <cell r="A454" t="str">
            <v>3493-3-1-15-02-13-1109-130</v>
          </cell>
          <cell r="B454" t="str">
            <v>JORGE ELIECER LOZANO OSPINA</v>
          </cell>
          <cell r="C454">
            <v>34766666</v>
          </cell>
        </row>
        <row r="455">
          <cell r="A455" t="str">
            <v>3373-3-1-15-02-13-1109-130</v>
          </cell>
          <cell r="B455" t="str">
            <v>UNIVERSIDAD NACIONAL DE COLOMBIA</v>
          </cell>
          <cell r="C455">
            <v>250000000</v>
          </cell>
        </row>
        <row r="456">
          <cell r="A456" t="str">
            <v>3903-3-1-15-02-13-1109-130</v>
          </cell>
          <cell r="B456" t="str">
            <v>CAMILO AUGUSTO REALES ALBA</v>
          </cell>
          <cell r="C456">
            <v>29400000</v>
          </cell>
        </row>
        <row r="457">
          <cell r="A457" t="str">
            <v>3893-3-1-15-02-13-1109-130</v>
          </cell>
          <cell r="B457" t="str">
            <v>NICOLAS  TOBON TORREGLOSA</v>
          </cell>
          <cell r="C457">
            <v>19600000</v>
          </cell>
        </row>
        <row r="458">
          <cell r="A458" t="str">
            <v>3653-3-1-15-07-42-1042-185</v>
          </cell>
          <cell r="B458" t="str">
            <v>MARIELA  RUIZ JEREZ</v>
          </cell>
          <cell r="C458">
            <v>13400000</v>
          </cell>
        </row>
        <row r="459">
          <cell r="A459" t="str">
            <v>3663-3-1-15-07-42-1042-185</v>
          </cell>
          <cell r="B459" t="str">
            <v>JEIMY JOHANA PEDRAZA VENEGAS</v>
          </cell>
          <cell r="C459">
            <v>13400000</v>
          </cell>
        </row>
        <row r="460">
          <cell r="A460" t="str">
            <v>3593-3-1-15-07-42-1042-185</v>
          </cell>
          <cell r="B460" t="str">
            <v>ELDA PATRICIA CASTAÑEDA MONROY</v>
          </cell>
          <cell r="C460">
            <v>35000000</v>
          </cell>
        </row>
        <row r="461">
          <cell r="A461" t="str">
            <v>3813-3-1-15-07-42-1042-185</v>
          </cell>
          <cell r="B461" t="str">
            <v>FERNANDO  BERNAL ROCHA</v>
          </cell>
          <cell r="C461">
            <v>27930000</v>
          </cell>
        </row>
        <row r="462">
          <cell r="A462" t="str">
            <v>3763-3-1-15-07-42-1042-185</v>
          </cell>
          <cell r="B462" t="str">
            <v>COMPUTEL SYSTEM SAS</v>
          </cell>
          <cell r="C462">
            <v>63889190</v>
          </cell>
        </row>
        <row r="463">
          <cell r="A463" t="str">
            <v>3513-3-1-15-07-42-1042-185</v>
          </cell>
          <cell r="B463" t="str">
            <v>OPENSKY CONSULTORES SAS</v>
          </cell>
          <cell r="C463">
            <v>27800000</v>
          </cell>
        </row>
        <row r="464">
          <cell r="A464" t="str">
            <v>3863-3-1-15-02-13-1109-130</v>
          </cell>
          <cell r="B464" t="str">
            <v>CLARA CONSUELO GARCIA</v>
          </cell>
          <cell r="C464">
            <v>19200000</v>
          </cell>
        </row>
        <row r="465">
          <cell r="A465" t="str">
            <v>3853-3-1-15-02-13-1109-130</v>
          </cell>
          <cell r="B465" t="str">
            <v>LUIS  GAMBOA JORGE</v>
          </cell>
          <cell r="C465">
            <v>19200000</v>
          </cell>
        </row>
        <row r="466">
          <cell r="A466" t="str">
            <v>3883-3-1-15-02-13-1109-130</v>
          </cell>
          <cell r="B466" t="str">
            <v>SONIA ROCIO SAAVEDRA UMBA</v>
          </cell>
          <cell r="C466">
            <v>19066666</v>
          </cell>
        </row>
        <row r="467">
          <cell r="A467" t="str">
            <v>3873-3-1-15-02-13-1109-130</v>
          </cell>
          <cell r="B467" t="str">
            <v>HERNANDO ALBERTO VENEGAS RODRIGUEZ</v>
          </cell>
          <cell r="C467">
            <v>33366666</v>
          </cell>
        </row>
        <row r="468">
          <cell r="A468" t="str">
            <v>3913-3-1-15-02-13-1109-130</v>
          </cell>
          <cell r="B468" t="str">
            <v>YEISON OSWALDO ROBAYO ARIAS</v>
          </cell>
          <cell r="C468">
            <v>16566666</v>
          </cell>
        </row>
        <row r="469">
          <cell r="A469" t="str">
            <v>4173-3-1-15-02-13-1109-130</v>
          </cell>
          <cell r="B469" t="str">
            <v>ANGELA MARIA VARGAS QUEVEDO</v>
          </cell>
          <cell r="C469">
            <v>13630000</v>
          </cell>
        </row>
        <row r="470">
          <cell r="A470" t="str">
            <v>4213-3-1-15-02-13-1109-130</v>
          </cell>
          <cell r="B470" t="str">
            <v>LIDA  RUIZ VASQUEZ</v>
          </cell>
          <cell r="C470">
            <v>65333333</v>
          </cell>
        </row>
        <row r="471">
          <cell r="A471" t="str">
            <v>4253-3-1-15-02-13-1109-130</v>
          </cell>
          <cell r="B471" t="str">
            <v>YOJHANTH DAVID GONZALEZ CASTELLANOS</v>
          </cell>
          <cell r="C471">
            <v>16333333</v>
          </cell>
        </row>
        <row r="472">
          <cell r="A472" t="str">
            <v>4233-3-1-15-02-13-1109-130</v>
          </cell>
          <cell r="B472" t="str">
            <v>NESTOR ALFONSO URREGO CARDENAS</v>
          </cell>
          <cell r="C472">
            <v>14000000</v>
          </cell>
        </row>
        <row r="473">
          <cell r="A473" t="str">
            <v>4243-3-1-15-02-13-1109-130</v>
          </cell>
          <cell r="B473" t="str">
            <v>LADY ASTRID FONTECHA AGUDELO</v>
          </cell>
          <cell r="C473">
            <v>17866666</v>
          </cell>
        </row>
        <row r="474">
          <cell r="A474" t="str">
            <v>4303-3-1-15-02-13-1109-130</v>
          </cell>
          <cell r="B474" t="str">
            <v>E CON S.A.S.</v>
          </cell>
          <cell r="C474">
            <v>428555553</v>
          </cell>
        </row>
        <row r="475">
          <cell r="A475" t="str">
            <v>3823-3-1-15-07-42-1042-185</v>
          </cell>
          <cell r="B475" t="str">
            <v>SERGIO ALEJANDRO FRANCO PARRA</v>
          </cell>
          <cell r="C475">
            <v>27930000</v>
          </cell>
        </row>
        <row r="476">
          <cell r="A476" t="str">
            <v>3673-3-1-15-07-42-1042-185</v>
          </cell>
          <cell r="B476" t="str">
            <v>PEDRO OLIVERIO AVILA ROMERO</v>
          </cell>
          <cell r="C476">
            <v>14400000</v>
          </cell>
        </row>
        <row r="477">
          <cell r="A477" t="str">
            <v>3933-3-1-15-07-42-1042-185</v>
          </cell>
          <cell r="B477" t="str">
            <v>MARIO  BELTRAN PRADA</v>
          </cell>
          <cell r="C477">
            <v>8580000</v>
          </cell>
        </row>
        <row r="478">
          <cell r="A478" t="str">
            <v>3793-3-1-15-07-42-1042-185</v>
          </cell>
          <cell r="B478" t="str">
            <v>CARMIÑA JUDITH CONTRERAS PUELLO</v>
          </cell>
          <cell r="C478">
            <v>8520000</v>
          </cell>
        </row>
        <row r="479">
          <cell r="A479" t="str">
            <v>4193-3-1-15-07-42-1042-185</v>
          </cell>
          <cell r="B479" t="str">
            <v>ASOCIACION COLOMBIANA DE INGENIERIA SANITARIA Y AMBIENTAL</v>
          </cell>
          <cell r="C479">
            <v>18000000</v>
          </cell>
        </row>
        <row r="480">
          <cell r="A480" t="str">
            <v>4453-3-1-15-07-42-1042-185</v>
          </cell>
          <cell r="B480" t="str">
            <v>ASOCIACION COLOMBIANA DE INGENIERIA SANITARIA Y AMBIENTAL</v>
          </cell>
          <cell r="C480">
            <v>6000000</v>
          </cell>
        </row>
        <row r="481">
          <cell r="A481" t="str">
            <v>4403-3-1-15-07-42-1042-185</v>
          </cell>
          <cell r="B481" t="str">
            <v>ASOCIACIÓN NACIONAL DE RECICLADORES ANR</v>
          </cell>
          <cell r="C481">
            <v>4000000</v>
          </cell>
        </row>
        <row r="482">
          <cell r="A482" t="str">
            <v>4383-1-1-01-01-00-0000-00</v>
          </cell>
          <cell r="B482" t="str">
            <v>UNIDAD ADMINISTRATIVA ESPECIAL DE SERVICIOS PUBLICOS</v>
          </cell>
          <cell r="C482">
            <v>445930148</v>
          </cell>
        </row>
        <row r="483">
          <cell r="A483" t="str">
            <v>4383-1-1-01-04-00-0000-00</v>
          </cell>
          <cell r="B483" t="str">
            <v>UNIDAD ADMINISTRATIVA ESPECIAL DE SERVICIOS PUBLICOS</v>
          </cell>
          <cell r="C483">
            <v>33159114</v>
          </cell>
        </row>
        <row r="484">
          <cell r="A484" t="str">
            <v>4383-1-1-01-05-00-0000-00</v>
          </cell>
          <cell r="B484" t="str">
            <v>UNIDAD ADMINISTRATIVA ESPECIAL DE SERVICIOS PUBLICOS</v>
          </cell>
          <cell r="C484">
            <v>4101893</v>
          </cell>
        </row>
        <row r="485">
          <cell r="A485" t="str">
            <v>4383-1-1-01-06-00-0000-00</v>
          </cell>
          <cell r="B485" t="str">
            <v>UNIDAD ADMINISTRATIVA ESPECIAL DE SERVICIOS PUBLICOS</v>
          </cell>
          <cell r="C485">
            <v>841750</v>
          </cell>
        </row>
        <row r="486">
          <cell r="A486" t="str">
            <v>4383-1-1-01-07-00-0000-00</v>
          </cell>
          <cell r="B486" t="str">
            <v>UNIDAD ADMINISTRATIVA ESPECIAL DE SERVICIOS PUBLICOS</v>
          </cell>
          <cell r="C486">
            <v>582823</v>
          </cell>
        </row>
        <row r="487">
          <cell r="A487" t="str">
            <v>4383-1-1-01-08-00-0000-00</v>
          </cell>
          <cell r="B487" t="str">
            <v>UNIDAD ADMINISTRATIVA ESPECIAL DE SERVICIOS PUBLICOS</v>
          </cell>
          <cell r="C487">
            <v>4951995</v>
          </cell>
        </row>
        <row r="488">
          <cell r="A488" t="str">
            <v>4383-1-1-01-13-00-0000-00</v>
          </cell>
          <cell r="B488" t="str">
            <v>UNIDAD ADMINISTRATIVA ESPECIAL DE SERVICIOS PUBLICOS</v>
          </cell>
          <cell r="C488">
            <v>1362975</v>
          </cell>
        </row>
        <row r="489">
          <cell r="A489" t="str">
            <v>4383-1-1-01-14-00-0000-00</v>
          </cell>
          <cell r="B489" t="str">
            <v>UNIDAD ADMINISTRATIVA ESPECIAL DE SERVICIOS PUBLICOS</v>
          </cell>
          <cell r="C489">
            <v>19737651</v>
          </cell>
        </row>
        <row r="490">
          <cell r="A490" t="str">
            <v>4383-1-1-01-15-00-0000-00</v>
          </cell>
          <cell r="B490" t="str">
            <v>UNIDAD ADMINISTRATIVA ESPECIAL DE SERVICIOS PUBLICOS</v>
          </cell>
          <cell r="C490">
            <v>130964913</v>
          </cell>
        </row>
        <row r="491">
          <cell r="A491" t="str">
            <v>4383-1-1-01-16-00-0000-00</v>
          </cell>
          <cell r="B491" t="str">
            <v>UNIDAD ADMINISTRATIVA ESPECIAL DE SERVICIOS PUBLICOS</v>
          </cell>
          <cell r="C491">
            <v>10404464</v>
          </cell>
        </row>
        <row r="492">
          <cell r="A492" t="str">
            <v>4383-1-1-01-17-00-0000-00</v>
          </cell>
          <cell r="B492" t="str">
            <v>UNIDAD ADMINISTRATIVA ESPECIAL DE SERVICIOS PUBLICOS</v>
          </cell>
          <cell r="C492">
            <v>389234</v>
          </cell>
        </row>
        <row r="493">
          <cell r="A493" t="str">
            <v>4383-1-1-01-21-00-0000-00</v>
          </cell>
          <cell r="B493" t="str">
            <v>UNIDAD ADMINISTRATIVA ESPECIAL DE SERVICIOS PUBLICOS</v>
          </cell>
          <cell r="C493">
            <v>402897</v>
          </cell>
        </row>
        <row r="494">
          <cell r="A494" t="str">
            <v>4383-1-1-01-26-00-0000-00</v>
          </cell>
          <cell r="B494" t="str">
            <v>UNIDAD ADMINISTRATIVA ESPECIAL DE SERVICIOS PUBLICOS</v>
          </cell>
          <cell r="C494">
            <v>1688852</v>
          </cell>
        </row>
        <row r="495">
          <cell r="A495" t="str">
            <v>4013-1-1-03-01-02-0000-00</v>
          </cell>
          <cell r="B495" t="str">
            <v>UNIDAD ADMINISTRATIVA ESPECIAL DE SERVICIOS PUBLICOS</v>
          </cell>
          <cell r="C495">
            <v>39093740</v>
          </cell>
        </row>
        <row r="496">
          <cell r="A496" t="str">
            <v>4013-1-1-03-01-03-0000-00</v>
          </cell>
          <cell r="B496" t="str">
            <v>UNIDAD ADMINISTRATIVA ESPECIAL DE SERVICIOS PUBLICOS</v>
          </cell>
          <cell r="C496">
            <v>53748222</v>
          </cell>
        </row>
        <row r="497">
          <cell r="A497" t="str">
            <v>4013-1-1-03-01-05-0000-00</v>
          </cell>
          <cell r="B497" t="str">
            <v>UNIDAD ADMINISTRATIVA ESPECIAL DE SERVICIOS PUBLICOS</v>
          </cell>
          <cell r="C497">
            <v>23942100</v>
          </cell>
        </row>
        <row r="498">
          <cell r="A498" t="str">
            <v>4013-1-1-03-02-01-0000-00</v>
          </cell>
          <cell r="B498" t="str">
            <v>UNIDAD ADMINISTRATIVA ESPECIAL DE SERVICIOS PUBLICOS</v>
          </cell>
          <cell r="C498">
            <v>41276939</v>
          </cell>
        </row>
        <row r="499">
          <cell r="A499" t="str">
            <v>4013-1-1-03-02-02-0000-00</v>
          </cell>
          <cell r="B499" t="str">
            <v>UNIDAD ADMINISTRATIVA ESPECIAL DE SERVICIOS PUBLICOS</v>
          </cell>
          <cell r="C499">
            <v>37032660</v>
          </cell>
        </row>
        <row r="500">
          <cell r="A500" t="str">
            <v>4013-1-1-03-02-04-0000-00</v>
          </cell>
          <cell r="B500" t="str">
            <v>UNIDAD ADMINISTRATIVA ESPECIAL DE SERVICIOS PUBLICOS</v>
          </cell>
          <cell r="C500">
            <v>3484572</v>
          </cell>
        </row>
        <row r="501">
          <cell r="A501" t="str">
            <v>4013-1-1-03-02-06-0000-00</v>
          </cell>
          <cell r="B501" t="str">
            <v>UNIDAD ADMINISTRATIVA ESPECIAL DE SERVICIOS PUBLICOS</v>
          </cell>
          <cell r="C501">
            <v>17957000</v>
          </cell>
        </row>
        <row r="502">
          <cell r="A502" t="str">
            <v>4013-1-1-03-02-07-0000-00</v>
          </cell>
          <cell r="B502" t="str">
            <v>UNIDAD ADMINISTRATIVA ESPECIAL DE SERVICIOS PUBLICOS</v>
          </cell>
          <cell r="C502">
            <v>11970300</v>
          </cell>
        </row>
        <row r="503">
          <cell r="A503" t="str">
            <v>4013-1-1-03-02-09-0000-00</v>
          </cell>
          <cell r="B503" t="str">
            <v>UNIDAD ADMINISTRATIVA ESPECIAL DE SERVICIOS PUBLICOS</v>
          </cell>
          <cell r="C503">
            <v>9627</v>
          </cell>
        </row>
        <row r="504">
          <cell r="A504" t="str">
            <v>4363-1-2-02-02-00-0000-00</v>
          </cell>
          <cell r="B504" t="str">
            <v>MUNDO JOVEN TRAVEL SHOP S A S</v>
          </cell>
          <cell r="C504">
            <v>774000</v>
          </cell>
        </row>
        <row r="505">
          <cell r="A505" t="str">
            <v>4433-1-2-02-02-00-0000-00</v>
          </cell>
          <cell r="B505" t="str">
            <v>BEATRIZ ELENA CARDENAS CASAS</v>
          </cell>
          <cell r="C505">
            <v>1002914</v>
          </cell>
        </row>
        <row r="506">
          <cell r="A506" t="str">
            <v>4443-1-2-02-02-00-0000-00</v>
          </cell>
          <cell r="B506" t="str">
            <v>SERGIO ANDRES RODRIGUEZ ACEVEDO</v>
          </cell>
          <cell r="C506">
            <v>1173423</v>
          </cell>
        </row>
        <row r="507">
          <cell r="B507" t="str">
            <v>LUZ ELENA AGUILAR ARDILA</v>
          </cell>
          <cell r="C507">
            <v>683284</v>
          </cell>
        </row>
        <row r="508">
          <cell r="B508" t="str">
            <v>ANGELA MARCELA ACOSTA PARDO</v>
          </cell>
          <cell r="C508">
            <v>401470</v>
          </cell>
        </row>
        <row r="509">
          <cell r="A509" t="str">
            <v>4463-1-2-02-02-00-0000-00</v>
          </cell>
          <cell r="B509" t="str">
            <v>MUNDO JOVEN TRAVEL SHOP S A S</v>
          </cell>
          <cell r="C509">
            <v>1519348</v>
          </cell>
        </row>
        <row r="510">
          <cell r="A510" t="str">
            <v>4373-1-2-03-01-02-0000-00</v>
          </cell>
          <cell r="B510" t="str">
            <v>CAMARA DE COMERCIO DE BOGOTA</v>
          </cell>
          <cell r="C510">
            <v>1599536</v>
          </cell>
        </row>
        <row r="511">
          <cell r="A511" t="str">
            <v>3943-3-4-00-00-00-0000-00</v>
          </cell>
          <cell r="B511" t="str">
            <v>CENTRO DE GERENCIAMIENTO DE RESIDUOS DOÑA JUANA SA ESP CON</v>
          </cell>
          <cell r="C511">
            <v>3839216243</v>
          </cell>
        </row>
        <row r="512">
          <cell r="A512" t="str">
            <v>3133-1-2-02-06-01-0000-00</v>
          </cell>
          <cell r="B512" t="str">
            <v>MAPFRE SEGUROS GENERALES DE COLOMBIA S.A.</v>
          </cell>
          <cell r="C512">
            <v>408314066</v>
          </cell>
        </row>
        <row r="513">
          <cell r="A513" t="str">
            <v>4003-3-1-15-02-13-1048-132</v>
          </cell>
          <cell r="B513" t="str">
            <v>UNIÓN TEMPORAL PROINPRO</v>
          </cell>
          <cell r="C513">
            <v>54041675</v>
          </cell>
        </row>
        <row r="514">
          <cell r="A514" t="str">
            <v>4513-3-1-15-02-13-1109-130</v>
          </cell>
          <cell r="B514" t="str">
            <v>PEDRO ANTONIO BOHORQUEZ BOHORQUEZ</v>
          </cell>
          <cell r="C514">
            <v>15166666</v>
          </cell>
        </row>
        <row r="515">
          <cell r="A515" t="str">
            <v>4223-3-1-15-02-13-1109-130</v>
          </cell>
          <cell r="B515" t="str">
            <v>HUGO HERNAN BUITRAGO GARZON</v>
          </cell>
          <cell r="C515">
            <v>15166666</v>
          </cell>
        </row>
        <row r="516">
          <cell r="A516" t="str">
            <v>4153-3-1-15-02-13-1109-130</v>
          </cell>
          <cell r="B516" t="str">
            <v>ALVARO IVAN RODRIGUEZ PINZON</v>
          </cell>
          <cell r="C516">
            <v>49880000</v>
          </cell>
        </row>
        <row r="517">
          <cell r="A517" t="str">
            <v>4503-3-1-15-02-13-1109-130</v>
          </cell>
          <cell r="B517" t="str">
            <v>ANDERSON LINO CARREÑO NIÑO</v>
          </cell>
          <cell r="C517">
            <v>15166666</v>
          </cell>
        </row>
        <row r="518">
          <cell r="A518" t="str">
            <v>4543-3-1-15-02-13-1109-130</v>
          </cell>
          <cell r="B518" t="str">
            <v>ANDRES  ORTIZ DOMINGUEZ</v>
          </cell>
          <cell r="C518">
            <v>12500000</v>
          </cell>
        </row>
        <row r="519">
          <cell r="A519" t="str">
            <v>4563-3-1-15-02-13-1109-130</v>
          </cell>
          <cell r="B519" t="str">
            <v>CONSULTORIA DE SERVICIOS PUBLICOS Y MEDIO AMBIENTE S.A.S</v>
          </cell>
          <cell r="C519">
            <v>120000000</v>
          </cell>
        </row>
        <row r="520">
          <cell r="A520" t="str">
            <v>4053-3-1-15-02-13-1109-130</v>
          </cell>
          <cell r="B520" t="str">
            <v>ANGELA JULIANA PEÑA SALGADO</v>
          </cell>
          <cell r="C520">
            <v>12600000</v>
          </cell>
        </row>
        <row r="521">
          <cell r="A521" t="str">
            <v>4493-3-1-15-02-13-1109-130</v>
          </cell>
          <cell r="B521" t="str">
            <v>HIDROSUELOS SAS</v>
          </cell>
          <cell r="C521">
            <v>102306374</v>
          </cell>
        </row>
        <row r="522">
          <cell r="A522" t="str">
            <v>4413-3-1-15-07-42-1042-185</v>
          </cell>
          <cell r="B522" t="str">
            <v>FABIAN ANDRES LOZANO AGUILAR</v>
          </cell>
          <cell r="C522">
            <v>20175064</v>
          </cell>
        </row>
        <row r="523">
          <cell r="A523" t="str">
            <v>4663-3-1-15-02-13-1109-130</v>
          </cell>
          <cell r="B523" t="str">
            <v>CORREAGRO S.A</v>
          </cell>
          <cell r="C523">
            <v>80949493</v>
          </cell>
        </row>
        <row r="524">
          <cell r="A524" t="str">
            <v>3623-1-1-02-03-01-0000-00</v>
          </cell>
          <cell r="B524" t="str">
            <v>JOSE ANANIAS FLOREZ RONCANCIO</v>
          </cell>
          <cell r="C524">
            <v>800000</v>
          </cell>
        </row>
        <row r="525">
          <cell r="A525" t="str">
            <v>3773-3-1-15-07-42-1042-185</v>
          </cell>
          <cell r="B525" t="str">
            <v>ABIL COMERCIALIZADORA S A S</v>
          </cell>
          <cell r="C525">
            <v>4056000</v>
          </cell>
        </row>
        <row r="526">
          <cell r="A526" t="str">
            <v>4533-3-1-15-02-13-1109-130</v>
          </cell>
          <cell r="B526" t="str">
            <v>LUZ ANGELA CHAVES PEÑA</v>
          </cell>
          <cell r="C526">
            <v>12300000</v>
          </cell>
        </row>
        <row r="527">
          <cell r="A527" t="str">
            <v>4703-3-1-15-07-42-1042-185</v>
          </cell>
          <cell r="B527" t="str">
            <v>KAREN ANDREA PEREZ VARGAS</v>
          </cell>
          <cell r="C527">
            <v>7320000</v>
          </cell>
        </row>
        <row r="528">
          <cell r="A528" t="str">
            <v>4653-3-1-15-07-42-1042-185</v>
          </cell>
          <cell r="B528" t="str">
            <v>INGESTRUT SAS</v>
          </cell>
          <cell r="C528">
            <v>8999811</v>
          </cell>
        </row>
        <row r="529">
          <cell r="A529" t="str">
            <v>4083-3-1-15-02-13-1109-130</v>
          </cell>
          <cell r="B529" t="str">
            <v>HELBES ENRIQUE LOPEZ SALAZAR</v>
          </cell>
          <cell r="C529">
            <v>40666666</v>
          </cell>
        </row>
        <row r="530">
          <cell r="A530" t="str">
            <v>4353-3-1-15-07-42-1042-185</v>
          </cell>
          <cell r="B530" t="str">
            <v>UNION TEMPORAL TOYONORTE-ARMOR INTERNATIONAL DE COLOMBIA LTDA</v>
          </cell>
          <cell r="C530">
            <v>107454592</v>
          </cell>
        </row>
        <row r="531">
          <cell r="A531" t="str">
            <v>4283-3-1-15-07-42-1042-185</v>
          </cell>
          <cell r="B531" t="str">
            <v>SGS COLOMBIA S.A.S</v>
          </cell>
          <cell r="C531">
            <v>7163000</v>
          </cell>
        </row>
        <row r="532">
          <cell r="A532" t="str">
            <v>4063-3-1-15-02-13-1109-130</v>
          </cell>
          <cell r="B532" t="str">
            <v>JAIRO ANTONIO VELANDIA GRILLO</v>
          </cell>
          <cell r="C532">
            <v>12000000</v>
          </cell>
        </row>
        <row r="533">
          <cell r="A533" t="str">
            <v>5023-3-1-15-02-13-1109-130</v>
          </cell>
          <cell r="B533" t="str">
            <v>NESTOR  GARCIA GOMEZ</v>
          </cell>
          <cell r="C533">
            <v>26000000</v>
          </cell>
        </row>
        <row r="534">
          <cell r="A534" t="str">
            <v>4293-3-1-15-07-42-1042-185</v>
          </cell>
          <cell r="B534" t="str">
            <v>JEIMY CATALINA MORENO CASTAÑEDA</v>
          </cell>
          <cell r="C534">
            <v>4000000</v>
          </cell>
        </row>
        <row r="535">
          <cell r="A535" t="str">
            <v>4793-3-1-15-07-42-1042-185</v>
          </cell>
          <cell r="B535" t="str">
            <v>RAUL JAVIER MANRIQUE VACCA</v>
          </cell>
          <cell r="C535">
            <v>64960000</v>
          </cell>
        </row>
        <row r="536">
          <cell r="A536" t="str">
            <v>4693-3-1-15-07-42-1042-185</v>
          </cell>
          <cell r="B536" t="str">
            <v>JOHN KENNEDY LEON CASTIBLANCO</v>
          </cell>
          <cell r="C536">
            <v>22800000</v>
          </cell>
        </row>
        <row r="537">
          <cell r="A537" t="str">
            <v>3423-3-1-15-02-13-1109-130</v>
          </cell>
          <cell r="B537" t="str">
            <v>CENTRO DE GERENCIAMIENTO DE RESIDUOS DOÑA JUANA SA ESP CON</v>
          </cell>
          <cell r="C537">
            <v>12334606608</v>
          </cell>
        </row>
        <row r="538">
          <cell r="A538" t="str">
            <v>5093-1-2-02-06-01-0000-00</v>
          </cell>
          <cell r="B538" t="str">
            <v>MAPFRE SEGUROS GENERALES DE COLOMBIA S.A.</v>
          </cell>
          <cell r="C538">
            <v>548960</v>
          </cell>
        </row>
        <row r="539">
          <cell r="A539" t="str">
            <v>3983-3-1-15-07-42-1042-185</v>
          </cell>
          <cell r="B539" t="str">
            <v>WILSON FERNANDO RODRIGUEZ NIÑO</v>
          </cell>
          <cell r="C539">
            <v>16190000</v>
          </cell>
        </row>
        <row r="540">
          <cell r="A540" t="str">
            <v>4343-3-1-15-07-42-1042-185</v>
          </cell>
          <cell r="B540" t="str">
            <v>SOLUTION COPY LTDA</v>
          </cell>
          <cell r="C540">
            <v>14999944</v>
          </cell>
        </row>
        <row r="541">
          <cell r="A541" t="str">
            <v>4673-1-2-02-04-00-0000-00</v>
          </cell>
          <cell r="B541" t="str">
            <v>NOTINET S.A.S.</v>
          </cell>
          <cell r="C541">
            <v>1129333</v>
          </cell>
        </row>
        <row r="542">
          <cell r="A542" t="str">
            <v>4483-3-1-15-02-13-1109-130</v>
          </cell>
          <cell r="B542" t="str">
            <v>VSV CONSULTING SAS</v>
          </cell>
          <cell r="C542">
            <v>82566325</v>
          </cell>
        </row>
        <row r="543">
          <cell r="A543" t="str">
            <v>4743-3-1-15-02-13-1109-130</v>
          </cell>
          <cell r="B543" t="str">
            <v>JOSIAS  HURTADO ARBOLEDA</v>
          </cell>
          <cell r="C543">
            <v>8893333</v>
          </cell>
        </row>
        <row r="544">
          <cell r="A544" t="str">
            <v>4123-3-1-15-02-13-1109-130</v>
          </cell>
          <cell r="B544" t="str">
            <v>MAURICIO EDUARDO FORERO SILVA</v>
          </cell>
          <cell r="C544">
            <v>23200000</v>
          </cell>
        </row>
        <row r="545">
          <cell r="A545" t="str">
            <v>5053-3-1-15-02-13-1109-130</v>
          </cell>
          <cell r="B545" t="str">
            <v>CARLOS AUGUSTO CASTRO PECHA</v>
          </cell>
          <cell r="C545">
            <v>15466666</v>
          </cell>
        </row>
        <row r="546">
          <cell r="A546" t="str">
            <v>4763-3-1-15-02-13-1109-130</v>
          </cell>
          <cell r="B546" t="str">
            <v>GILBERTO  ACOSTA PARRA</v>
          </cell>
          <cell r="C546">
            <v>42533333</v>
          </cell>
        </row>
        <row r="547">
          <cell r="A547" t="str">
            <v>4973-3-1-15-02-13-1109-130</v>
          </cell>
          <cell r="B547" t="str">
            <v>LEONARDO ANDRES FONSECA FAJARDO</v>
          </cell>
          <cell r="C547">
            <v>23200000</v>
          </cell>
        </row>
        <row r="548">
          <cell r="A548" t="str">
            <v>4733-3-1-15-02-13-1109-130</v>
          </cell>
          <cell r="B548" t="str">
            <v>NATH YURY RAMOS ROLDAN</v>
          </cell>
          <cell r="C548">
            <v>23000000</v>
          </cell>
        </row>
        <row r="549">
          <cell r="A549" t="str">
            <v>5073-3-1-15-02-13-1109-130</v>
          </cell>
          <cell r="B549" t="str">
            <v>MONICA LILIANA ROJAS FLOREZ</v>
          </cell>
          <cell r="C549">
            <v>11200000</v>
          </cell>
        </row>
        <row r="550">
          <cell r="A550" t="str">
            <v>4093-3-1-15-02-13-1109-130</v>
          </cell>
          <cell r="B550" t="str">
            <v>CLAUDIA JANNETH JARAMILLO GOMEZ</v>
          </cell>
          <cell r="C550">
            <v>37333333</v>
          </cell>
        </row>
        <row r="551">
          <cell r="A551" t="str">
            <v>4623-3-1-15-03-19-1045-148</v>
          </cell>
          <cell r="B551" t="str">
            <v>SEBASTIAN  PINILLA MOGOLLON</v>
          </cell>
          <cell r="C551">
            <v>25002017</v>
          </cell>
        </row>
        <row r="552">
          <cell r="A552" t="str">
            <v>4423-3-1-15-03-19-1045-148</v>
          </cell>
          <cell r="B552" t="str">
            <v>CATALINA  GUTIERREZ CANO</v>
          </cell>
          <cell r="C552">
            <v>11200000</v>
          </cell>
        </row>
        <row r="553">
          <cell r="A553" t="str">
            <v>4913-3-1-15-07-42-1042-185</v>
          </cell>
          <cell r="B553" t="str">
            <v>CORAL DELGADO &amp; ASOCIADOS SAS</v>
          </cell>
          <cell r="C553">
            <v>119000000</v>
          </cell>
        </row>
        <row r="554">
          <cell r="A554" t="str">
            <v>4863-3-1-15-07-42-1042-185</v>
          </cell>
          <cell r="B554" t="str">
            <v>DIEGO ALEJANDRO JAIMES RAMIREZ</v>
          </cell>
          <cell r="C554">
            <v>24035200</v>
          </cell>
        </row>
        <row r="555">
          <cell r="A555" t="str">
            <v>4903-3-1-15-07-42-1042-185</v>
          </cell>
          <cell r="B555" t="str">
            <v>JOSE DARIO GONZALEZ CASTRO</v>
          </cell>
          <cell r="C555">
            <v>23620800</v>
          </cell>
        </row>
        <row r="556">
          <cell r="A556" t="str">
            <v>4883-3-1-15-07-42-1042-185</v>
          </cell>
          <cell r="B556" t="str">
            <v>CARMEN LUZ ROJAS GONZALEZ</v>
          </cell>
          <cell r="C556">
            <v>23828000</v>
          </cell>
        </row>
        <row r="557">
          <cell r="A557" t="str">
            <v>4893-3-1-15-07-42-1042-185</v>
          </cell>
          <cell r="B557" t="str">
            <v>JUAN CARLOS DIAZ GOMEZ</v>
          </cell>
          <cell r="C557">
            <v>23828000</v>
          </cell>
        </row>
        <row r="558">
          <cell r="A558" t="str">
            <v>4943-3-1-15-07-42-1042-185</v>
          </cell>
          <cell r="B558" t="str">
            <v>ANDRES FELIPE NARANJO FORERO</v>
          </cell>
          <cell r="C558">
            <v>15200000</v>
          </cell>
        </row>
        <row r="559">
          <cell r="A559" t="str">
            <v>4953-3-1-15-07-42-1042-185</v>
          </cell>
          <cell r="B559" t="str">
            <v>WENDY JULAY ESTUPIÑAN HINESTROZA</v>
          </cell>
          <cell r="C559">
            <v>15200000</v>
          </cell>
        </row>
        <row r="560">
          <cell r="A560" t="str">
            <v>4873-3-1-15-07-42-1042-185</v>
          </cell>
          <cell r="B560" t="str">
            <v>ANDREA DEL PILAR GUERRERO RODRIGUEZ</v>
          </cell>
          <cell r="C560">
            <v>23620800</v>
          </cell>
        </row>
        <row r="561">
          <cell r="A561" t="str">
            <v>4933-3-1-15-07-42-1042-185</v>
          </cell>
          <cell r="B561" t="str">
            <v>DIANA MARCELA BAUTISTA AMEZQUITA</v>
          </cell>
          <cell r="C561">
            <v>9500000</v>
          </cell>
        </row>
        <row r="562">
          <cell r="A562" t="str">
            <v>4853-3-1-15-07-42-1042-185</v>
          </cell>
          <cell r="B562" t="str">
            <v>ALEXANDER  BERNAL VARGAS</v>
          </cell>
          <cell r="C562">
            <v>22600000</v>
          </cell>
        </row>
        <row r="563">
          <cell r="A563" t="str">
            <v>4613-3-1-15-07-42-1042-185</v>
          </cell>
          <cell r="B563" t="str">
            <v>IRMA MILENA ALFONSO MORENO</v>
          </cell>
          <cell r="C563">
            <v>13560000</v>
          </cell>
        </row>
        <row r="564">
          <cell r="A564" t="str">
            <v>5163-3-1-15-07-42-1042-185</v>
          </cell>
          <cell r="B564" t="str">
            <v>SEGUNDO EVELIO BELTRAN PINZON</v>
          </cell>
          <cell r="C564">
            <v>9333333</v>
          </cell>
        </row>
        <row r="565">
          <cell r="A565" t="str">
            <v>5183-1-1-03-01-02-0000-00</v>
          </cell>
          <cell r="B565" t="str">
            <v>UNIDAD ADMINISTRATIVA ESPECIAL DE SERVICIOS PUBLICOS</v>
          </cell>
          <cell r="C565">
            <v>38868940</v>
          </cell>
        </row>
        <row r="566">
          <cell r="A566" t="str">
            <v>5183-1-1-03-01-03-0000-00</v>
          </cell>
          <cell r="B566" t="str">
            <v>UNIDAD ADMINISTRATIVA ESPECIAL DE SERVICIOS PUBLICOS</v>
          </cell>
          <cell r="C566">
            <v>52926273</v>
          </cell>
        </row>
        <row r="567">
          <cell r="A567" t="str">
            <v>5183-1-1-03-01-05-0000-00</v>
          </cell>
          <cell r="B567" t="str">
            <v>UNIDAD ADMINISTRATIVA ESPECIAL DE SERVICIOS PUBLICOS</v>
          </cell>
          <cell r="C567">
            <v>26682100</v>
          </cell>
        </row>
        <row r="568">
          <cell r="A568" t="str">
            <v>5183-1-1-03-02-01-0000-00</v>
          </cell>
          <cell r="B568" t="str">
            <v>UNIDAD ADMINISTRATIVA ESPECIAL DE SERVICIOS PUBLICOS</v>
          </cell>
          <cell r="C568">
            <v>41435811</v>
          </cell>
        </row>
        <row r="569">
          <cell r="A569" t="str">
            <v>5183-1-1-03-02-02-0000-00</v>
          </cell>
          <cell r="B569" t="str">
            <v>UNIDAD ADMINISTRATIVA ESPECIAL DE SERVICIOS PUBLICOS</v>
          </cell>
          <cell r="C569">
            <v>36021320</v>
          </cell>
        </row>
        <row r="570">
          <cell r="A570" t="str">
            <v>5183-1-1-03-02-04-0000-00</v>
          </cell>
          <cell r="B570" t="str">
            <v>UNIDAD ADMINISTRATIVA ESPECIAL DE SERVICIOS PUBLICOS</v>
          </cell>
          <cell r="C570">
            <v>3709672</v>
          </cell>
        </row>
        <row r="571">
          <cell r="A571" t="str">
            <v>5183-1-1-03-02-06-0000-00</v>
          </cell>
          <cell r="B571" t="str">
            <v>UNIDAD ADMINISTRATIVA ESPECIAL DE SERVICIOS PUBLICOS</v>
          </cell>
          <cell r="C571">
            <v>20011650</v>
          </cell>
        </row>
        <row r="572">
          <cell r="A572" t="str">
            <v>5183-1-1-03-02-07-0000-00</v>
          </cell>
          <cell r="B572" t="str">
            <v>UNIDAD ADMINISTRATIVA ESPECIAL DE SERVICIOS PUBLICOS</v>
          </cell>
          <cell r="C572">
            <v>13340100</v>
          </cell>
        </row>
        <row r="573">
          <cell r="A573" t="str">
            <v>5183-1-1-03-02-09-0000-00</v>
          </cell>
          <cell r="B573" t="str">
            <v>UNIDAD ADMINISTRATIVA ESPECIAL DE SERVICIOS PUBLICOS</v>
          </cell>
          <cell r="C573">
            <v>9627</v>
          </cell>
        </row>
      </sheetData>
      <sheetData sheetId="4" refreshError="1"/>
      <sheetData sheetId="5" refreshError="1"/>
      <sheetData sheetId="6" refreshError="1"/>
      <sheetData sheetId="7" refreshError="1"/>
      <sheetData sheetId="8" refreshError="1"/>
      <sheetData sheetId="9" refreshError="1"/>
      <sheetData sheetId="10" refreshError="1"/>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D. RUBROS"/>
      <sheetName val="Informe rubro"/>
      <sheetName val="Informe fuentes"/>
      <sheetName val="SAF"/>
      <sheetName val="Reservas x dependencia"/>
      <sheetName val="SEGUIMIE MENSUAL RESERVAS 2020"/>
      <sheetName val="Ejecución"/>
      <sheetName val="RUBROS"/>
      <sheetName val="GIROS RESERVAS"/>
      <sheetName val="DUPLICADOS LLAVE"/>
      <sheetName val="OPS SI-CAPITAL"/>
      <sheetName val="T.D. GIROS Reservas"/>
      <sheetName val="ANULACIONES"/>
      <sheetName val="T.D. ANULACIONES"/>
      <sheetName val="mes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row r="1">
          <cell r="A1" t="str">
            <v>ESTADO</v>
          </cell>
          <cell r="B1" t="str">
            <v>VIGENTE</v>
          </cell>
          <cell r="D1" t="str">
            <v>may</v>
          </cell>
        </row>
        <row r="2">
          <cell r="D2">
            <v>1</v>
          </cell>
        </row>
        <row r="3">
          <cell r="A3" t="str">
            <v>Suma de VALOR</v>
          </cell>
          <cell r="B3" t="str">
            <v>FECHA_REGISTRO</v>
          </cell>
        </row>
        <row r="4">
          <cell r="A4" t="str">
            <v>LLAVE</v>
          </cell>
          <cell r="B4" t="str">
            <v>ene</v>
          </cell>
          <cell r="C4" t="str">
            <v>feb</v>
          </cell>
          <cell r="D4" t="str">
            <v>Total general</v>
          </cell>
        </row>
        <row r="5">
          <cell r="A5" t="str">
            <v>83566541403133011602380000007569Otros Distritos</v>
          </cell>
          <cell r="B5">
            <v>237920</v>
          </cell>
          <cell r="C5">
            <v>594180</v>
          </cell>
          <cell r="D5">
            <v>832100</v>
          </cell>
        </row>
        <row r="6">
          <cell r="A6" t="str">
            <v>83566741423133011602380000007569Otros Distritos</v>
          </cell>
          <cell r="B6">
            <v>536470</v>
          </cell>
          <cell r="C6">
            <v>74910</v>
          </cell>
          <cell r="D6">
            <v>611380</v>
          </cell>
        </row>
        <row r="7">
          <cell r="A7" t="str">
            <v>83566841433133011602380000007569Otros Distritos</v>
          </cell>
          <cell r="B7">
            <v>190413</v>
          </cell>
          <cell r="C7">
            <v>158679</v>
          </cell>
          <cell r="D7">
            <v>349092</v>
          </cell>
        </row>
        <row r="8">
          <cell r="A8" t="str">
            <v>83566641413133011602380000007569Otros Distritos</v>
          </cell>
          <cell r="B8">
            <v>1885490</v>
          </cell>
          <cell r="D8">
            <v>1885490</v>
          </cell>
        </row>
        <row r="9">
          <cell r="A9" t="str">
            <v>544529316133011602380000007569Otros Distritos</v>
          </cell>
          <cell r="B9">
            <v>28063505</v>
          </cell>
          <cell r="D9">
            <v>28063505</v>
          </cell>
        </row>
        <row r="10">
          <cell r="A10" t="str">
            <v>431417225133011502130130001109Otros Distritos</v>
          </cell>
          <cell r="B10">
            <v>25895188</v>
          </cell>
          <cell r="D10">
            <v>25895188</v>
          </cell>
        </row>
        <row r="11">
          <cell r="A11" t="str">
            <v>142411924113101010301Otros Distritos</v>
          </cell>
          <cell r="B11">
            <v>404061519</v>
          </cell>
          <cell r="D11">
            <v>404061519</v>
          </cell>
        </row>
        <row r="12">
          <cell r="A12" t="str">
            <v>142411924113101010302Otros Distritos</v>
          </cell>
          <cell r="B12">
            <v>21527519</v>
          </cell>
          <cell r="D12">
            <v>21527519</v>
          </cell>
        </row>
        <row r="13">
          <cell r="A13" t="str">
            <v>142411924113101010305Otros Distritos</v>
          </cell>
          <cell r="B13">
            <v>137380145</v>
          </cell>
          <cell r="D13">
            <v>137380145</v>
          </cell>
        </row>
        <row r="14">
          <cell r="A14" t="str">
            <v>14241192411310101010101Otros Distritos</v>
          </cell>
          <cell r="B14">
            <v>982868</v>
          </cell>
          <cell r="D14">
            <v>982868</v>
          </cell>
        </row>
        <row r="15">
          <cell r="A15" t="str">
            <v>14241192411310101010110Otros Distritos</v>
          </cell>
          <cell r="B15">
            <v>17583811</v>
          </cell>
          <cell r="D15">
            <v>17583811</v>
          </cell>
        </row>
        <row r="16">
          <cell r="A16" t="str">
            <v>14241192411310101010111Otros Distritos</v>
          </cell>
          <cell r="B16">
            <v>241132422</v>
          </cell>
          <cell r="D16">
            <v>241132422</v>
          </cell>
        </row>
        <row r="17">
          <cell r="A17" t="str">
            <v>14241192411310101010202Otros Distritos</v>
          </cell>
          <cell r="B17">
            <v>294860</v>
          </cell>
          <cell r="D17">
            <v>294860</v>
          </cell>
        </row>
        <row r="18">
          <cell r="A18" t="str">
            <v>14241192411310101020302Otros Distritos</v>
          </cell>
          <cell r="B18">
            <v>33229047</v>
          </cell>
          <cell r="D18">
            <v>33229047</v>
          </cell>
        </row>
        <row r="19">
          <cell r="A19" t="str">
            <v>685576355133011603450000007652Otros Distritos</v>
          </cell>
          <cell r="C19">
            <v>490000000</v>
          </cell>
          <cell r="D19">
            <v>490000000</v>
          </cell>
        </row>
        <row r="20">
          <cell r="A20" t="str">
            <v>83566941443133011602380000007569Otros Distritos</v>
          </cell>
          <cell r="C20">
            <v>3510210</v>
          </cell>
          <cell r="D20">
            <v>3510210</v>
          </cell>
        </row>
        <row r="21">
          <cell r="A21" t="str">
            <v>13821071332133011602370000007644Recursos Administrados</v>
          </cell>
          <cell r="C21">
            <v>108873100</v>
          </cell>
          <cell r="D21">
            <v>108873100</v>
          </cell>
        </row>
        <row r="22">
          <cell r="A22" t="str">
            <v>78163761133011602370000007644Otros Distritos</v>
          </cell>
          <cell r="C22">
            <v>4770000</v>
          </cell>
          <cell r="D22">
            <v>4770000</v>
          </cell>
        </row>
        <row r="23">
          <cell r="A23" t="str">
            <v>1003780154133011603450000007652Otros Distritos</v>
          </cell>
          <cell r="C23">
            <v>2633409</v>
          </cell>
          <cell r="D23">
            <v>2633409</v>
          </cell>
        </row>
        <row r="24">
          <cell r="A24" t="str">
            <v>13071054679133011602370000007644Otros Distritos</v>
          </cell>
          <cell r="C24">
            <v>3750000</v>
          </cell>
          <cell r="D24">
            <v>3750000</v>
          </cell>
        </row>
        <row r="25">
          <cell r="A25" t="str">
            <v>770702443133011602380000007569Otros Distritos</v>
          </cell>
          <cell r="C25">
            <v>21218000</v>
          </cell>
          <cell r="D25">
            <v>21218000</v>
          </cell>
        </row>
        <row r="26">
          <cell r="A26" t="str">
            <v>231220105133011503190148001045Otros Distritos</v>
          </cell>
          <cell r="C26">
            <v>950833</v>
          </cell>
          <cell r="D26">
            <v>950833</v>
          </cell>
        </row>
        <row r="27">
          <cell r="A27" t="str">
            <v>1035838251133011603450000007652Otros Distritos</v>
          </cell>
          <cell r="C27">
            <v>3500000</v>
          </cell>
          <cell r="D27">
            <v>3500000</v>
          </cell>
        </row>
        <row r="28">
          <cell r="A28" t="str">
            <v>602752478133011602380000007569Otros Distritos</v>
          </cell>
          <cell r="C28">
            <v>47948467</v>
          </cell>
          <cell r="D28">
            <v>47948467</v>
          </cell>
        </row>
        <row r="29">
          <cell r="A29" t="str">
            <v>524464508911310202010203Otros Distritos</v>
          </cell>
          <cell r="C29">
            <v>1625330</v>
          </cell>
          <cell r="D29">
            <v>1625330</v>
          </cell>
        </row>
        <row r="30">
          <cell r="A30" t="str">
            <v>18211131020202020201Otros Distritos</v>
          </cell>
          <cell r="C30">
            <v>24810532</v>
          </cell>
          <cell r="D30">
            <v>24810532</v>
          </cell>
        </row>
        <row r="31">
          <cell r="A31" t="str">
            <v>688627358133011602370000007644Otros Distritos</v>
          </cell>
          <cell r="C31">
            <v>47283</v>
          </cell>
          <cell r="D31">
            <v>47283</v>
          </cell>
        </row>
        <row r="32">
          <cell r="A32" t="str">
            <v>688627358131020202030501Otros Distritos</v>
          </cell>
          <cell r="C32">
            <v>86729</v>
          </cell>
          <cell r="D32">
            <v>86729</v>
          </cell>
        </row>
        <row r="33">
          <cell r="A33" t="str">
            <v>688627358133011605560000007628Otros Distritos</v>
          </cell>
          <cell r="C33">
            <v>187561</v>
          </cell>
          <cell r="D33">
            <v>187561</v>
          </cell>
        </row>
        <row r="34">
          <cell r="A34" t="str">
            <v>12301048676133011602380000007569Otros Distritos</v>
          </cell>
          <cell r="C34">
            <v>3733333</v>
          </cell>
          <cell r="D34">
            <v>3733333</v>
          </cell>
        </row>
        <row r="35">
          <cell r="A35" t="str">
            <v>316262150133011503190148001045Otros Distritos</v>
          </cell>
          <cell r="C35">
            <v>2385000</v>
          </cell>
          <cell r="D35">
            <v>2385000</v>
          </cell>
        </row>
        <row r="36">
          <cell r="A36" t="str">
            <v>12271059682133011602380000007569Otros Distritos</v>
          </cell>
          <cell r="C36">
            <v>10500000</v>
          </cell>
          <cell r="D36">
            <v>10500000</v>
          </cell>
        </row>
        <row r="37">
          <cell r="A37" t="str">
            <v>13041082 695133011603450000007652Otros Distritos</v>
          </cell>
          <cell r="C37">
            <v>10400000</v>
          </cell>
          <cell r="D37">
            <v>10400000</v>
          </cell>
        </row>
        <row r="38">
          <cell r="A38" t="str">
            <v>722626395133011602380000007569Otros Distritos</v>
          </cell>
          <cell r="C38">
            <v>1040000</v>
          </cell>
          <cell r="D38">
            <v>1040000</v>
          </cell>
        </row>
        <row r="39">
          <cell r="A39" t="str">
            <v>12651056678133011605560000007628Otros Distritos</v>
          </cell>
          <cell r="C39">
            <v>3043917</v>
          </cell>
          <cell r="D39">
            <v>3043917</v>
          </cell>
        </row>
        <row r="40">
          <cell r="A40" t="str">
            <v>924733104133011605560000007628Otros Distritos</v>
          </cell>
          <cell r="C40">
            <v>166667</v>
          </cell>
          <cell r="D40">
            <v>166667</v>
          </cell>
        </row>
        <row r="41">
          <cell r="A41" t="str">
            <v>1047857566133011605560000007628Otros Distritos</v>
          </cell>
          <cell r="C41">
            <v>3400000</v>
          </cell>
          <cell r="D41">
            <v>3400000</v>
          </cell>
        </row>
        <row r="42">
          <cell r="A42" t="str">
            <v>921730461133011605560000007628Otros Distritos</v>
          </cell>
          <cell r="C42">
            <v>1580044</v>
          </cell>
          <cell r="D42">
            <v>1580044</v>
          </cell>
        </row>
        <row r="43">
          <cell r="A43" t="str">
            <v>12261013347133011602380000007569Otros Distritos</v>
          </cell>
          <cell r="C43">
            <v>6583000</v>
          </cell>
          <cell r="D43">
            <v>6583000</v>
          </cell>
        </row>
        <row r="44">
          <cell r="A44" t="str">
            <v>12991088696133011602380000007569Otros Distritos</v>
          </cell>
          <cell r="C44">
            <v>2400000</v>
          </cell>
          <cell r="D44">
            <v>2400000</v>
          </cell>
        </row>
        <row r="45">
          <cell r="A45" t="str">
            <v>13831181757133011602380000007569Otros Distritos</v>
          </cell>
          <cell r="C45">
            <v>7900227</v>
          </cell>
          <cell r="D45">
            <v>7900227</v>
          </cell>
        </row>
        <row r="46">
          <cell r="A46" t="str">
            <v>1011917621133011602380000007569Otros Distritos</v>
          </cell>
          <cell r="C46">
            <v>5500000</v>
          </cell>
          <cell r="D46">
            <v>5500000</v>
          </cell>
        </row>
        <row r="47">
          <cell r="A47" t="str">
            <v>1006823526133011602380000007569Otros Distritos</v>
          </cell>
          <cell r="C47">
            <v>5500000</v>
          </cell>
          <cell r="D47">
            <v>5500000</v>
          </cell>
        </row>
        <row r="48">
          <cell r="A48" t="str">
            <v>1140888595133011602380000007569Otros Distritos</v>
          </cell>
          <cell r="C48">
            <v>4300000</v>
          </cell>
          <cell r="D48">
            <v>4300000</v>
          </cell>
        </row>
        <row r="49">
          <cell r="A49" t="str">
            <v>1150933627133011602380000007569Otros Distritos</v>
          </cell>
          <cell r="C49">
            <v>8018583</v>
          </cell>
          <cell r="D49">
            <v>8018583</v>
          </cell>
        </row>
        <row r="50">
          <cell r="A50" t="str">
            <v>775677426133011605560000007628Otros Distritos</v>
          </cell>
          <cell r="C50">
            <v>2355436</v>
          </cell>
          <cell r="D50">
            <v>2355436</v>
          </cell>
        </row>
        <row r="51">
          <cell r="A51" t="str">
            <v>773784496133011602380000007569Otros Distritos</v>
          </cell>
          <cell r="C51">
            <v>3100000</v>
          </cell>
          <cell r="D51">
            <v>3100000</v>
          </cell>
        </row>
        <row r="52">
          <cell r="A52" t="str">
            <v>1074901597133011602380000007569Otros Distritos</v>
          </cell>
          <cell r="C52">
            <v>3950000</v>
          </cell>
          <cell r="D52">
            <v>3950000</v>
          </cell>
        </row>
        <row r="53">
          <cell r="A53" t="str">
            <v>628578366133011605560000007628Otros Distritos</v>
          </cell>
          <cell r="C53">
            <v>3950109</v>
          </cell>
          <cell r="D53">
            <v>3950109</v>
          </cell>
        </row>
        <row r="54">
          <cell r="A54" t="str">
            <v>1222965642133011603450000007652Otros Distritos</v>
          </cell>
          <cell r="C54">
            <v>5000000</v>
          </cell>
          <cell r="D54">
            <v>5000000</v>
          </cell>
        </row>
        <row r="55">
          <cell r="A55" t="str">
            <v>1020802525133011602380000007569Otros Distritos</v>
          </cell>
          <cell r="C55">
            <v>2896667</v>
          </cell>
          <cell r="D55">
            <v>2896667</v>
          </cell>
        </row>
        <row r="56">
          <cell r="A56" t="str">
            <v>1225970336133011602380000007569Otros Distritos</v>
          </cell>
          <cell r="C56">
            <v>3000000</v>
          </cell>
          <cell r="D56">
            <v>3000000</v>
          </cell>
        </row>
        <row r="57">
          <cell r="A57" t="str">
            <v>887765490133011602380000007569Otros Distritos</v>
          </cell>
          <cell r="C57">
            <v>3500000</v>
          </cell>
          <cell r="D57">
            <v>3500000</v>
          </cell>
        </row>
        <row r="58">
          <cell r="A58" t="str">
            <v>530493308133011602380000007569Otros Distritos</v>
          </cell>
          <cell r="C58">
            <v>4500000</v>
          </cell>
          <cell r="D58">
            <v>4500000</v>
          </cell>
        </row>
        <row r="59">
          <cell r="A59" t="str">
            <v>681560354133011602380000007569Otros Distritos</v>
          </cell>
          <cell r="C59">
            <v>3423432</v>
          </cell>
          <cell r="D59">
            <v>3423432</v>
          </cell>
        </row>
        <row r="60">
          <cell r="A60" t="str">
            <v>877760488133011602380000007569Otros Distritos</v>
          </cell>
          <cell r="C60">
            <v>3950000</v>
          </cell>
          <cell r="D60">
            <v>3950000</v>
          </cell>
        </row>
        <row r="61">
          <cell r="A61" t="str">
            <v>1012869575133011602380000007569Otros Distritos</v>
          </cell>
          <cell r="C61">
            <v>3100000</v>
          </cell>
          <cell r="D61">
            <v>3100000</v>
          </cell>
        </row>
        <row r="62">
          <cell r="A62" t="str">
            <v>764676427133011605560000007628Otros Distritos</v>
          </cell>
          <cell r="C62">
            <v>3950000</v>
          </cell>
          <cell r="D62">
            <v>3950000</v>
          </cell>
        </row>
        <row r="63">
          <cell r="A63" t="str">
            <v>988817534133011602380000007569Otros Distritos</v>
          </cell>
          <cell r="C63">
            <v>2600000</v>
          </cell>
          <cell r="D63">
            <v>2600000</v>
          </cell>
        </row>
        <row r="64">
          <cell r="A64" t="str">
            <v>990824541133011602380000007569Otros Distritos</v>
          </cell>
          <cell r="C64">
            <v>2600000</v>
          </cell>
          <cell r="D64">
            <v>2600000</v>
          </cell>
        </row>
        <row r="65">
          <cell r="A65" t="str">
            <v>1091946629133011602370000007644Otros Distritos</v>
          </cell>
          <cell r="C65">
            <v>4700000</v>
          </cell>
          <cell r="D65">
            <v>4700000</v>
          </cell>
        </row>
        <row r="66">
          <cell r="A66" t="str">
            <v>1252963250133011605560000007628Otros Distritos</v>
          </cell>
          <cell r="C66">
            <v>2633409</v>
          </cell>
          <cell r="D66">
            <v>2633409</v>
          </cell>
        </row>
        <row r="67">
          <cell r="A67" t="str">
            <v>1147954638133011602380000007569Otros Distritos</v>
          </cell>
          <cell r="C67">
            <v>4827000</v>
          </cell>
          <cell r="D67">
            <v>4827000</v>
          </cell>
        </row>
        <row r="68">
          <cell r="A68" t="str">
            <v>1027811537133011602380000007569Otros Distritos</v>
          </cell>
          <cell r="C68">
            <v>4166667</v>
          </cell>
          <cell r="D68">
            <v>4166667</v>
          </cell>
        </row>
        <row r="69">
          <cell r="A69" t="str">
            <v>1075907610133011602380000007569Otros Distritos</v>
          </cell>
          <cell r="C69">
            <v>6500000</v>
          </cell>
          <cell r="D69">
            <v>6500000</v>
          </cell>
        </row>
        <row r="70">
          <cell r="A70" t="str">
            <v>1144973648133011602380000007569Otros Distritos</v>
          </cell>
          <cell r="C70">
            <v>7000000</v>
          </cell>
          <cell r="D70">
            <v>7000000</v>
          </cell>
        </row>
        <row r="71">
          <cell r="A71" t="str">
            <v>1119850557131020202030313Otros Distritos</v>
          </cell>
          <cell r="C71">
            <v>9216000</v>
          </cell>
          <cell r="D71">
            <v>9216000</v>
          </cell>
        </row>
        <row r="72">
          <cell r="A72" t="str">
            <v>13151119248133011602380000007569Otros Distritos</v>
          </cell>
          <cell r="C72">
            <v>5974000</v>
          </cell>
          <cell r="D72">
            <v>5974000</v>
          </cell>
        </row>
        <row r="73">
          <cell r="A73" t="str">
            <v>996804522131020202030313Otros Distritos</v>
          </cell>
          <cell r="C73">
            <v>9200000</v>
          </cell>
          <cell r="D73">
            <v>9200000</v>
          </cell>
        </row>
        <row r="74">
          <cell r="A74" t="str">
            <v>1030814531131020202030313Otros Distritos</v>
          </cell>
          <cell r="C74">
            <v>7000000</v>
          </cell>
          <cell r="D74">
            <v>7000000</v>
          </cell>
        </row>
        <row r="75">
          <cell r="A75" t="str">
            <v>1007789517133011602380000007569Otros Distritos</v>
          </cell>
          <cell r="C75">
            <v>12012734</v>
          </cell>
          <cell r="D75">
            <v>12012734</v>
          </cell>
        </row>
        <row r="76">
          <cell r="A76" t="str">
            <v>528471302133011602380000007569Otros Distritos</v>
          </cell>
          <cell r="C76">
            <v>7210000</v>
          </cell>
          <cell r="D76">
            <v>7210000</v>
          </cell>
        </row>
        <row r="77">
          <cell r="A77" t="str">
            <v>1200977659133011602380000007569Otros Distritos</v>
          </cell>
          <cell r="C77">
            <v>6000000</v>
          </cell>
          <cell r="D77">
            <v>6000000</v>
          </cell>
        </row>
        <row r="78">
          <cell r="A78" t="str">
            <v>987810533133011602380000007569Otros Distritos</v>
          </cell>
          <cell r="C78">
            <v>3950000</v>
          </cell>
          <cell r="D78">
            <v>3950000</v>
          </cell>
        </row>
        <row r="79">
          <cell r="A79" t="str">
            <v>986836546133011602380000007569Otros Distritos</v>
          </cell>
          <cell r="C79">
            <v>3950000</v>
          </cell>
          <cell r="D79">
            <v>3950000</v>
          </cell>
        </row>
        <row r="80">
          <cell r="A80" t="str">
            <v>785656409133011602380000007569Otros Distritos</v>
          </cell>
          <cell r="C80">
            <v>5213333</v>
          </cell>
          <cell r="D80">
            <v>5213333</v>
          </cell>
        </row>
        <row r="81">
          <cell r="A81" t="str">
            <v>12641070688133011605560000007628Otros Distritos</v>
          </cell>
          <cell r="C81">
            <v>9597312</v>
          </cell>
          <cell r="D81">
            <v>9597312</v>
          </cell>
        </row>
        <row r="82">
          <cell r="A82" t="str">
            <v>12661117719133011605560000007628Otros Distritos</v>
          </cell>
          <cell r="C82">
            <v>7958746</v>
          </cell>
          <cell r="D82">
            <v>7958746</v>
          </cell>
        </row>
        <row r="83">
          <cell r="A83" t="str">
            <v>12471115721133011605560000007628Otros Distritos</v>
          </cell>
          <cell r="C83">
            <v>7150000</v>
          </cell>
          <cell r="D83">
            <v>7150000</v>
          </cell>
        </row>
        <row r="84">
          <cell r="A84" t="str">
            <v>12751134261133011605560000007628Otros Distritos</v>
          </cell>
          <cell r="C84">
            <v>5705720</v>
          </cell>
          <cell r="D84">
            <v>5705720</v>
          </cell>
        </row>
        <row r="85">
          <cell r="A85" t="str">
            <v>12931124282133011605560000007628Otros Distritos</v>
          </cell>
          <cell r="C85">
            <v>5500000</v>
          </cell>
          <cell r="D85">
            <v>5500000</v>
          </cell>
        </row>
        <row r="86">
          <cell r="A86" t="str">
            <v>13961167298133011605560000007628Otros Distritos</v>
          </cell>
          <cell r="C86">
            <v>2633409</v>
          </cell>
          <cell r="D86">
            <v>2633409</v>
          </cell>
        </row>
        <row r="87">
          <cell r="A87" t="str">
            <v>12671128729133011605560000007628Otros Distritos</v>
          </cell>
          <cell r="C87">
            <v>3628252</v>
          </cell>
          <cell r="D87">
            <v>3628252</v>
          </cell>
        </row>
        <row r="88">
          <cell r="A88" t="str">
            <v>14091156287133011605560000007628Otros Distritos</v>
          </cell>
          <cell r="C88">
            <v>2194507</v>
          </cell>
          <cell r="D88">
            <v>2194507</v>
          </cell>
        </row>
        <row r="89">
          <cell r="A89" t="str">
            <v>13181140325133011605560000007628Otros Distritos</v>
          </cell>
          <cell r="C89">
            <v>3511212</v>
          </cell>
          <cell r="D89">
            <v>3511212</v>
          </cell>
        </row>
        <row r="90">
          <cell r="A90" t="str">
            <v>12771147277133011605560000007628Otros Distritos</v>
          </cell>
          <cell r="C90">
            <v>2958300</v>
          </cell>
          <cell r="D90">
            <v>2958300</v>
          </cell>
        </row>
        <row r="91">
          <cell r="A91" t="str">
            <v>13261080697133011605560000007628Otros Distritos</v>
          </cell>
          <cell r="C91">
            <v>5070000</v>
          </cell>
          <cell r="D91">
            <v>5070000</v>
          </cell>
        </row>
        <row r="92">
          <cell r="A92" t="str">
            <v>13371105704133011605560000007628Otros Distritos</v>
          </cell>
          <cell r="C92">
            <v>9558333</v>
          </cell>
          <cell r="D92">
            <v>9558333</v>
          </cell>
        </row>
        <row r="93">
          <cell r="A93" t="str">
            <v>13191169330133011605560000007628Otros Distritos</v>
          </cell>
          <cell r="C93">
            <v>3950113</v>
          </cell>
          <cell r="D93">
            <v>3950113</v>
          </cell>
        </row>
        <row r="94">
          <cell r="A94" t="str">
            <v>13061069691133011602370000007644Otros Distritos</v>
          </cell>
          <cell r="C94">
            <v>2666667</v>
          </cell>
          <cell r="D94">
            <v>2666667</v>
          </cell>
        </row>
        <row r="95">
          <cell r="A95" t="str">
            <v>1164952637133011603450000007652Otros Distritos</v>
          </cell>
          <cell r="C95">
            <v>3950109</v>
          </cell>
          <cell r="D95">
            <v>3950109</v>
          </cell>
        </row>
        <row r="96">
          <cell r="A96" t="str">
            <v>406353215133011503190148001045Otros Distritos</v>
          </cell>
          <cell r="C96">
            <v>2333333</v>
          </cell>
          <cell r="D96">
            <v>2333333</v>
          </cell>
        </row>
        <row r="97">
          <cell r="A97" t="str">
            <v>772773500133011602380000007569Otros Distritos</v>
          </cell>
          <cell r="C97">
            <v>3800000</v>
          </cell>
          <cell r="D97">
            <v>3800000</v>
          </cell>
        </row>
        <row r="98">
          <cell r="A98" t="str">
            <v>1161925625131020202030313Otros Distritos</v>
          </cell>
          <cell r="C98">
            <v>3950000</v>
          </cell>
          <cell r="D98">
            <v>3950000</v>
          </cell>
        </row>
        <row r="99">
          <cell r="A99" t="str">
            <v>12851089702133011602380000007569Otros Distritos</v>
          </cell>
          <cell r="C99">
            <v>4213333</v>
          </cell>
          <cell r="D99">
            <v>4213333</v>
          </cell>
        </row>
        <row r="100">
          <cell r="A100" t="str">
            <v>1083874571133011602380000007569Otros Distritos</v>
          </cell>
          <cell r="C100">
            <v>2600000</v>
          </cell>
          <cell r="D100">
            <v>2600000</v>
          </cell>
        </row>
        <row r="101">
          <cell r="A101" t="str">
            <v>960763493133011605560000007628Otros Distritos</v>
          </cell>
          <cell r="C101">
            <v>8000000</v>
          </cell>
          <cell r="D101">
            <v>8000000</v>
          </cell>
        </row>
        <row r="102">
          <cell r="A102" t="str">
            <v>975818514133011605560000007628Otros Distritos</v>
          </cell>
          <cell r="C102">
            <v>6500000</v>
          </cell>
          <cell r="D102">
            <v>6500000</v>
          </cell>
        </row>
        <row r="103">
          <cell r="A103" t="str">
            <v>707573364133011602380000007569Otros Distritos</v>
          </cell>
          <cell r="C103">
            <v>2380000</v>
          </cell>
          <cell r="D103">
            <v>2380000</v>
          </cell>
        </row>
        <row r="104">
          <cell r="A104" t="str">
            <v>706600376133011602380000007569Otros Distritos</v>
          </cell>
          <cell r="C104">
            <v>2900000</v>
          </cell>
          <cell r="D104">
            <v>2900000</v>
          </cell>
        </row>
        <row r="105">
          <cell r="A105" t="str">
            <v>1044856562133011605560000007628Otros Distritos</v>
          </cell>
          <cell r="C105">
            <v>5900000</v>
          </cell>
          <cell r="D105">
            <v>5900000</v>
          </cell>
        </row>
        <row r="106">
          <cell r="A106" t="str">
            <v>1045858570133011605560000007628Otros Distritos</v>
          </cell>
          <cell r="C106">
            <v>3072000</v>
          </cell>
          <cell r="D106">
            <v>3072000</v>
          </cell>
        </row>
        <row r="107">
          <cell r="A107" t="str">
            <v>12051005668133011602380000007569Otros Distritos</v>
          </cell>
          <cell r="C107">
            <v>7000000</v>
          </cell>
          <cell r="D107">
            <v>7000000</v>
          </cell>
        </row>
        <row r="108">
          <cell r="A108" t="str">
            <v>1018829543133011602380000007569Otros Distritos</v>
          </cell>
          <cell r="C108">
            <v>2700000</v>
          </cell>
          <cell r="D108">
            <v>2700000</v>
          </cell>
        </row>
        <row r="109">
          <cell r="A109" t="str">
            <v>1066898600133011605560000007628Otros Distritos</v>
          </cell>
          <cell r="C109">
            <v>4213454</v>
          </cell>
          <cell r="D109">
            <v>4213454</v>
          </cell>
        </row>
        <row r="110">
          <cell r="A110" t="str">
            <v>12601057680133011605560000007628Otros Distritos</v>
          </cell>
          <cell r="C110">
            <v>3511212</v>
          </cell>
          <cell r="D110">
            <v>3511212</v>
          </cell>
        </row>
        <row r="111">
          <cell r="A111" t="str">
            <v>1043840549133011605560000007628Otros Distritos</v>
          </cell>
          <cell r="C111">
            <v>3000000</v>
          </cell>
          <cell r="D111">
            <v>3000000</v>
          </cell>
        </row>
        <row r="112">
          <cell r="A112" t="str">
            <v>1041819540133011605560000007628Otros Distritos</v>
          </cell>
          <cell r="C112">
            <v>3072310</v>
          </cell>
          <cell r="D112">
            <v>3072310</v>
          </cell>
        </row>
        <row r="113">
          <cell r="A113" t="str">
            <v>906727465133011602380000007569Otros Distritos</v>
          </cell>
          <cell r="C113">
            <v>4320000</v>
          </cell>
          <cell r="D113">
            <v>4320000</v>
          </cell>
        </row>
        <row r="114">
          <cell r="A114" t="str">
            <v>698602371133011602380000007569Otros Distritos</v>
          </cell>
          <cell r="C114">
            <v>3950000</v>
          </cell>
          <cell r="D114">
            <v>3950000</v>
          </cell>
        </row>
        <row r="115">
          <cell r="A115" t="str">
            <v>1110918620133011602380000007569Otros Distritos</v>
          </cell>
          <cell r="C115">
            <v>3500000</v>
          </cell>
          <cell r="D115">
            <v>3500000</v>
          </cell>
        </row>
        <row r="116">
          <cell r="A116" t="str">
            <v>11891014669133011602380000007569Otros Distritos</v>
          </cell>
          <cell r="C116">
            <v>3070000</v>
          </cell>
          <cell r="D116">
            <v>3070000</v>
          </cell>
        </row>
        <row r="117">
          <cell r="A117" t="str">
            <v>1160962288133011605560000007628Otros Distritos</v>
          </cell>
          <cell r="C117">
            <v>5705719</v>
          </cell>
          <cell r="D117">
            <v>5705719</v>
          </cell>
        </row>
        <row r="118">
          <cell r="A118" t="str">
            <v>1088880585133011602380000007569Otros Distritos</v>
          </cell>
          <cell r="C118">
            <v>3500000</v>
          </cell>
          <cell r="D118">
            <v>3500000</v>
          </cell>
        </row>
        <row r="119">
          <cell r="A119" t="str">
            <v>920794499133011605560000007628Otros Distritos</v>
          </cell>
          <cell r="C119">
            <v>3950113</v>
          </cell>
          <cell r="D119">
            <v>3950113</v>
          </cell>
        </row>
        <row r="120">
          <cell r="A120" t="str">
            <v>874835485133011605560000007628Otros Distritos</v>
          </cell>
          <cell r="C120">
            <v>4700000</v>
          </cell>
          <cell r="D120">
            <v>4700000</v>
          </cell>
        </row>
        <row r="121">
          <cell r="A121" t="str">
            <v>839762487133011605560000007628Otros Distritos</v>
          </cell>
          <cell r="C121">
            <v>7022424</v>
          </cell>
          <cell r="D121">
            <v>7022424</v>
          </cell>
        </row>
        <row r="122">
          <cell r="A122" t="str">
            <v>837759481133011605560000007628Otros Distritos</v>
          </cell>
          <cell r="C122">
            <v>7022424</v>
          </cell>
          <cell r="D122">
            <v>7022424</v>
          </cell>
        </row>
        <row r="123">
          <cell r="A123" t="str">
            <v>838776482133011605560000007628Otros Distritos</v>
          </cell>
          <cell r="C123">
            <v>7022424</v>
          </cell>
          <cell r="D123">
            <v>7022424</v>
          </cell>
        </row>
        <row r="124">
          <cell r="A124" t="str">
            <v>82364067133011602370000007644Otros Distritos</v>
          </cell>
          <cell r="C124">
            <v>2968000</v>
          </cell>
          <cell r="D124">
            <v>2968000</v>
          </cell>
        </row>
        <row r="125">
          <cell r="A125" t="str">
            <v>868707452133011605560000007628Otros Distritos</v>
          </cell>
          <cell r="C125">
            <v>3950113</v>
          </cell>
          <cell r="D125">
            <v>3950113</v>
          </cell>
        </row>
        <row r="126">
          <cell r="A126" t="str">
            <v>1046885576133011605560000007628Otros Distritos</v>
          </cell>
          <cell r="C126">
            <v>6500000</v>
          </cell>
          <cell r="D126">
            <v>6500000</v>
          </cell>
        </row>
        <row r="127">
          <cell r="A127" t="str">
            <v>911745473133011602380000007569Otros Distritos</v>
          </cell>
          <cell r="C127">
            <v>7000000</v>
          </cell>
          <cell r="D127">
            <v>7000000</v>
          </cell>
        </row>
        <row r="128">
          <cell r="A128" t="str">
            <v>1013788519133011602380000007569Otros Distritos</v>
          </cell>
          <cell r="C128">
            <v>6800000</v>
          </cell>
          <cell r="D128">
            <v>6800000</v>
          </cell>
        </row>
        <row r="129">
          <cell r="A129" t="str">
            <v>1010872582133011602380000007569Otros Distritos</v>
          </cell>
          <cell r="C129">
            <v>5000000</v>
          </cell>
          <cell r="D129">
            <v>5000000</v>
          </cell>
        </row>
        <row r="130">
          <cell r="A130" t="str">
            <v>967769503133011602380000007569Otros Distritos</v>
          </cell>
          <cell r="C130">
            <v>7900000</v>
          </cell>
          <cell r="D130">
            <v>7900000</v>
          </cell>
        </row>
        <row r="131">
          <cell r="A131" t="str">
            <v>64263131020202040102Otros Distritos</v>
          </cell>
          <cell r="C131">
            <v>5247640</v>
          </cell>
          <cell r="D131">
            <v>5247640</v>
          </cell>
        </row>
        <row r="132">
          <cell r="A132" t="str">
            <v>310123131020202040103Otros Distritos</v>
          </cell>
          <cell r="C132">
            <v>2955340</v>
          </cell>
          <cell r="D132">
            <v>2955340</v>
          </cell>
        </row>
        <row r="133">
          <cell r="A133" t="str">
            <v>39213131020202040103Otros Distritos</v>
          </cell>
          <cell r="C133">
            <v>220790</v>
          </cell>
          <cell r="D133">
            <v>220790</v>
          </cell>
        </row>
        <row r="134">
          <cell r="A134" t="str">
            <v>258289168133011507420185001042Otros Distritos</v>
          </cell>
          <cell r="C134">
            <v>1931167</v>
          </cell>
          <cell r="D134">
            <v>1931167</v>
          </cell>
        </row>
        <row r="135">
          <cell r="A135" t="str">
            <v>1059916618133011603450000007652Otros Distritos</v>
          </cell>
          <cell r="C135">
            <v>2750000</v>
          </cell>
          <cell r="D135">
            <v>2750000</v>
          </cell>
        </row>
        <row r="136">
          <cell r="A136" t="str">
            <v>265243125133011502130130001109Otros Distritos</v>
          </cell>
          <cell r="C136">
            <v>1580000</v>
          </cell>
          <cell r="D136">
            <v>1580000</v>
          </cell>
        </row>
        <row r="137">
          <cell r="A137" t="str">
            <v>998830238133011602370000007644Otros Distritos</v>
          </cell>
          <cell r="C137">
            <v>3072310</v>
          </cell>
          <cell r="D137">
            <v>3072310</v>
          </cell>
        </row>
        <row r="138">
          <cell r="A138" t="str">
            <v>71859254133011602380000007569Otros Distritos</v>
          </cell>
          <cell r="C138">
            <v>1356667</v>
          </cell>
          <cell r="D138">
            <v>1356667</v>
          </cell>
        </row>
        <row r="139">
          <cell r="A139" t="str">
            <v>12541006670133011605560000007628Otros Distritos</v>
          </cell>
          <cell r="C139">
            <v>8500000</v>
          </cell>
          <cell r="D139">
            <v>8500000</v>
          </cell>
        </row>
        <row r="140">
          <cell r="A140" t="str">
            <v>725616391133011602380000007569Otros Distritos</v>
          </cell>
          <cell r="C140">
            <v>3950113</v>
          </cell>
          <cell r="D140">
            <v>3950113</v>
          </cell>
        </row>
        <row r="141">
          <cell r="A141" t="str">
            <v>802848553133011602380000007569Otros Distritos</v>
          </cell>
          <cell r="C141">
            <v>5700000</v>
          </cell>
          <cell r="D141">
            <v>5700000</v>
          </cell>
        </row>
        <row r="142">
          <cell r="A142" t="str">
            <v>958770501133011605560000007628Otros Distritos</v>
          </cell>
          <cell r="C142">
            <v>8000000</v>
          </cell>
          <cell r="D142">
            <v>8000000</v>
          </cell>
        </row>
        <row r="143">
          <cell r="A143" t="str">
            <v>724617390133011602380000007569Otros Distritos</v>
          </cell>
          <cell r="C143">
            <v>5700000</v>
          </cell>
          <cell r="D143">
            <v>5700000</v>
          </cell>
        </row>
        <row r="144">
          <cell r="A144" t="str">
            <v>727613386133011602380000007569Otros Distritos</v>
          </cell>
          <cell r="C144">
            <v>4370000</v>
          </cell>
          <cell r="D144">
            <v>4370000</v>
          </cell>
        </row>
        <row r="145">
          <cell r="A145" t="str">
            <v>797658417133011602380000007569Otros Distritos</v>
          </cell>
          <cell r="C145">
            <v>3900000</v>
          </cell>
          <cell r="D145">
            <v>3900000</v>
          </cell>
        </row>
        <row r="146">
          <cell r="A146" t="str">
            <v>1216979656133011605560000007628Otros Distritos</v>
          </cell>
          <cell r="C146">
            <v>8500000</v>
          </cell>
          <cell r="D146">
            <v>8500000</v>
          </cell>
        </row>
        <row r="147">
          <cell r="A147" t="str">
            <v>46243131020202040104Otros Distritos</v>
          </cell>
          <cell r="C147">
            <v>10200</v>
          </cell>
          <cell r="D147">
            <v>10200</v>
          </cell>
        </row>
        <row r="148">
          <cell r="A148" t="str">
            <v>1009795520133011602380000007569Otros Distritos</v>
          </cell>
          <cell r="C148">
            <v>7420000</v>
          </cell>
          <cell r="D148">
            <v>7420000</v>
          </cell>
        </row>
        <row r="149">
          <cell r="A149" t="str">
            <v>15315883133011507420185001042Otros Distritos</v>
          </cell>
          <cell r="C149">
            <v>6133334</v>
          </cell>
          <cell r="D149">
            <v>6133334</v>
          </cell>
        </row>
        <row r="150">
          <cell r="A150" t="str">
            <v>9717546733133011507420185001042Otros Distritos</v>
          </cell>
          <cell r="C150">
            <v>10991210</v>
          </cell>
          <cell r="D150">
            <v>10991210</v>
          </cell>
        </row>
        <row r="151">
          <cell r="A151" t="str">
            <v>9717546733131020202030502Otros Distritos</v>
          </cell>
          <cell r="C151">
            <v>32937358</v>
          </cell>
          <cell r="D151">
            <v>32937358</v>
          </cell>
        </row>
        <row r="152">
          <cell r="A152" t="str">
            <v>11861067690133011602380000007569Otros Distritos</v>
          </cell>
          <cell r="C152">
            <v>5330000</v>
          </cell>
          <cell r="D152">
            <v>5330000</v>
          </cell>
        </row>
        <row r="153">
          <cell r="A153" t="str">
            <v>13121097299133011602380000007569Otros Distritos</v>
          </cell>
          <cell r="C153">
            <v>6000000</v>
          </cell>
          <cell r="D153">
            <v>6000000</v>
          </cell>
        </row>
        <row r="154">
          <cell r="A154" t="str">
            <v>425450260133011502130130001109Otros Distritos</v>
          </cell>
          <cell r="C154">
            <v>19040000</v>
          </cell>
          <cell r="D154">
            <v>19040000</v>
          </cell>
        </row>
        <row r="155">
          <cell r="A155" t="str">
            <v>548528315133011602380000007569Otros Distritos</v>
          </cell>
          <cell r="C155">
            <v>23254045</v>
          </cell>
          <cell r="D155">
            <v>23254045</v>
          </cell>
        </row>
        <row r="156">
          <cell r="A156" t="str">
            <v>690565502131020202020112Otros Distritos</v>
          </cell>
          <cell r="C156">
            <v>6474807</v>
          </cell>
          <cell r="D156">
            <v>6474807</v>
          </cell>
        </row>
        <row r="157">
          <cell r="A157" t="str">
            <v>12781073278133011605560000007628Otros Distritos</v>
          </cell>
          <cell r="C157">
            <v>3950113</v>
          </cell>
          <cell r="D157">
            <v>3950113</v>
          </cell>
        </row>
        <row r="158">
          <cell r="A158" t="str">
            <v>13361066685133011605560000007628Otros Distritos</v>
          </cell>
          <cell r="C158">
            <v>11108333</v>
          </cell>
          <cell r="D158">
            <v>11108333</v>
          </cell>
        </row>
        <row r="159">
          <cell r="A159" t="str">
            <v>13221095380133011605560000007628Otros Distritos</v>
          </cell>
          <cell r="C159">
            <v>6500000</v>
          </cell>
          <cell r="D159">
            <v>6500000</v>
          </cell>
        </row>
        <row r="160">
          <cell r="A160" t="str">
            <v>13531150265133011605560000007628Otros Distritos</v>
          </cell>
          <cell r="C160">
            <v>3741990</v>
          </cell>
          <cell r="D160">
            <v>3741990</v>
          </cell>
        </row>
        <row r="161">
          <cell r="A161" t="str">
            <v>13211114243133011605560000007628Otros Distritos</v>
          </cell>
          <cell r="C161">
            <v>5546667</v>
          </cell>
          <cell r="D161">
            <v>5546667</v>
          </cell>
        </row>
        <row r="162">
          <cell r="A162" t="str">
            <v>12691203773133011605560000007628Otros Distritos</v>
          </cell>
          <cell r="C162">
            <v>6554262</v>
          </cell>
          <cell r="D162">
            <v>6554262</v>
          </cell>
        </row>
        <row r="163">
          <cell r="A163" t="str">
            <v>12611143269133011605560000007628Otros Distritos</v>
          </cell>
          <cell r="C163">
            <v>2633409</v>
          </cell>
          <cell r="D163">
            <v>2633409</v>
          </cell>
        </row>
        <row r="164">
          <cell r="A164" t="str">
            <v>12761141275133011605560000007628Otros Distritos</v>
          </cell>
          <cell r="C164">
            <v>2633409</v>
          </cell>
          <cell r="D164">
            <v>2633409</v>
          </cell>
        </row>
        <row r="165">
          <cell r="A165" t="str">
            <v>12711072258133011605560000007628Otros Distritos</v>
          </cell>
          <cell r="C165">
            <v>6086100</v>
          </cell>
          <cell r="D165">
            <v>6086100</v>
          </cell>
        </row>
        <row r="166">
          <cell r="A166" t="str">
            <v>12681120262133011605560000007628Otros Distritos</v>
          </cell>
          <cell r="C166">
            <v>2633409</v>
          </cell>
          <cell r="D166">
            <v>2633409</v>
          </cell>
        </row>
        <row r="167">
          <cell r="A167" t="str">
            <v>Total general</v>
          </cell>
          <cell r="B167">
            <v>913001177</v>
          </cell>
          <cell r="C167">
            <v>1418390993</v>
          </cell>
          <cell r="D167">
            <v>2331392170</v>
          </cell>
        </row>
      </sheetData>
      <sheetData sheetId="12" refreshError="1"/>
      <sheetData sheetId="13" refreshError="1"/>
      <sheetData sheetId="14" refreshError="1"/>
    </sheetDataSet>
  </externalBook>
</externalLink>
</file>

<file path=xl/tables/table1.xml><?xml version="1.0" encoding="utf-8"?>
<table xmlns="http://schemas.openxmlformats.org/spreadsheetml/2006/main" id="1" name="Tabla16" displayName="Tabla16" ref="A6:P851" totalsRowShown="0" headerRowDxfId="3" dataDxfId="2" tableBorderDxfId="1">
  <autoFilter ref="A6:P851"/>
  <sortState xmlns:xlrd2="http://schemas.microsoft.com/office/spreadsheetml/2017/richdata2" ref="A7:P851">
    <sortCondition sortBy="cellColor" ref="A6:A851" dxfId="0"/>
  </sortState>
  <tableColumns count="16">
    <tableColumn id="1" name="ID" dataDxfId="34" dataCellStyle="Millares"/>
    <tableColumn id="2" name="Rubro" dataDxfId="32" totalsRowDxfId="33" dataCellStyle="Millares"/>
    <tableColumn id="3" name="Código y Nombre del Rubro" dataDxfId="30" totalsRowDxfId="31" dataCellStyle="Currency"/>
    <tableColumn id="4" name="Dependencia" dataDxfId="28" totalsRowDxfId="29" dataCellStyle="Normal 2 10"/>
    <tableColumn id="5" name="Código UNSPSC (cada código separado por ;)" dataDxfId="26" totalsRowDxfId="27" dataCellStyle="Normal 2"/>
    <tableColumn id="6" name="Descripción- Objeto" dataDxfId="24" totalsRowDxfId="25" dataCellStyle="Normal 2"/>
    <tableColumn id="7" name="Fecha estimada de inicio de proceso de selección (día/mes/año)" dataDxfId="22" totalsRowDxfId="23"/>
    <tableColumn id="8" name="Fecha estimada de presentación de ofertas (día/mes/año)" dataDxfId="20" totalsRowDxfId="21"/>
    <tableColumn id="9" name="Duración estimada del contrato  (Meses)" dataDxfId="18" totalsRowDxfId="19"/>
    <tableColumn id="10" name="Modalidad de selección " dataDxfId="16" totalsRowDxfId="17"/>
    <tableColumn id="11" name="Fuente de los recursos" dataDxfId="14" totalsRowDxfId="15"/>
    <tableColumn id="12" name="Concepto del Gasto -POSPRE(SDH)" dataDxfId="12" totalsRowDxfId="13"/>
    <tableColumn id="13" name="Valor total estimado" dataDxfId="10" totalsRowDxfId="11" dataCellStyle="Moneda"/>
    <tableColumn id="14" name="Meta Proyecto de Inversión" dataDxfId="8" totalsRowDxfId="9" dataCellStyle="Normal 2"/>
    <tableColumn id="15" name="Meta Producto/Meta producto " dataDxfId="6" totalsRowDxfId="7" dataCellStyle="Normal 2"/>
    <tableColumn id="16" name="SI SECOP/NO SECOP " dataDxfId="4" totalsRowDxfId="5" dataCellStyle="Normal 2"/>
  </tableColumns>
  <tableStyleInfo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customProperty" Target="../customProperty1.bin"/><Relationship Id="rId1" Type="http://schemas.openxmlformats.org/officeDocument/2006/relationships/printerSettings" Target="../printerSettings/printerSettings1.bin"/><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851"/>
  <sheetViews>
    <sheetView tabSelected="1" zoomScale="60" zoomScaleNormal="60" zoomScaleSheetLayoutView="10" workbookViewId="0">
      <selection activeCell="H4" sqref="H4"/>
    </sheetView>
  </sheetViews>
  <sheetFormatPr baseColWidth="10" defaultColWidth="11.453125" defaultRowHeight="15" x14ac:dyDescent="0.3"/>
  <cols>
    <col min="1" max="1" width="23.7265625" style="160" customWidth="1"/>
    <col min="2" max="2" width="22.54296875" style="159" customWidth="1"/>
    <col min="3" max="3" width="36.1796875" style="178" customWidth="1"/>
    <col min="4" max="4" width="27.54296875" style="158" customWidth="1"/>
    <col min="5" max="5" width="26.7265625" style="175" customWidth="1"/>
    <col min="6" max="6" width="54.81640625" style="160" customWidth="1"/>
    <col min="7" max="7" width="24.453125" style="179" customWidth="1"/>
    <col min="8" max="8" width="25.81640625" style="180" customWidth="1"/>
    <col min="9" max="9" width="22.81640625" style="159" bestFit="1" customWidth="1"/>
    <col min="10" max="11" width="23.1796875" style="158" bestFit="1" customWidth="1"/>
    <col min="12" max="12" width="38.26953125" style="181" bestFit="1" customWidth="1"/>
    <col min="13" max="13" width="28" style="190" customWidth="1"/>
    <col min="14" max="14" width="40.7265625" style="158" customWidth="1"/>
    <col min="15" max="15" width="46.26953125" style="158" customWidth="1"/>
    <col min="16" max="16" width="30.7265625" style="158" customWidth="1"/>
    <col min="17" max="16384" width="11.453125" style="158"/>
  </cols>
  <sheetData>
    <row r="1" spans="1:16" s="157" customFormat="1" x14ac:dyDescent="0.35">
      <c r="A1" s="252" t="s">
        <v>0</v>
      </c>
      <c r="B1" s="252"/>
      <c r="C1" s="252"/>
      <c r="D1" s="252"/>
      <c r="E1" s="252"/>
      <c r="F1" s="252"/>
      <c r="G1" s="252"/>
      <c r="H1" s="252"/>
      <c r="I1" s="252"/>
      <c r="J1" s="252"/>
      <c r="K1" s="252"/>
      <c r="L1" s="252"/>
      <c r="M1" s="186"/>
      <c r="N1" s="164"/>
      <c r="O1" s="164"/>
      <c r="P1" s="164"/>
    </row>
    <row r="2" spans="1:16" s="157" customFormat="1" x14ac:dyDescent="0.35">
      <c r="A2" s="252" t="s">
        <v>820</v>
      </c>
      <c r="B2" s="252"/>
      <c r="C2" s="252"/>
      <c r="D2" s="252"/>
      <c r="E2" s="252"/>
      <c r="F2" s="252"/>
      <c r="G2" s="252"/>
      <c r="H2" s="252"/>
      <c r="I2" s="252"/>
      <c r="J2" s="252"/>
      <c r="K2" s="252"/>
      <c r="L2" s="252"/>
      <c r="M2" s="186"/>
      <c r="N2" s="164"/>
      <c r="O2" s="164"/>
      <c r="P2" s="164"/>
    </row>
    <row r="3" spans="1:16" s="157" customFormat="1" x14ac:dyDescent="0.35">
      <c r="A3" s="163"/>
      <c r="B3" s="163"/>
      <c r="C3" s="163"/>
      <c r="D3" s="163"/>
      <c r="E3" s="163"/>
      <c r="F3" s="163"/>
      <c r="G3" s="182"/>
      <c r="H3" s="184"/>
      <c r="I3" s="165"/>
      <c r="J3" s="163"/>
      <c r="K3" s="163"/>
      <c r="L3" s="163">
        <f>M3-M5</f>
        <v>-11421890766</v>
      </c>
      <c r="M3" s="187">
        <v>36241955000</v>
      </c>
      <c r="N3" s="163"/>
      <c r="O3" s="163"/>
      <c r="P3" s="163"/>
    </row>
    <row r="4" spans="1:16" s="157" customFormat="1" x14ac:dyDescent="0.35">
      <c r="B4" s="166"/>
      <c r="C4" s="167"/>
      <c r="D4" s="168"/>
      <c r="E4" s="166"/>
      <c r="G4" s="183"/>
      <c r="H4" s="185"/>
      <c r="I4" s="171"/>
      <c r="J4" s="168"/>
      <c r="K4" s="168"/>
      <c r="L4" s="172"/>
      <c r="M4" s="187" t="s">
        <v>764</v>
      </c>
      <c r="N4" s="173"/>
    </row>
    <row r="5" spans="1:16" s="157" customFormat="1" x14ac:dyDescent="0.35">
      <c r="A5" s="174"/>
      <c r="B5" s="175"/>
      <c r="C5" s="167"/>
      <c r="D5" s="174"/>
      <c r="E5" s="166"/>
      <c r="G5" s="169"/>
      <c r="H5" s="170"/>
      <c r="I5" s="166"/>
      <c r="K5" s="176"/>
      <c r="L5" s="1"/>
      <c r="M5" s="251">
        <f>+SUBTOTAL(9,M7:M851)</f>
        <v>47663845766</v>
      </c>
      <c r="N5" s="177"/>
      <c r="O5" s="177"/>
      <c r="P5" s="177"/>
    </row>
    <row r="6" spans="1:16" s="157" customFormat="1" ht="60" x14ac:dyDescent="0.35">
      <c r="A6" s="5" t="s">
        <v>1</v>
      </c>
      <c r="B6" s="5" t="s">
        <v>2</v>
      </c>
      <c r="C6" s="5" t="s">
        <v>3</v>
      </c>
      <c r="D6" s="5" t="s">
        <v>4</v>
      </c>
      <c r="E6" s="5" t="s">
        <v>5</v>
      </c>
      <c r="F6" s="5" t="s">
        <v>6</v>
      </c>
      <c r="G6" s="5" t="s">
        <v>7</v>
      </c>
      <c r="H6" s="7" t="s">
        <v>8</v>
      </c>
      <c r="I6" s="5" t="s">
        <v>9</v>
      </c>
      <c r="J6" s="5" t="s">
        <v>10</v>
      </c>
      <c r="K6" s="5" t="s">
        <v>11</v>
      </c>
      <c r="L6" s="6" t="s">
        <v>12</v>
      </c>
      <c r="M6" s="213" t="s">
        <v>13</v>
      </c>
      <c r="N6" s="5" t="s">
        <v>14</v>
      </c>
      <c r="O6" s="5" t="s">
        <v>15</v>
      </c>
      <c r="P6" s="5" t="s">
        <v>16</v>
      </c>
    </row>
    <row r="7" spans="1:16" s="220" customFormat="1" ht="75" x14ac:dyDescent="0.35">
      <c r="A7" s="222">
        <v>2023109</v>
      </c>
      <c r="B7" s="222">
        <v>7658</v>
      </c>
      <c r="C7" s="223" t="s">
        <v>142</v>
      </c>
      <c r="D7" s="224" t="s">
        <v>125</v>
      </c>
      <c r="E7" s="225">
        <v>80111600</v>
      </c>
      <c r="F7" s="224" t="s">
        <v>150</v>
      </c>
      <c r="G7" s="226">
        <v>45097</v>
      </c>
      <c r="H7" s="226">
        <v>45107</v>
      </c>
      <c r="I7" s="224">
        <v>6</v>
      </c>
      <c r="J7" s="224" t="s">
        <v>20</v>
      </c>
      <c r="K7" s="227" t="s">
        <v>21</v>
      </c>
      <c r="L7" s="224" t="s">
        <v>27</v>
      </c>
      <c r="M7" s="233">
        <f>7700000+3850000+1350000+3565500-9800000-6665500+696500+221287+14867000-2000000-13784787</f>
        <v>0</v>
      </c>
      <c r="N7" s="225" t="s">
        <v>144</v>
      </c>
      <c r="O7" s="225" t="s">
        <v>145</v>
      </c>
      <c r="P7" s="225" t="s">
        <v>24</v>
      </c>
    </row>
    <row r="8" spans="1:16" s="221" customFormat="1" ht="75" x14ac:dyDescent="0.3">
      <c r="A8" s="222">
        <v>2023112</v>
      </c>
      <c r="B8" s="222">
        <v>7658</v>
      </c>
      <c r="C8" s="223" t="s">
        <v>142</v>
      </c>
      <c r="D8" s="224" t="s">
        <v>125</v>
      </c>
      <c r="E8" s="225">
        <v>80111600</v>
      </c>
      <c r="F8" s="224" t="s">
        <v>151</v>
      </c>
      <c r="G8" s="226">
        <v>44941</v>
      </c>
      <c r="H8" s="226">
        <v>44963</v>
      </c>
      <c r="I8" s="224">
        <v>10</v>
      </c>
      <c r="J8" s="224" t="s">
        <v>20</v>
      </c>
      <c r="K8" s="227" t="s">
        <v>21</v>
      </c>
      <c r="L8" s="224" t="s">
        <v>27</v>
      </c>
      <c r="M8" s="233">
        <f>70000000-7000000-7000000-3503500-9800000-696500-5175000-1825000</f>
        <v>35000000</v>
      </c>
      <c r="N8" s="225" t="s">
        <v>144</v>
      </c>
      <c r="O8" s="225" t="s">
        <v>145</v>
      </c>
      <c r="P8" s="225" t="s">
        <v>24</v>
      </c>
    </row>
    <row r="9" spans="1:16" s="221" customFormat="1" ht="60" x14ac:dyDescent="0.3">
      <c r="A9" s="222">
        <v>2023186</v>
      </c>
      <c r="B9" s="222">
        <v>7655</v>
      </c>
      <c r="C9" s="223" t="s">
        <v>25</v>
      </c>
      <c r="D9" s="224" t="s">
        <v>204</v>
      </c>
      <c r="E9" s="225">
        <v>80111600</v>
      </c>
      <c r="F9" s="224" t="s">
        <v>210</v>
      </c>
      <c r="G9" s="226">
        <v>44986</v>
      </c>
      <c r="H9" s="226">
        <v>45016</v>
      </c>
      <c r="I9" s="224">
        <v>8</v>
      </c>
      <c r="J9" s="224" t="s">
        <v>20</v>
      </c>
      <c r="K9" s="227" t="s">
        <v>21</v>
      </c>
      <c r="L9" s="224" t="s">
        <v>27</v>
      </c>
      <c r="M9" s="228">
        <f>28400000-7100000-2366667</f>
        <v>18933333</v>
      </c>
      <c r="N9" s="225" t="s">
        <v>28</v>
      </c>
      <c r="O9" s="225" t="s">
        <v>29</v>
      </c>
      <c r="P9" s="225" t="s">
        <v>24</v>
      </c>
    </row>
    <row r="10" spans="1:16" ht="60" x14ac:dyDescent="0.3">
      <c r="A10" s="222">
        <v>2023190</v>
      </c>
      <c r="B10" s="222">
        <v>7655</v>
      </c>
      <c r="C10" s="223" t="s">
        <v>25</v>
      </c>
      <c r="D10" s="224" t="s">
        <v>204</v>
      </c>
      <c r="E10" s="225">
        <v>80111600</v>
      </c>
      <c r="F10" s="224" t="s">
        <v>213</v>
      </c>
      <c r="G10" s="226">
        <v>44986</v>
      </c>
      <c r="H10" s="226">
        <v>45016</v>
      </c>
      <c r="I10" s="224">
        <v>8</v>
      </c>
      <c r="J10" s="224" t="s">
        <v>20</v>
      </c>
      <c r="K10" s="227" t="s">
        <v>21</v>
      </c>
      <c r="L10" s="224" t="s">
        <v>27</v>
      </c>
      <c r="M10" s="228">
        <f>22000000-12400000+29775000-4633333-5000000-4500000-6500000</f>
        <v>18741667</v>
      </c>
      <c r="N10" s="225" t="s">
        <v>28</v>
      </c>
      <c r="O10" s="225" t="s">
        <v>29</v>
      </c>
      <c r="P10" s="225" t="s">
        <v>24</v>
      </c>
    </row>
    <row r="11" spans="1:16" ht="75" x14ac:dyDescent="0.3">
      <c r="A11" s="222">
        <v>2023199</v>
      </c>
      <c r="B11" s="222">
        <v>7655</v>
      </c>
      <c r="C11" s="223" t="s">
        <v>25</v>
      </c>
      <c r="D11" s="224" t="s">
        <v>215</v>
      </c>
      <c r="E11" s="225">
        <v>80111600</v>
      </c>
      <c r="F11" s="224" t="s">
        <v>219</v>
      </c>
      <c r="G11" s="226">
        <v>44941</v>
      </c>
      <c r="H11" s="226">
        <v>44946</v>
      </c>
      <c r="I11" s="224">
        <v>9.5</v>
      </c>
      <c r="J11" s="224" t="s">
        <v>20</v>
      </c>
      <c r="K11" s="227" t="s">
        <v>21</v>
      </c>
      <c r="L11" s="224" t="s">
        <v>27</v>
      </c>
      <c r="M11" s="228">
        <f>26308000-116667</f>
        <v>26191333</v>
      </c>
      <c r="N11" s="225" t="s">
        <v>28</v>
      </c>
      <c r="O11" s="225" t="s">
        <v>29</v>
      </c>
      <c r="P11" s="225" t="s">
        <v>24</v>
      </c>
    </row>
    <row r="12" spans="1:16" ht="90" x14ac:dyDescent="0.3">
      <c r="A12" s="222">
        <v>2023204</v>
      </c>
      <c r="B12" s="222">
        <v>7658</v>
      </c>
      <c r="C12" s="223" t="s">
        <v>142</v>
      </c>
      <c r="D12" s="224" t="s">
        <v>221</v>
      </c>
      <c r="E12" s="225" t="s">
        <v>228</v>
      </c>
      <c r="F12" s="224" t="s">
        <v>849</v>
      </c>
      <c r="G12" s="226">
        <v>45233</v>
      </c>
      <c r="H12" s="226">
        <v>45240</v>
      </c>
      <c r="I12" s="224">
        <v>12</v>
      </c>
      <c r="J12" s="224" t="s">
        <v>66</v>
      </c>
      <c r="K12" s="227" t="s">
        <v>21</v>
      </c>
      <c r="L12" s="224" t="s">
        <v>161</v>
      </c>
      <c r="M12" s="233">
        <f>150000000-20000000-10000000+32480000</f>
        <v>152480000</v>
      </c>
      <c r="N12" s="225" t="s">
        <v>229</v>
      </c>
      <c r="O12" s="225" t="s">
        <v>163</v>
      </c>
      <c r="P12" s="225" t="s">
        <v>24</v>
      </c>
    </row>
    <row r="13" spans="1:16" ht="90" x14ac:dyDescent="0.3">
      <c r="A13" s="222">
        <v>2023208</v>
      </c>
      <c r="B13" s="222">
        <v>7658</v>
      </c>
      <c r="C13" s="223" t="s">
        <v>142</v>
      </c>
      <c r="D13" s="230" t="s">
        <v>221</v>
      </c>
      <c r="E13" s="225">
        <v>25172500</v>
      </c>
      <c r="F13" s="225" t="s">
        <v>850</v>
      </c>
      <c r="G13" s="226">
        <v>45231</v>
      </c>
      <c r="H13" s="226">
        <v>45245</v>
      </c>
      <c r="I13" s="224">
        <v>2</v>
      </c>
      <c r="J13" s="224" t="s">
        <v>101</v>
      </c>
      <c r="K13" s="227" t="s">
        <v>21</v>
      </c>
      <c r="L13" s="224" t="s">
        <v>161</v>
      </c>
      <c r="M13" s="233">
        <f>200000000-40000000-50000000-20000000-25000000</f>
        <v>65000000</v>
      </c>
      <c r="N13" s="225" t="s">
        <v>224</v>
      </c>
      <c r="O13" s="225" t="s">
        <v>163</v>
      </c>
      <c r="P13" s="225" t="s">
        <v>364</v>
      </c>
    </row>
    <row r="14" spans="1:16" ht="90" x14ac:dyDescent="0.3">
      <c r="A14" s="222">
        <v>2023219</v>
      </c>
      <c r="B14" s="222">
        <v>7658</v>
      </c>
      <c r="C14" s="223" t="s">
        <v>142</v>
      </c>
      <c r="D14" s="224" t="s">
        <v>221</v>
      </c>
      <c r="E14" s="225">
        <v>15101500</v>
      </c>
      <c r="F14" s="224" t="s">
        <v>851</v>
      </c>
      <c r="G14" s="226">
        <v>45231</v>
      </c>
      <c r="H14" s="226">
        <v>45245</v>
      </c>
      <c r="I14" s="224">
        <v>2</v>
      </c>
      <c r="J14" s="224" t="s">
        <v>66</v>
      </c>
      <c r="K14" s="227" t="s">
        <v>21</v>
      </c>
      <c r="L14" s="224" t="s">
        <v>227</v>
      </c>
      <c r="M14" s="233">
        <v>115916119</v>
      </c>
      <c r="N14" s="225" t="s">
        <v>224</v>
      </c>
      <c r="O14" s="225" t="s">
        <v>163</v>
      </c>
      <c r="P14" s="225" t="s">
        <v>364</v>
      </c>
    </row>
    <row r="15" spans="1:16" ht="45" x14ac:dyDescent="0.3">
      <c r="A15" s="222">
        <v>2023487</v>
      </c>
      <c r="B15" s="222" t="s">
        <v>17</v>
      </c>
      <c r="C15" s="222" t="s">
        <v>17</v>
      </c>
      <c r="D15" s="224" t="s">
        <v>47</v>
      </c>
      <c r="E15" s="225">
        <v>80111600</v>
      </c>
      <c r="F15" s="224" t="s">
        <v>439</v>
      </c>
      <c r="G15" s="226">
        <v>45021</v>
      </c>
      <c r="H15" s="226">
        <v>45021</v>
      </c>
      <c r="I15" s="224">
        <v>7</v>
      </c>
      <c r="J15" s="224" t="s">
        <v>20</v>
      </c>
      <c r="K15" s="227" t="s">
        <v>21</v>
      </c>
      <c r="L15" s="224" t="s">
        <v>23</v>
      </c>
      <c r="M15" s="233">
        <f>55400000-25993333-13750000</f>
        <v>15656667</v>
      </c>
      <c r="N15" s="225" t="s">
        <v>23</v>
      </c>
      <c r="O15" s="225" t="s">
        <v>23</v>
      </c>
      <c r="P15" s="225" t="s">
        <v>24</v>
      </c>
    </row>
    <row r="16" spans="1:16" ht="135" x14ac:dyDescent="0.3">
      <c r="A16" s="222">
        <v>2023497</v>
      </c>
      <c r="B16" s="222" t="s">
        <v>17</v>
      </c>
      <c r="C16" s="222" t="s">
        <v>17</v>
      </c>
      <c r="D16" s="224" t="s">
        <v>125</v>
      </c>
      <c r="E16" s="225" t="s">
        <v>449</v>
      </c>
      <c r="F16" s="224" t="s">
        <v>450</v>
      </c>
      <c r="G16" s="226">
        <v>45047</v>
      </c>
      <c r="H16" s="226">
        <v>45077</v>
      </c>
      <c r="I16" s="224">
        <v>7</v>
      </c>
      <c r="J16" s="224" t="s">
        <v>154</v>
      </c>
      <c r="K16" s="227" t="s">
        <v>21</v>
      </c>
      <c r="L16" s="224" t="s">
        <v>23</v>
      </c>
      <c r="M16" s="233">
        <f>250000000-32000000-4084000-10200000-11386000-3266667-3021667-10200000-2986667-7600000-7500000</f>
        <v>157754999</v>
      </c>
      <c r="N16" s="225" t="s">
        <v>23</v>
      </c>
      <c r="O16" s="225" t="s">
        <v>23</v>
      </c>
      <c r="P16" s="225" t="s">
        <v>24</v>
      </c>
    </row>
    <row r="17" spans="1:16" ht="75.5" thickBot="1" x14ac:dyDescent="0.35">
      <c r="A17" s="222">
        <v>2023502</v>
      </c>
      <c r="B17" s="222">
        <v>7658</v>
      </c>
      <c r="C17" s="223" t="s">
        <v>457</v>
      </c>
      <c r="D17" s="224" t="s">
        <v>125</v>
      </c>
      <c r="E17" s="225">
        <v>80111600</v>
      </c>
      <c r="F17" s="224" t="s">
        <v>458</v>
      </c>
      <c r="G17" s="226">
        <v>44977</v>
      </c>
      <c r="H17" s="226">
        <v>44990</v>
      </c>
      <c r="I17" s="224">
        <v>10</v>
      </c>
      <c r="J17" s="224" t="s">
        <v>20</v>
      </c>
      <c r="K17" s="227" t="s">
        <v>21</v>
      </c>
      <c r="L17" s="224" t="s">
        <v>27</v>
      </c>
      <c r="M17" s="233">
        <f>53820000-1859500-3142000-3187800-5158080-13472620-3350000-8577046</f>
        <v>15072954</v>
      </c>
      <c r="N17" s="225" t="s">
        <v>144</v>
      </c>
      <c r="O17" s="225" t="s">
        <v>145</v>
      </c>
      <c r="P17" s="249" t="s">
        <v>24</v>
      </c>
    </row>
    <row r="18" spans="1:16" ht="60" x14ac:dyDescent="0.3">
      <c r="A18" s="222">
        <v>2023516</v>
      </c>
      <c r="B18" s="222">
        <v>7655</v>
      </c>
      <c r="C18" s="223" t="s">
        <v>25</v>
      </c>
      <c r="D18" s="224" t="s">
        <v>319</v>
      </c>
      <c r="E18" s="225">
        <v>80111600</v>
      </c>
      <c r="F18" s="224" t="s">
        <v>334</v>
      </c>
      <c r="G18" s="226">
        <v>44986</v>
      </c>
      <c r="H18" s="226">
        <v>45000</v>
      </c>
      <c r="I18" s="224">
        <v>8</v>
      </c>
      <c r="J18" s="224" t="s">
        <v>20</v>
      </c>
      <c r="K18" s="227" t="s">
        <v>21</v>
      </c>
      <c r="L18" s="224" t="s">
        <v>27</v>
      </c>
      <c r="M18" s="228">
        <f>(2450000*10)-3400000-1456633</f>
        <v>19643367</v>
      </c>
      <c r="N18" s="225" t="s">
        <v>28</v>
      </c>
      <c r="O18" s="225" t="s">
        <v>29</v>
      </c>
      <c r="P18" s="225" t="s">
        <v>24</v>
      </c>
    </row>
    <row r="19" spans="1:16" ht="45" x14ac:dyDescent="0.3">
      <c r="A19" s="222">
        <v>2023565</v>
      </c>
      <c r="B19" s="222" t="s">
        <v>17</v>
      </c>
      <c r="C19" s="229" t="s">
        <v>17</v>
      </c>
      <c r="D19" s="230" t="s">
        <v>125</v>
      </c>
      <c r="E19" s="230">
        <v>80111600</v>
      </c>
      <c r="F19" s="230" t="s">
        <v>441</v>
      </c>
      <c r="G19" s="232">
        <v>44977</v>
      </c>
      <c r="H19" s="232">
        <v>44986</v>
      </c>
      <c r="I19" s="224">
        <v>9</v>
      </c>
      <c r="J19" s="224" t="s">
        <v>20</v>
      </c>
      <c r="K19" s="227" t="s">
        <v>21</v>
      </c>
      <c r="L19" s="224" t="s">
        <v>23</v>
      </c>
      <c r="M19" s="233">
        <f>22050000-4900000-9800000-3348334</f>
        <v>4001666</v>
      </c>
      <c r="N19" s="230" t="s">
        <v>23</v>
      </c>
      <c r="O19" s="230" t="s">
        <v>23</v>
      </c>
      <c r="P19" s="225" t="s">
        <v>24</v>
      </c>
    </row>
    <row r="20" spans="1:16" ht="60" x14ac:dyDescent="0.3">
      <c r="A20" s="222">
        <v>2023592</v>
      </c>
      <c r="B20" s="222">
        <v>7655</v>
      </c>
      <c r="C20" s="229" t="s">
        <v>25</v>
      </c>
      <c r="D20" s="230" t="s">
        <v>319</v>
      </c>
      <c r="E20" s="230">
        <v>80111600</v>
      </c>
      <c r="F20" s="224" t="s">
        <v>329</v>
      </c>
      <c r="G20" s="226">
        <v>45017</v>
      </c>
      <c r="H20" s="226">
        <v>45031</v>
      </c>
      <c r="I20" s="224">
        <v>6</v>
      </c>
      <c r="J20" s="224" t="s">
        <v>20</v>
      </c>
      <c r="K20" s="227" t="s">
        <v>21</v>
      </c>
      <c r="L20" s="224" t="s">
        <v>27</v>
      </c>
      <c r="M20" s="228">
        <f>6800000*6</f>
        <v>40800000</v>
      </c>
      <c r="N20" s="230" t="s">
        <v>28</v>
      </c>
      <c r="O20" s="230" t="s">
        <v>29</v>
      </c>
      <c r="P20" s="225" t="s">
        <v>24</v>
      </c>
    </row>
    <row r="21" spans="1:16" ht="90" x14ac:dyDescent="0.3">
      <c r="A21" s="222">
        <v>2023636</v>
      </c>
      <c r="B21" s="222">
        <v>7655</v>
      </c>
      <c r="C21" s="229" t="s">
        <v>25</v>
      </c>
      <c r="D21" s="230" t="s">
        <v>319</v>
      </c>
      <c r="E21" s="230">
        <v>80111600</v>
      </c>
      <c r="F21" s="230" t="s">
        <v>330</v>
      </c>
      <c r="G21" s="232">
        <v>45047</v>
      </c>
      <c r="H21" s="232">
        <v>45061</v>
      </c>
      <c r="I21" s="224">
        <v>5</v>
      </c>
      <c r="J21" s="224" t="s">
        <v>20</v>
      </c>
      <c r="K21" s="227" t="s">
        <v>21</v>
      </c>
      <c r="L21" s="224" t="s">
        <v>50</v>
      </c>
      <c r="M21" s="228">
        <f>((7300000*5)-14500000)+7000000+54420+66667+296333+4235400+3661480-814300</f>
        <v>36500000</v>
      </c>
      <c r="N21" s="230" t="s">
        <v>28</v>
      </c>
      <c r="O21" s="230" t="s">
        <v>29</v>
      </c>
      <c r="P21" s="225" t="s">
        <v>24</v>
      </c>
    </row>
    <row r="22" spans="1:16" ht="60" x14ac:dyDescent="0.3">
      <c r="A22" s="222">
        <v>2023689</v>
      </c>
      <c r="B22" s="222">
        <v>7655</v>
      </c>
      <c r="C22" s="229" t="s">
        <v>25</v>
      </c>
      <c r="D22" s="224" t="s">
        <v>319</v>
      </c>
      <c r="E22" s="230">
        <v>80111600</v>
      </c>
      <c r="F22" s="224" t="s">
        <v>334</v>
      </c>
      <c r="G22" s="226">
        <v>44927</v>
      </c>
      <c r="H22" s="231">
        <v>44941</v>
      </c>
      <c r="I22" s="224">
        <v>7</v>
      </c>
      <c r="J22" s="224" t="s">
        <v>20</v>
      </c>
      <c r="K22" s="227" t="s">
        <v>21</v>
      </c>
      <c r="L22" s="224" t="s">
        <v>27</v>
      </c>
      <c r="M22" s="228">
        <f>2450000*7</f>
        <v>17150000</v>
      </c>
      <c r="N22" s="230" t="s">
        <v>28</v>
      </c>
      <c r="O22" s="230" t="s">
        <v>29</v>
      </c>
      <c r="P22" s="225" t="s">
        <v>24</v>
      </c>
    </row>
    <row r="23" spans="1:16" ht="75" x14ac:dyDescent="0.3">
      <c r="A23" s="222">
        <v>2023697</v>
      </c>
      <c r="B23" s="222">
        <v>7658</v>
      </c>
      <c r="C23" s="229" t="s">
        <v>142</v>
      </c>
      <c r="D23" s="224" t="s">
        <v>125</v>
      </c>
      <c r="E23" s="230">
        <v>80111600</v>
      </c>
      <c r="F23" s="224" t="s">
        <v>576</v>
      </c>
      <c r="G23" s="226">
        <v>45066</v>
      </c>
      <c r="H23" s="226">
        <v>45068</v>
      </c>
      <c r="I23" s="224">
        <v>7</v>
      </c>
      <c r="J23" s="224" t="s">
        <v>20</v>
      </c>
      <c r="K23" s="227" t="s">
        <v>21</v>
      </c>
      <c r="L23" s="224" t="s">
        <v>27</v>
      </c>
      <c r="M23" s="233">
        <f>55000000-50000</f>
        <v>54950000</v>
      </c>
      <c r="N23" s="230" t="s">
        <v>144</v>
      </c>
      <c r="O23" s="230" t="s">
        <v>145</v>
      </c>
      <c r="P23" s="225" t="s">
        <v>24</v>
      </c>
    </row>
    <row r="24" spans="1:16" ht="75" x14ac:dyDescent="0.3">
      <c r="A24" s="222">
        <v>2023700</v>
      </c>
      <c r="B24" s="222">
        <v>7658</v>
      </c>
      <c r="C24" s="229" t="s">
        <v>142</v>
      </c>
      <c r="D24" s="224" t="s">
        <v>125</v>
      </c>
      <c r="E24" s="230">
        <v>80111600</v>
      </c>
      <c r="F24" s="224" t="s">
        <v>456</v>
      </c>
      <c r="G24" s="226">
        <v>45066</v>
      </c>
      <c r="H24" s="226">
        <v>45068</v>
      </c>
      <c r="I24" s="224">
        <v>5</v>
      </c>
      <c r="J24" s="224" t="s">
        <v>20</v>
      </c>
      <c r="K24" s="227" t="s">
        <v>21</v>
      </c>
      <c r="L24" s="224" t="s">
        <v>27</v>
      </c>
      <c r="M24" s="233">
        <f>19561500-88167</f>
        <v>19473333</v>
      </c>
      <c r="N24" s="230" t="s">
        <v>144</v>
      </c>
      <c r="O24" s="230" t="s">
        <v>145</v>
      </c>
      <c r="P24" s="225" t="s">
        <v>24</v>
      </c>
    </row>
    <row r="25" spans="1:16" ht="60" x14ac:dyDescent="0.3">
      <c r="A25" s="222">
        <v>2023724</v>
      </c>
      <c r="B25" s="222" t="s">
        <v>17</v>
      </c>
      <c r="C25" s="223" t="s">
        <v>17</v>
      </c>
      <c r="D25" s="230" t="s">
        <v>125</v>
      </c>
      <c r="E25" s="225">
        <v>80111600</v>
      </c>
      <c r="F25" s="225" t="s">
        <v>715</v>
      </c>
      <c r="G25" s="226">
        <v>45134</v>
      </c>
      <c r="H25" s="226">
        <v>45139</v>
      </c>
      <c r="I25" s="224">
        <v>3</v>
      </c>
      <c r="J25" s="224" t="s">
        <v>20</v>
      </c>
      <c r="K25" s="227" t="s">
        <v>21</v>
      </c>
      <c r="L25" s="224" t="s">
        <v>23</v>
      </c>
      <c r="M25" s="233">
        <f>11000000-820000</f>
        <v>10180000</v>
      </c>
      <c r="N25" s="225" t="s">
        <v>23</v>
      </c>
      <c r="O25" s="225" t="s">
        <v>23</v>
      </c>
      <c r="P25" s="225" t="s">
        <v>24</v>
      </c>
    </row>
    <row r="26" spans="1:16" ht="60" x14ac:dyDescent="0.3">
      <c r="A26" s="222">
        <v>2023784</v>
      </c>
      <c r="B26" s="222" t="s">
        <v>17</v>
      </c>
      <c r="C26" s="223" t="s">
        <v>17</v>
      </c>
      <c r="D26" s="224" t="s">
        <v>125</v>
      </c>
      <c r="E26" s="230">
        <v>80111600</v>
      </c>
      <c r="F26" s="224" t="s">
        <v>460</v>
      </c>
      <c r="G26" s="226">
        <v>45179</v>
      </c>
      <c r="H26" s="226">
        <v>45187</v>
      </c>
      <c r="I26" s="224">
        <v>6</v>
      </c>
      <c r="J26" s="224" t="s">
        <v>20</v>
      </c>
      <c r="K26" s="227" t="s">
        <v>21</v>
      </c>
      <c r="L26" s="224" t="s">
        <v>23</v>
      </c>
      <c r="M26" s="233">
        <f>27500000-833333</f>
        <v>26666667</v>
      </c>
      <c r="N26" s="230" t="s">
        <v>23</v>
      </c>
      <c r="O26" s="230" t="s">
        <v>23</v>
      </c>
      <c r="P26" s="225" t="s">
        <v>24</v>
      </c>
    </row>
    <row r="27" spans="1:16" ht="90" x14ac:dyDescent="0.3">
      <c r="A27" s="222">
        <v>2023801</v>
      </c>
      <c r="B27" s="222">
        <v>7658</v>
      </c>
      <c r="C27" s="223" t="s">
        <v>142</v>
      </c>
      <c r="D27" s="224" t="s">
        <v>319</v>
      </c>
      <c r="E27" s="230" t="s">
        <v>744</v>
      </c>
      <c r="F27" s="224" t="s">
        <v>745</v>
      </c>
      <c r="G27" s="226">
        <v>45184</v>
      </c>
      <c r="H27" s="226">
        <v>45194</v>
      </c>
      <c r="I27" s="224" t="s">
        <v>385</v>
      </c>
      <c r="J27" s="224" t="s">
        <v>101</v>
      </c>
      <c r="K27" s="227" t="s">
        <v>21</v>
      </c>
      <c r="L27" s="224" t="s">
        <v>161</v>
      </c>
      <c r="M27" s="233">
        <f>59683536-2099029-44142055-12000000</f>
        <v>1442452</v>
      </c>
      <c r="N27" s="230" t="s">
        <v>340</v>
      </c>
      <c r="O27" s="230" t="s">
        <v>163</v>
      </c>
      <c r="P27" s="225" t="s">
        <v>364</v>
      </c>
    </row>
    <row r="28" spans="1:16" ht="60" x14ac:dyDescent="0.3">
      <c r="A28" s="222">
        <v>2023819</v>
      </c>
      <c r="B28" s="222">
        <v>7655</v>
      </c>
      <c r="C28" s="223" t="s">
        <v>25</v>
      </c>
      <c r="D28" s="230" t="s">
        <v>215</v>
      </c>
      <c r="E28" s="225">
        <v>80111600</v>
      </c>
      <c r="F28" s="225" t="s">
        <v>765</v>
      </c>
      <c r="G28" s="226">
        <v>45184</v>
      </c>
      <c r="H28" s="226">
        <v>45184</v>
      </c>
      <c r="I28" s="224">
        <v>3</v>
      </c>
      <c r="J28" s="224" t="s">
        <v>20</v>
      </c>
      <c r="K28" s="227" t="s">
        <v>21</v>
      </c>
      <c r="L28" s="224" t="s">
        <v>27</v>
      </c>
      <c r="M28" s="228">
        <f>25000000-5500000-3000000</f>
        <v>16500000</v>
      </c>
      <c r="N28" s="225" t="s">
        <v>28</v>
      </c>
      <c r="O28" s="225" t="s">
        <v>29</v>
      </c>
      <c r="P28" s="225" t="s">
        <v>364</v>
      </c>
    </row>
    <row r="29" spans="1:16" ht="60" x14ac:dyDescent="0.3">
      <c r="A29" s="222">
        <v>2023848</v>
      </c>
      <c r="B29" s="222">
        <v>7655</v>
      </c>
      <c r="C29" s="223" t="s">
        <v>25</v>
      </c>
      <c r="D29" s="224" t="s">
        <v>319</v>
      </c>
      <c r="E29" s="225">
        <v>80111600</v>
      </c>
      <c r="F29" s="225" t="s">
        <v>798</v>
      </c>
      <c r="G29" s="226">
        <v>45187</v>
      </c>
      <c r="H29" s="226">
        <v>45191</v>
      </c>
      <c r="I29" s="224">
        <v>3</v>
      </c>
      <c r="J29" s="224" t="s">
        <v>20</v>
      </c>
      <c r="K29" s="227" t="s">
        <v>21</v>
      </c>
      <c r="L29" s="224" t="s">
        <v>27</v>
      </c>
      <c r="M29" s="228">
        <f>17000000+3400000</f>
        <v>20400000</v>
      </c>
      <c r="N29" s="225" t="s">
        <v>28</v>
      </c>
      <c r="O29" s="225" t="s">
        <v>29</v>
      </c>
      <c r="P29" s="225" t="s">
        <v>364</v>
      </c>
    </row>
    <row r="30" spans="1:16" ht="105" x14ac:dyDescent="0.3">
      <c r="A30" s="222">
        <v>2023870</v>
      </c>
      <c r="B30" s="222">
        <v>7655</v>
      </c>
      <c r="C30" s="223" t="s">
        <v>25</v>
      </c>
      <c r="D30" s="224" t="s">
        <v>319</v>
      </c>
      <c r="E30" s="225">
        <v>80111600</v>
      </c>
      <c r="F30" s="225" t="s">
        <v>821</v>
      </c>
      <c r="G30" s="226">
        <v>45216</v>
      </c>
      <c r="H30" s="226">
        <v>45231</v>
      </c>
      <c r="I30" s="224">
        <v>1.7</v>
      </c>
      <c r="J30" s="224" t="s">
        <v>20</v>
      </c>
      <c r="K30" s="227" t="s">
        <v>21</v>
      </c>
      <c r="L30" s="224" t="s">
        <v>27</v>
      </c>
      <c r="M30" s="234">
        <v>9666666.6666666679</v>
      </c>
      <c r="N30" s="225" t="s">
        <v>28</v>
      </c>
      <c r="O30" s="225" t="s">
        <v>29</v>
      </c>
      <c r="P30" s="225" t="s">
        <v>364</v>
      </c>
    </row>
    <row r="31" spans="1:16" ht="105" x14ac:dyDescent="0.3">
      <c r="A31" s="222">
        <v>2023871</v>
      </c>
      <c r="B31" s="222">
        <v>7655</v>
      </c>
      <c r="C31" s="223" t="s">
        <v>25</v>
      </c>
      <c r="D31" s="224" t="s">
        <v>319</v>
      </c>
      <c r="E31" s="225">
        <v>80111600</v>
      </c>
      <c r="F31" s="225" t="s">
        <v>822</v>
      </c>
      <c r="G31" s="226">
        <v>45216</v>
      </c>
      <c r="H31" s="226">
        <v>45231</v>
      </c>
      <c r="I31" s="224">
        <v>1.5</v>
      </c>
      <c r="J31" s="224" t="s">
        <v>20</v>
      </c>
      <c r="K31" s="227" t="s">
        <v>21</v>
      </c>
      <c r="L31" s="224" t="s">
        <v>50</v>
      </c>
      <c r="M31" s="234">
        <v>12000000</v>
      </c>
      <c r="N31" s="225" t="s">
        <v>28</v>
      </c>
      <c r="O31" s="225" t="s">
        <v>29</v>
      </c>
      <c r="P31" s="225" t="s">
        <v>364</v>
      </c>
    </row>
    <row r="32" spans="1:16" ht="75" x14ac:dyDescent="0.3">
      <c r="A32" s="222">
        <v>2023872</v>
      </c>
      <c r="B32" s="222">
        <v>7655</v>
      </c>
      <c r="C32" s="223" t="s">
        <v>25</v>
      </c>
      <c r="D32" s="224" t="s">
        <v>319</v>
      </c>
      <c r="E32" s="225">
        <v>80111600</v>
      </c>
      <c r="F32" s="225" t="s">
        <v>823</v>
      </c>
      <c r="G32" s="226">
        <v>45216</v>
      </c>
      <c r="H32" s="226">
        <v>45231</v>
      </c>
      <c r="I32" s="224">
        <v>1</v>
      </c>
      <c r="J32" s="224" t="s">
        <v>20</v>
      </c>
      <c r="K32" s="227" t="s">
        <v>21</v>
      </c>
      <c r="L32" s="224" t="s">
        <v>27</v>
      </c>
      <c r="M32" s="234">
        <v>3850000</v>
      </c>
      <c r="N32" s="225" t="s">
        <v>28</v>
      </c>
      <c r="O32" s="225" t="s">
        <v>29</v>
      </c>
      <c r="P32" s="225" t="s">
        <v>364</v>
      </c>
    </row>
    <row r="33" spans="1:16" ht="105" x14ac:dyDescent="0.3">
      <c r="A33" s="222">
        <v>2023873</v>
      </c>
      <c r="B33" s="222">
        <v>7655</v>
      </c>
      <c r="C33" s="223" t="s">
        <v>25</v>
      </c>
      <c r="D33" s="224" t="s">
        <v>319</v>
      </c>
      <c r="E33" s="225">
        <v>80111600</v>
      </c>
      <c r="F33" s="225" t="s">
        <v>824</v>
      </c>
      <c r="G33" s="226">
        <v>45216</v>
      </c>
      <c r="H33" s="226">
        <v>45231</v>
      </c>
      <c r="I33" s="224">
        <v>0.5</v>
      </c>
      <c r="J33" s="224" t="s">
        <v>20</v>
      </c>
      <c r="K33" s="227" t="s">
        <v>21</v>
      </c>
      <c r="L33" s="224" t="s">
        <v>50</v>
      </c>
      <c r="M33" s="234">
        <v>2750000</v>
      </c>
      <c r="N33" s="225" t="s">
        <v>28</v>
      </c>
      <c r="O33" s="225" t="s">
        <v>29</v>
      </c>
      <c r="P33" s="225" t="s">
        <v>364</v>
      </c>
    </row>
    <row r="34" spans="1:16" ht="75" x14ac:dyDescent="0.3">
      <c r="A34" s="222">
        <v>2023874</v>
      </c>
      <c r="B34" s="222">
        <v>7655</v>
      </c>
      <c r="C34" s="223" t="s">
        <v>25</v>
      </c>
      <c r="D34" s="224" t="s">
        <v>319</v>
      </c>
      <c r="E34" s="225">
        <v>80111600</v>
      </c>
      <c r="F34" s="225" t="s">
        <v>825</v>
      </c>
      <c r="G34" s="226">
        <v>45216</v>
      </c>
      <c r="H34" s="226">
        <v>45231</v>
      </c>
      <c r="I34" s="224">
        <v>1.5</v>
      </c>
      <c r="J34" s="224" t="s">
        <v>20</v>
      </c>
      <c r="K34" s="227" t="s">
        <v>21</v>
      </c>
      <c r="L34" s="224" t="s">
        <v>27</v>
      </c>
      <c r="M34" s="234">
        <v>9750000</v>
      </c>
      <c r="N34" s="225" t="s">
        <v>28</v>
      </c>
      <c r="O34" s="225" t="s">
        <v>29</v>
      </c>
      <c r="P34" s="225" t="s">
        <v>364</v>
      </c>
    </row>
    <row r="35" spans="1:16" ht="75" x14ac:dyDescent="0.3">
      <c r="A35" s="222">
        <v>2023875</v>
      </c>
      <c r="B35" s="222">
        <v>7655</v>
      </c>
      <c r="C35" s="223" t="s">
        <v>25</v>
      </c>
      <c r="D35" s="224" t="s">
        <v>319</v>
      </c>
      <c r="E35" s="225">
        <v>80111600</v>
      </c>
      <c r="F35" s="225" t="s">
        <v>826</v>
      </c>
      <c r="G35" s="226">
        <v>45216</v>
      </c>
      <c r="H35" s="226">
        <v>45231</v>
      </c>
      <c r="I35" s="224">
        <v>0.7</v>
      </c>
      <c r="J35" s="224" t="s">
        <v>20</v>
      </c>
      <c r="K35" s="227" t="s">
        <v>21</v>
      </c>
      <c r="L35" s="224" t="s">
        <v>27</v>
      </c>
      <c r="M35" s="234">
        <v>1633333.3333333335</v>
      </c>
      <c r="N35" s="225" t="s">
        <v>28</v>
      </c>
      <c r="O35" s="225" t="s">
        <v>29</v>
      </c>
      <c r="P35" s="225" t="s">
        <v>364</v>
      </c>
    </row>
    <row r="36" spans="1:16" ht="75" x14ac:dyDescent="0.3">
      <c r="A36" s="222">
        <v>2023876</v>
      </c>
      <c r="B36" s="222">
        <v>7655</v>
      </c>
      <c r="C36" s="223" t="s">
        <v>25</v>
      </c>
      <c r="D36" s="224" t="s">
        <v>319</v>
      </c>
      <c r="E36" s="225">
        <v>80111600</v>
      </c>
      <c r="F36" s="225" t="s">
        <v>827</v>
      </c>
      <c r="G36" s="226">
        <v>45216</v>
      </c>
      <c r="H36" s="226">
        <v>45231</v>
      </c>
      <c r="I36" s="224">
        <v>0.5</v>
      </c>
      <c r="J36" s="224" t="s">
        <v>20</v>
      </c>
      <c r="K36" s="227" t="s">
        <v>21</v>
      </c>
      <c r="L36" s="224" t="s">
        <v>27</v>
      </c>
      <c r="M36" s="234">
        <v>1225000</v>
      </c>
      <c r="N36" s="225" t="s">
        <v>28</v>
      </c>
      <c r="O36" s="225" t="s">
        <v>29</v>
      </c>
      <c r="P36" s="225" t="s">
        <v>364</v>
      </c>
    </row>
    <row r="37" spans="1:16" ht="75" x14ac:dyDescent="0.3">
      <c r="A37" s="222">
        <v>2023877</v>
      </c>
      <c r="B37" s="222">
        <v>7655</v>
      </c>
      <c r="C37" s="223" t="s">
        <v>25</v>
      </c>
      <c r="D37" s="224" t="s">
        <v>319</v>
      </c>
      <c r="E37" s="225">
        <v>80111600</v>
      </c>
      <c r="F37" s="225" t="s">
        <v>828</v>
      </c>
      <c r="G37" s="226">
        <v>45216</v>
      </c>
      <c r="H37" s="226">
        <v>45231</v>
      </c>
      <c r="I37" s="224">
        <v>0.7</v>
      </c>
      <c r="J37" s="224" t="s">
        <v>20</v>
      </c>
      <c r="K37" s="227" t="s">
        <v>21</v>
      </c>
      <c r="L37" s="224" t="s">
        <v>27</v>
      </c>
      <c r="M37" s="234">
        <v>1633333.3333333335</v>
      </c>
      <c r="N37" s="225" t="s">
        <v>28</v>
      </c>
      <c r="O37" s="225" t="s">
        <v>29</v>
      </c>
      <c r="P37" s="225" t="s">
        <v>364</v>
      </c>
    </row>
    <row r="38" spans="1:16" ht="75" x14ac:dyDescent="0.3">
      <c r="A38" s="222">
        <v>2023878</v>
      </c>
      <c r="B38" s="222">
        <v>7655</v>
      </c>
      <c r="C38" s="223" t="s">
        <v>25</v>
      </c>
      <c r="D38" s="224" t="s">
        <v>319</v>
      </c>
      <c r="E38" s="225">
        <v>80111600</v>
      </c>
      <c r="F38" s="225" t="s">
        <v>829</v>
      </c>
      <c r="G38" s="226">
        <v>45216</v>
      </c>
      <c r="H38" s="226">
        <v>45231</v>
      </c>
      <c r="I38" s="224">
        <v>0.7</v>
      </c>
      <c r="J38" s="224" t="s">
        <v>20</v>
      </c>
      <c r="K38" s="227" t="s">
        <v>21</v>
      </c>
      <c r="L38" s="224" t="s">
        <v>27</v>
      </c>
      <c r="M38" s="234">
        <v>4866666.666666667</v>
      </c>
      <c r="N38" s="225" t="s">
        <v>28</v>
      </c>
      <c r="O38" s="225" t="s">
        <v>29</v>
      </c>
      <c r="P38" s="225" t="s">
        <v>364</v>
      </c>
    </row>
    <row r="39" spans="1:16" ht="75" x14ac:dyDescent="0.3">
      <c r="A39" s="222">
        <v>2023879</v>
      </c>
      <c r="B39" s="222">
        <v>7655</v>
      </c>
      <c r="C39" s="223" t="s">
        <v>25</v>
      </c>
      <c r="D39" s="224" t="s">
        <v>319</v>
      </c>
      <c r="E39" s="225">
        <v>80111600</v>
      </c>
      <c r="F39" s="225" t="s">
        <v>830</v>
      </c>
      <c r="G39" s="226">
        <v>45216</v>
      </c>
      <c r="H39" s="226">
        <v>45231</v>
      </c>
      <c r="I39" s="224">
        <v>1</v>
      </c>
      <c r="J39" s="224" t="s">
        <v>20</v>
      </c>
      <c r="K39" s="227" t="s">
        <v>21</v>
      </c>
      <c r="L39" s="224" t="s">
        <v>27</v>
      </c>
      <c r="M39" s="234">
        <v>2450000</v>
      </c>
      <c r="N39" s="225" t="s">
        <v>28</v>
      </c>
      <c r="O39" s="225" t="s">
        <v>29</v>
      </c>
      <c r="P39" s="225" t="s">
        <v>364</v>
      </c>
    </row>
    <row r="40" spans="1:16" ht="60" x14ac:dyDescent="0.3">
      <c r="A40" s="222">
        <v>2023880</v>
      </c>
      <c r="B40" s="222">
        <v>7655</v>
      </c>
      <c r="C40" s="223" t="s">
        <v>25</v>
      </c>
      <c r="D40" s="224" t="s">
        <v>319</v>
      </c>
      <c r="E40" s="225">
        <v>80111600</v>
      </c>
      <c r="F40" s="225" t="s">
        <v>468</v>
      </c>
      <c r="G40" s="226">
        <v>45216</v>
      </c>
      <c r="H40" s="226">
        <v>45231</v>
      </c>
      <c r="I40" s="224">
        <v>2.5</v>
      </c>
      <c r="J40" s="224" t="s">
        <v>20</v>
      </c>
      <c r="K40" s="227" t="s">
        <v>21</v>
      </c>
      <c r="L40" s="224" t="s">
        <v>27</v>
      </c>
      <c r="M40" s="234">
        <v>12500000</v>
      </c>
      <c r="N40" s="225" t="s">
        <v>28</v>
      </c>
      <c r="O40" s="225" t="s">
        <v>29</v>
      </c>
      <c r="P40" s="225" t="s">
        <v>24</v>
      </c>
    </row>
    <row r="41" spans="1:16" ht="75" x14ac:dyDescent="0.3">
      <c r="A41" s="222">
        <v>2023881</v>
      </c>
      <c r="B41" s="222">
        <v>7655</v>
      </c>
      <c r="C41" s="223" t="s">
        <v>25</v>
      </c>
      <c r="D41" s="224" t="s">
        <v>319</v>
      </c>
      <c r="E41" s="225">
        <v>80111600</v>
      </c>
      <c r="F41" s="225" t="s">
        <v>831</v>
      </c>
      <c r="G41" s="226">
        <v>45216</v>
      </c>
      <c r="H41" s="226">
        <v>45231</v>
      </c>
      <c r="I41" s="224">
        <v>0.5</v>
      </c>
      <c r="J41" s="224" t="s">
        <v>20</v>
      </c>
      <c r="K41" s="227" t="s">
        <v>21</v>
      </c>
      <c r="L41" s="224" t="s">
        <v>27</v>
      </c>
      <c r="M41" s="234">
        <v>1225000</v>
      </c>
      <c r="N41" s="225" t="s">
        <v>28</v>
      </c>
      <c r="O41" s="225" t="s">
        <v>29</v>
      </c>
      <c r="P41" s="225" t="s">
        <v>364</v>
      </c>
    </row>
    <row r="42" spans="1:16" ht="60" x14ac:dyDescent="0.3">
      <c r="A42" s="222">
        <v>2023882</v>
      </c>
      <c r="B42" s="222">
        <v>7655</v>
      </c>
      <c r="C42" s="223" t="s">
        <v>25</v>
      </c>
      <c r="D42" s="224" t="s">
        <v>319</v>
      </c>
      <c r="E42" s="225">
        <v>80111600</v>
      </c>
      <c r="F42" s="225" t="s">
        <v>832</v>
      </c>
      <c r="G42" s="226">
        <v>45216</v>
      </c>
      <c r="H42" s="226">
        <v>45231</v>
      </c>
      <c r="I42" s="224" t="s">
        <v>385</v>
      </c>
      <c r="J42" s="224" t="s">
        <v>385</v>
      </c>
      <c r="K42" s="227" t="s">
        <v>386</v>
      </c>
      <c r="L42" s="224" t="s">
        <v>27</v>
      </c>
      <c r="M42" s="234">
        <v>243333</v>
      </c>
      <c r="N42" s="225" t="s">
        <v>28</v>
      </c>
      <c r="O42" s="225" t="s">
        <v>29</v>
      </c>
      <c r="P42" s="225" t="s">
        <v>364</v>
      </c>
    </row>
    <row r="43" spans="1:16" ht="90" x14ac:dyDescent="0.3">
      <c r="A43" s="222">
        <v>2023883</v>
      </c>
      <c r="B43" s="222">
        <v>7658</v>
      </c>
      <c r="C43" s="223" t="s">
        <v>142</v>
      </c>
      <c r="D43" s="224" t="s">
        <v>319</v>
      </c>
      <c r="E43" s="225" t="s">
        <v>833</v>
      </c>
      <c r="F43" s="225" t="s">
        <v>834</v>
      </c>
      <c r="G43" s="226">
        <v>45216</v>
      </c>
      <c r="H43" s="226">
        <v>45260</v>
      </c>
      <c r="I43" s="224">
        <v>1</v>
      </c>
      <c r="J43" s="224" t="s">
        <v>118</v>
      </c>
      <c r="K43" s="227" t="s">
        <v>21</v>
      </c>
      <c r="L43" s="224" t="s">
        <v>234</v>
      </c>
      <c r="M43" s="234">
        <v>7000000</v>
      </c>
      <c r="N43" s="225" t="s">
        <v>340</v>
      </c>
      <c r="O43" s="225" t="s">
        <v>163</v>
      </c>
      <c r="P43" s="225" t="s">
        <v>24</v>
      </c>
    </row>
    <row r="44" spans="1:16" ht="90" x14ac:dyDescent="0.3">
      <c r="A44" s="222">
        <v>2023884</v>
      </c>
      <c r="B44" s="222">
        <v>7658</v>
      </c>
      <c r="C44" s="223" t="s">
        <v>142</v>
      </c>
      <c r="D44" s="224" t="s">
        <v>319</v>
      </c>
      <c r="E44" s="225" t="s">
        <v>835</v>
      </c>
      <c r="F44" s="225" t="s">
        <v>836</v>
      </c>
      <c r="G44" s="226">
        <v>45216</v>
      </c>
      <c r="H44" s="226">
        <v>45260</v>
      </c>
      <c r="I44" s="224">
        <v>12</v>
      </c>
      <c r="J44" s="224" t="s">
        <v>118</v>
      </c>
      <c r="K44" s="227" t="s">
        <v>21</v>
      </c>
      <c r="L44" s="224" t="s">
        <v>27</v>
      </c>
      <c r="M44" s="234">
        <v>5000000</v>
      </c>
      <c r="N44" s="225" t="s">
        <v>340</v>
      </c>
      <c r="O44" s="225" t="s">
        <v>163</v>
      </c>
      <c r="P44" s="225" t="s">
        <v>24</v>
      </c>
    </row>
    <row r="45" spans="1:16" ht="75" x14ac:dyDescent="0.3">
      <c r="A45" s="222">
        <v>2023885</v>
      </c>
      <c r="B45" s="222" t="s">
        <v>385</v>
      </c>
      <c r="C45" s="223" t="s">
        <v>385</v>
      </c>
      <c r="D45" s="224" t="s">
        <v>319</v>
      </c>
      <c r="E45" s="225" t="s">
        <v>837</v>
      </c>
      <c r="F45" s="225" t="s">
        <v>838</v>
      </c>
      <c r="G45" s="226">
        <v>45246</v>
      </c>
      <c r="H45" s="226">
        <v>45255</v>
      </c>
      <c r="I45" s="224">
        <v>12</v>
      </c>
      <c r="J45" s="224" t="s">
        <v>154</v>
      </c>
      <c r="K45" s="227" t="s">
        <v>385</v>
      </c>
      <c r="L45" s="224" t="s">
        <v>385</v>
      </c>
      <c r="M45" s="234">
        <v>0</v>
      </c>
      <c r="N45" s="225" t="s">
        <v>385</v>
      </c>
      <c r="O45" s="225" t="s">
        <v>385</v>
      </c>
      <c r="P45" s="225" t="s">
        <v>24</v>
      </c>
    </row>
    <row r="46" spans="1:16" ht="90" x14ac:dyDescent="0.3">
      <c r="A46" s="222">
        <v>2023886</v>
      </c>
      <c r="B46" s="222">
        <v>7658</v>
      </c>
      <c r="C46" s="223" t="s">
        <v>142</v>
      </c>
      <c r="D46" s="224" t="s">
        <v>125</v>
      </c>
      <c r="E46" s="225">
        <v>80111600</v>
      </c>
      <c r="F46" s="225" t="s">
        <v>839</v>
      </c>
      <c r="G46" s="226">
        <v>45238</v>
      </c>
      <c r="H46" s="226">
        <v>45240</v>
      </c>
      <c r="I46" s="224">
        <v>1</v>
      </c>
      <c r="J46" s="224" t="s">
        <v>20</v>
      </c>
      <c r="K46" s="227" t="s">
        <v>21</v>
      </c>
      <c r="L46" s="224" t="s">
        <v>27</v>
      </c>
      <c r="M46" s="234">
        <v>5175000</v>
      </c>
      <c r="N46" s="225" t="s">
        <v>144</v>
      </c>
      <c r="O46" s="225" t="s">
        <v>145</v>
      </c>
      <c r="P46" s="225" t="s">
        <v>364</v>
      </c>
    </row>
    <row r="47" spans="1:16" ht="75" x14ac:dyDescent="0.3">
      <c r="A47" s="222">
        <v>2023887</v>
      </c>
      <c r="B47" s="222">
        <v>7658</v>
      </c>
      <c r="C47" s="223" t="s">
        <v>142</v>
      </c>
      <c r="D47" s="224" t="s">
        <v>125</v>
      </c>
      <c r="E47" s="225">
        <v>80111600</v>
      </c>
      <c r="F47" s="225" t="s">
        <v>152</v>
      </c>
      <c r="G47" s="226">
        <v>45240</v>
      </c>
      <c r="H47" s="226">
        <v>45243</v>
      </c>
      <c r="I47" s="224">
        <v>1</v>
      </c>
      <c r="J47" s="224" t="s">
        <v>20</v>
      </c>
      <c r="K47" s="227" t="s">
        <v>21</v>
      </c>
      <c r="L47" s="224" t="s">
        <v>27</v>
      </c>
      <c r="M47" s="234">
        <f>1825000+3350000</f>
        <v>5175000</v>
      </c>
      <c r="N47" s="225" t="s">
        <v>144</v>
      </c>
      <c r="O47" s="225" t="s">
        <v>145</v>
      </c>
      <c r="P47" s="225" t="s">
        <v>24</v>
      </c>
    </row>
    <row r="48" spans="1:16" ht="75" x14ac:dyDescent="0.3">
      <c r="A48" s="222">
        <v>2023888</v>
      </c>
      <c r="B48" s="222">
        <v>7658</v>
      </c>
      <c r="C48" s="223" t="s">
        <v>142</v>
      </c>
      <c r="D48" s="224" t="s">
        <v>125</v>
      </c>
      <c r="E48" s="225">
        <v>80111600</v>
      </c>
      <c r="F48" s="225" t="s">
        <v>840</v>
      </c>
      <c r="G48" s="226">
        <v>45256</v>
      </c>
      <c r="H48" s="226">
        <v>45258</v>
      </c>
      <c r="I48" s="224">
        <v>3</v>
      </c>
      <c r="J48" s="224" t="s">
        <v>20</v>
      </c>
      <c r="K48" s="227" t="s">
        <v>21</v>
      </c>
      <c r="L48" s="224" t="s">
        <v>27</v>
      </c>
      <c r="M48" s="234">
        <f>50000+88167+13784787+8577046</f>
        <v>22500000</v>
      </c>
      <c r="N48" s="225" t="s">
        <v>144</v>
      </c>
      <c r="O48" s="225" t="s">
        <v>145</v>
      </c>
      <c r="P48" s="225" t="s">
        <v>24</v>
      </c>
    </row>
    <row r="49" spans="1:16" ht="75" x14ac:dyDescent="0.3">
      <c r="A49" s="222">
        <v>2023889</v>
      </c>
      <c r="B49" s="222" t="s">
        <v>17</v>
      </c>
      <c r="C49" s="229" t="s">
        <v>17</v>
      </c>
      <c r="D49" s="230" t="s">
        <v>125</v>
      </c>
      <c r="E49" s="230">
        <v>80111600</v>
      </c>
      <c r="F49" s="235" t="s">
        <v>841</v>
      </c>
      <c r="G49" s="232">
        <v>45231</v>
      </c>
      <c r="H49" s="232">
        <v>45233</v>
      </c>
      <c r="I49" s="224">
        <v>1</v>
      </c>
      <c r="J49" s="224" t="s">
        <v>20</v>
      </c>
      <c r="K49" s="227" t="s">
        <v>21</v>
      </c>
      <c r="L49" s="236" t="s">
        <v>23</v>
      </c>
      <c r="M49" s="237">
        <f>820000+4270000</f>
        <v>5090000</v>
      </c>
      <c r="N49" s="250" t="s">
        <v>23</v>
      </c>
      <c r="O49" s="230" t="s">
        <v>23</v>
      </c>
      <c r="P49" s="238" t="s">
        <v>364</v>
      </c>
    </row>
    <row r="50" spans="1:16" ht="60" x14ac:dyDescent="0.3">
      <c r="A50" s="222">
        <v>2023890</v>
      </c>
      <c r="B50" s="222" t="s">
        <v>17</v>
      </c>
      <c r="C50" s="229" t="s">
        <v>17</v>
      </c>
      <c r="D50" s="230" t="s">
        <v>125</v>
      </c>
      <c r="E50" s="239">
        <v>80111600</v>
      </c>
      <c r="F50" s="235" t="s">
        <v>456</v>
      </c>
      <c r="G50" s="232">
        <v>45231</v>
      </c>
      <c r="H50" s="232">
        <v>45234</v>
      </c>
      <c r="I50" s="224">
        <v>3</v>
      </c>
      <c r="J50" s="224" t="s">
        <v>20</v>
      </c>
      <c r="K50" s="227" t="s">
        <v>21</v>
      </c>
      <c r="L50" s="236" t="s">
        <v>23</v>
      </c>
      <c r="M50" s="237">
        <f>5530000+833333+7436667</f>
        <v>13800000</v>
      </c>
      <c r="N50" s="250" t="s">
        <v>23</v>
      </c>
      <c r="O50" s="230" t="s">
        <v>23</v>
      </c>
      <c r="P50" s="238" t="s">
        <v>364</v>
      </c>
    </row>
    <row r="51" spans="1:16" ht="45" x14ac:dyDescent="0.3">
      <c r="A51" s="222">
        <v>2023891</v>
      </c>
      <c r="B51" s="222" t="s">
        <v>17</v>
      </c>
      <c r="C51" s="229" t="s">
        <v>17</v>
      </c>
      <c r="D51" s="230" t="s">
        <v>125</v>
      </c>
      <c r="E51" s="230">
        <v>80111600</v>
      </c>
      <c r="F51" s="230" t="s">
        <v>842</v>
      </c>
      <c r="G51" s="232">
        <v>45261</v>
      </c>
      <c r="H51" s="232">
        <v>45263</v>
      </c>
      <c r="I51" s="224">
        <v>3</v>
      </c>
      <c r="J51" s="224" t="s">
        <v>20</v>
      </c>
      <c r="K51" s="227" t="s">
        <v>21</v>
      </c>
      <c r="L51" s="236" t="s">
        <v>23</v>
      </c>
      <c r="M51" s="237">
        <v>22500000</v>
      </c>
      <c r="N51" s="250" t="s">
        <v>23</v>
      </c>
      <c r="O51" s="230" t="s">
        <v>23</v>
      </c>
      <c r="P51" s="238" t="s">
        <v>24</v>
      </c>
    </row>
    <row r="52" spans="1:16" ht="60" x14ac:dyDescent="0.3">
      <c r="A52" s="222">
        <v>2023892</v>
      </c>
      <c r="B52" s="222" t="s">
        <v>17</v>
      </c>
      <c r="C52" s="229" t="s">
        <v>17</v>
      </c>
      <c r="D52" s="230" t="s">
        <v>125</v>
      </c>
      <c r="E52" s="230">
        <v>80111600</v>
      </c>
      <c r="F52" s="230" t="s">
        <v>128</v>
      </c>
      <c r="G52" s="232">
        <v>45239</v>
      </c>
      <c r="H52" s="232">
        <v>45241</v>
      </c>
      <c r="I52" s="224">
        <v>2</v>
      </c>
      <c r="J52" s="224" t="s">
        <v>20</v>
      </c>
      <c r="K52" s="227" t="s">
        <v>21</v>
      </c>
      <c r="L52" s="236" t="s">
        <v>23</v>
      </c>
      <c r="M52" s="237">
        <v>10200000</v>
      </c>
      <c r="N52" s="250" t="s">
        <v>23</v>
      </c>
      <c r="O52" s="230" t="s">
        <v>23</v>
      </c>
      <c r="P52" s="238" t="s">
        <v>24</v>
      </c>
    </row>
    <row r="53" spans="1:16" ht="45" x14ac:dyDescent="0.3">
      <c r="A53" s="222">
        <v>2023893</v>
      </c>
      <c r="B53" s="222" t="s">
        <v>17</v>
      </c>
      <c r="C53" s="229" t="s">
        <v>17</v>
      </c>
      <c r="D53" s="230" t="s">
        <v>125</v>
      </c>
      <c r="E53" s="230">
        <v>80111600</v>
      </c>
      <c r="F53" s="230" t="s">
        <v>138</v>
      </c>
      <c r="G53" s="232">
        <v>45239</v>
      </c>
      <c r="H53" s="232">
        <v>45241</v>
      </c>
      <c r="I53" s="224">
        <v>2</v>
      </c>
      <c r="J53" s="224" t="s">
        <v>20</v>
      </c>
      <c r="K53" s="227" t="s">
        <v>21</v>
      </c>
      <c r="L53" s="236" t="s">
        <v>23</v>
      </c>
      <c r="M53" s="237">
        <v>5544000</v>
      </c>
      <c r="N53" s="250" t="s">
        <v>23</v>
      </c>
      <c r="O53" s="230" t="s">
        <v>23</v>
      </c>
      <c r="P53" s="238" t="s">
        <v>24</v>
      </c>
    </row>
    <row r="54" spans="1:16" ht="45" x14ac:dyDescent="0.3">
      <c r="A54" s="222">
        <v>2023894</v>
      </c>
      <c r="B54" s="222" t="s">
        <v>17</v>
      </c>
      <c r="C54" s="229" t="s">
        <v>17</v>
      </c>
      <c r="D54" s="230" t="s">
        <v>125</v>
      </c>
      <c r="E54" s="230">
        <v>80111600</v>
      </c>
      <c r="F54" s="230" t="s">
        <v>492</v>
      </c>
      <c r="G54" s="232">
        <v>45243</v>
      </c>
      <c r="H54" s="232">
        <v>45245</v>
      </c>
      <c r="I54" s="224">
        <v>2</v>
      </c>
      <c r="J54" s="224" t="s">
        <v>20</v>
      </c>
      <c r="K54" s="227" t="s">
        <v>21</v>
      </c>
      <c r="L54" s="236" t="s">
        <v>23</v>
      </c>
      <c r="M54" s="237">
        <v>7700000</v>
      </c>
      <c r="N54" s="250" t="s">
        <v>23</v>
      </c>
      <c r="O54" s="230" t="s">
        <v>23</v>
      </c>
      <c r="P54" s="238" t="s">
        <v>24</v>
      </c>
    </row>
    <row r="55" spans="1:16" ht="90" x14ac:dyDescent="0.3">
      <c r="A55" s="222">
        <v>2023895</v>
      </c>
      <c r="B55" s="222" t="s">
        <v>17</v>
      </c>
      <c r="C55" s="229" t="s">
        <v>17</v>
      </c>
      <c r="D55" s="230" t="s">
        <v>125</v>
      </c>
      <c r="E55" s="230">
        <v>80111600</v>
      </c>
      <c r="F55" s="230" t="s">
        <v>843</v>
      </c>
      <c r="G55" s="232">
        <v>45243</v>
      </c>
      <c r="H55" s="232">
        <v>45245</v>
      </c>
      <c r="I55" s="224">
        <v>2</v>
      </c>
      <c r="J55" s="224" t="s">
        <v>20</v>
      </c>
      <c r="K55" s="227" t="s">
        <v>21</v>
      </c>
      <c r="L55" s="236" t="s">
        <v>23</v>
      </c>
      <c r="M55" s="237">
        <v>4450500</v>
      </c>
      <c r="N55" s="250" t="s">
        <v>23</v>
      </c>
      <c r="O55" s="230" t="s">
        <v>23</v>
      </c>
      <c r="P55" s="238" t="s">
        <v>364</v>
      </c>
    </row>
    <row r="56" spans="1:16" ht="75" x14ac:dyDescent="0.3">
      <c r="A56" s="222">
        <v>2023896</v>
      </c>
      <c r="B56" s="222" t="s">
        <v>17</v>
      </c>
      <c r="C56" s="229" t="s">
        <v>17</v>
      </c>
      <c r="D56" s="230" t="s">
        <v>125</v>
      </c>
      <c r="E56" s="230">
        <v>80111600</v>
      </c>
      <c r="F56" s="230" t="s">
        <v>844</v>
      </c>
      <c r="G56" s="232">
        <v>45243</v>
      </c>
      <c r="H56" s="232">
        <v>45245</v>
      </c>
      <c r="I56" s="224">
        <v>2</v>
      </c>
      <c r="J56" s="224" t="s">
        <v>20</v>
      </c>
      <c r="K56" s="227" t="s">
        <v>21</v>
      </c>
      <c r="L56" s="236" t="s">
        <v>23</v>
      </c>
      <c r="M56" s="237">
        <v>5446667</v>
      </c>
      <c r="N56" s="250" t="s">
        <v>23</v>
      </c>
      <c r="O56" s="230" t="s">
        <v>23</v>
      </c>
      <c r="P56" s="238" t="s">
        <v>364</v>
      </c>
    </row>
    <row r="57" spans="1:16" ht="60" x14ac:dyDescent="0.3">
      <c r="A57" s="222">
        <v>2023897</v>
      </c>
      <c r="B57" s="222" t="s">
        <v>17</v>
      </c>
      <c r="C57" s="229" t="s">
        <v>17</v>
      </c>
      <c r="D57" s="230" t="s">
        <v>125</v>
      </c>
      <c r="E57" s="230">
        <v>80111600</v>
      </c>
      <c r="F57" s="230" t="s">
        <v>143</v>
      </c>
      <c r="G57" s="232">
        <v>45244</v>
      </c>
      <c r="H57" s="232">
        <v>45246</v>
      </c>
      <c r="I57" s="224">
        <v>2</v>
      </c>
      <c r="J57" s="224" t="s">
        <v>20</v>
      </c>
      <c r="K57" s="227" t="s">
        <v>21</v>
      </c>
      <c r="L57" s="236" t="s">
        <v>23</v>
      </c>
      <c r="M57" s="237">
        <v>10350000</v>
      </c>
      <c r="N57" s="250" t="s">
        <v>23</v>
      </c>
      <c r="O57" s="230" t="s">
        <v>23</v>
      </c>
      <c r="P57" s="238" t="s">
        <v>24</v>
      </c>
    </row>
    <row r="58" spans="1:16" ht="90" x14ac:dyDescent="0.3">
      <c r="A58" s="222">
        <v>2023898</v>
      </c>
      <c r="B58" s="222" t="s">
        <v>17</v>
      </c>
      <c r="C58" s="229" t="s">
        <v>17</v>
      </c>
      <c r="D58" s="230" t="s">
        <v>125</v>
      </c>
      <c r="E58" s="230">
        <v>80111600</v>
      </c>
      <c r="F58" s="230" t="s">
        <v>579</v>
      </c>
      <c r="G58" s="232">
        <v>45248</v>
      </c>
      <c r="H58" s="232">
        <v>45250</v>
      </c>
      <c r="I58" s="224">
        <v>2</v>
      </c>
      <c r="J58" s="224" t="s">
        <v>20</v>
      </c>
      <c r="K58" s="227" t="s">
        <v>21</v>
      </c>
      <c r="L58" s="236" t="s">
        <v>23</v>
      </c>
      <c r="M58" s="237">
        <f>1261666+3348334+4084000</f>
        <v>8694000</v>
      </c>
      <c r="N58" s="250" t="s">
        <v>23</v>
      </c>
      <c r="O58" s="230" t="s">
        <v>23</v>
      </c>
      <c r="P58" s="238" t="s">
        <v>24</v>
      </c>
    </row>
    <row r="59" spans="1:16" ht="60" x14ac:dyDescent="0.3">
      <c r="A59" s="222">
        <v>2023899</v>
      </c>
      <c r="B59" s="222" t="s">
        <v>17</v>
      </c>
      <c r="C59" s="229" t="s">
        <v>17</v>
      </c>
      <c r="D59" s="230" t="s">
        <v>125</v>
      </c>
      <c r="E59" s="230">
        <v>80111600</v>
      </c>
      <c r="F59" s="230" t="s">
        <v>845</v>
      </c>
      <c r="G59" s="232">
        <v>45248</v>
      </c>
      <c r="H59" s="232">
        <v>45250</v>
      </c>
      <c r="I59" s="224">
        <v>2</v>
      </c>
      <c r="J59" s="224" t="s">
        <v>20</v>
      </c>
      <c r="K59" s="227" t="s">
        <v>21</v>
      </c>
      <c r="L59" s="236" t="s">
        <v>23</v>
      </c>
      <c r="M59" s="237">
        <v>10200000</v>
      </c>
      <c r="N59" s="250" t="s">
        <v>23</v>
      </c>
      <c r="O59" s="230" t="s">
        <v>23</v>
      </c>
      <c r="P59" s="238" t="s">
        <v>24</v>
      </c>
    </row>
    <row r="60" spans="1:16" ht="45" x14ac:dyDescent="0.3">
      <c r="A60" s="222">
        <v>2023900</v>
      </c>
      <c r="B60" s="222" t="s">
        <v>17</v>
      </c>
      <c r="C60" s="229" t="s">
        <v>17</v>
      </c>
      <c r="D60" s="230" t="s">
        <v>125</v>
      </c>
      <c r="E60" s="230">
        <v>80111600</v>
      </c>
      <c r="F60" s="230" t="s">
        <v>459</v>
      </c>
      <c r="G60" s="232">
        <v>45248</v>
      </c>
      <c r="H60" s="232">
        <v>45250</v>
      </c>
      <c r="I60" s="224">
        <v>2</v>
      </c>
      <c r="J60" s="224" t="s">
        <v>20</v>
      </c>
      <c r="K60" s="227" t="s">
        <v>21</v>
      </c>
      <c r="L60" s="236" t="s">
        <v>23</v>
      </c>
      <c r="M60" s="237">
        <v>11386000</v>
      </c>
      <c r="N60" s="250" t="s">
        <v>23</v>
      </c>
      <c r="O60" s="230" t="s">
        <v>23</v>
      </c>
      <c r="P60" s="238" t="s">
        <v>24</v>
      </c>
    </row>
    <row r="61" spans="1:16" ht="60" x14ac:dyDescent="0.3">
      <c r="A61" s="222">
        <v>2023901</v>
      </c>
      <c r="B61" s="222" t="s">
        <v>17</v>
      </c>
      <c r="C61" s="229" t="s">
        <v>17</v>
      </c>
      <c r="D61" s="230" t="s">
        <v>125</v>
      </c>
      <c r="E61" s="230">
        <v>80111600</v>
      </c>
      <c r="F61" s="230" t="s">
        <v>147</v>
      </c>
      <c r="G61" s="232">
        <v>45248</v>
      </c>
      <c r="H61" s="232">
        <v>45250</v>
      </c>
      <c r="I61" s="224">
        <v>2</v>
      </c>
      <c r="J61" s="224" t="s">
        <v>20</v>
      </c>
      <c r="K61" s="227" t="s">
        <v>21</v>
      </c>
      <c r="L61" s="236" t="s">
        <v>23</v>
      </c>
      <c r="M61" s="237">
        <v>3266667</v>
      </c>
      <c r="N61" s="250" t="s">
        <v>23</v>
      </c>
      <c r="O61" s="230" t="s">
        <v>23</v>
      </c>
      <c r="P61" s="238" t="s">
        <v>24</v>
      </c>
    </row>
    <row r="62" spans="1:16" ht="75" x14ac:dyDescent="0.3">
      <c r="A62" s="222">
        <v>2023902</v>
      </c>
      <c r="B62" s="222" t="s">
        <v>17</v>
      </c>
      <c r="C62" s="229" t="s">
        <v>17</v>
      </c>
      <c r="D62" s="230" t="s">
        <v>125</v>
      </c>
      <c r="E62" s="230" t="s">
        <v>471</v>
      </c>
      <c r="F62" s="230" t="s">
        <v>846</v>
      </c>
      <c r="G62" s="232">
        <v>45251</v>
      </c>
      <c r="H62" s="232">
        <v>45254</v>
      </c>
      <c r="I62" s="224">
        <v>2</v>
      </c>
      <c r="J62" s="224" t="s">
        <v>20</v>
      </c>
      <c r="K62" s="227" t="s">
        <v>21</v>
      </c>
      <c r="L62" s="236" t="s">
        <v>23</v>
      </c>
      <c r="M62" s="237">
        <v>3021667</v>
      </c>
      <c r="N62" s="250" t="s">
        <v>23</v>
      </c>
      <c r="O62" s="230" t="s">
        <v>23</v>
      </c>
      <c r="P62" s="238" t="s">
        <v>364</v>
      </c>
    </row>
    <row r="63" spans="1:16" ht="45" x14ac:dyDescent="0.3">
      <c r="A63" s="222">
        <v>2023903</v>
      </c>
      <c r="B63" s="222" t="s">
        <v>17</v>
      </c>
      <c r="C63" s="229" t="s">
        <v>17</v>
      </c>
      <c r="D63" s="230" t="s">
        <v>125</v>
      </c>
      <c r="E63" s="230">
        <v>80111600</v>
      </c>
      <c r="F63" s="230" t="s">
        <v>130</v>
      </c>
      <c r="G63" s="232">
        <v>45254</v>
      </c>
      <c r="H63" s="232">
        <v>45256</v>
      </c>
      <c r="I63" s="224">
        <v>2</v>
      </c>
      <c r="J63" s="224" t="s">
        <v>20</v>
      </c>
      <c r="K63" s="227" t="s">
        <v>21</v>
      </c>
      <c r="L63" s="236" t="s">
        <v>23</v>
      </c>
      <c r="M63" s="237">
        <v>10200000</v>
      </c>
      <c r="N63" s="250" t="s">
        <v>23</v>
      </c>
      <c r="O63" s="230" t="s">
        <v>23</v>
      </c>
      <c r="P63" s="238" t="s">
        <v>24</v>
      </c>
    </row>
    <row r="64" spans="1:16" ht="60" x14ac:dyDescent="0.3">
      <c r="A64" s="222">
        <v>2023904</v>
      </c>
      <c r="B64" s="222" t="s">
        <v>17</v>
      </c>
      <c r="C64" s="229" t="s">
        <v>17</v>
      </c>
      <c r="D64" s="230" t="s">
        <v>125</v>
      </c>
      <c r="E64" s="230">
        <v>80111600</v>
      </c>
      <c r="F64" s="230" t="s">
        <v>847</v>
      </c>
      <c r="G64" s="232">
        <v>45256</v>
      </c>
      <c r="H64" s="232">
        <v>45258</v>
      </c>
      <c r="I64" s="224">
        <v>2</v>
      </c>
      <c r="J64" s="224" t="s">
        <v>20</v>
      </c>
      <c r="K64" s="227" t="s">
        <v>21</v>
      </c>
      <c r="L64" s="236" t="s">
        <v>23</v>
      </c>
      <c r="M64" s="237">
        <v>2986667</v>
      </c>
      <c r="N64" s="250" t="s">
        <v>23</v>
      </c>
      <c r="O64" s="230" t="s">
        <v>23</v>
      </c>
      <c r="P64" s="238" t="s">
        <v>364</v>
      </c>
    </row>
    <row r="65" spans="1:16" ht="60" x14ac:dyDescent="0.3">
      <c r="A65" s="222">
        <v>2023905</v>
      </c>
      <c r="B65" s="222" t="s">
        <v>17</v>
      </c>
      <c r="C65" s="229" t="s">
        <v>17</v>
      </c>
      <c r="D65" s="230" t="s">
        <v>125</v>
      </c>
      <c r="E65" s="230">
        <v>80111600</v>
      </c>
      <c r="F65" s="230" t="s">
        <v>494</v>
      </c>
      <c r="G65" s="232">
        <v>45231</v>
      </c>
      <c r="H65" s="232">
        <v>45233</v>
      </c>
      <c r="I65" s="224">
        <v>2</v>
      </c>
      <c r="J65" s="224" t="s">
        <v>20</v>
      </c>
      <c r="K65" s="227" t="s">
        <v>21</v>
      </c>
      <c r="L65" s="236" t="s">
        <v>23</v>
      </c>
      <c r="M65" s="237">
        <v>7600000</v>
      </c>
      <c r="N65" s="250" t="s">
        <v>23</v>
      </c>
      <c r="O65" s="230" t="s">
        <v>23</v>
      </c>
      <c r="P65" s="238" t="s">
        <v>24</v>
      </c>
    </row>
    <row r="66" spans="1:16" ht="45" x14ac:dyDescent="0.3">
      <c r="A66" s="222">
        <v>2023906</v>
      </c>
      <c r="B66" s="222" t="s">
        <v>17</v>
      </c>
      <c r="C66" s="229" t="s">
        <v>17</v>
      </c>
      <c r="D66" s="230" t="s">
        <v>125</v>
      </c>
      <c r="E66" s="230">
        <v>80111600</v>
      </c>
      <c r="F66" s="230" t="s">
        <v>848</v>
      </c>
      <c r="G66" s="232">
        <v>45256</v>
      </c>
      <c r="H66" s="232">
        <v>45258</v>
      </c>
      <c r="I66" s="224">
        <v>2</v>
      </c>
      <c r="J66" s="224" t="s">
        <v>20</v>
      </c>
      <c r="K66" s="227" t="s">
        <v>21</v>
      </c>
      <c r="L66" s="236" t="s">
        <v>23</v>
      </c>
      <c r="M66" s="237">
        <v>7500000</v>
      </c>
      <c r="N66" s="250" t="s">
        <v>23</v>
      </c>
      <c r="O66" s="230" t="s">
        <v>23</v>
      </c>
      <c r="P66" s="238" t="s">
        <v>24</v>
      </c>
    </row>
    <row r="67" spans="1:16" ht="90" x14ac:dyDescent="0.3">
      <c r="A67" s="222">
        <v>2023907</v>
      </c>
      <c r="B67" s="222">
        <v>7655</v>
      </c>
      <c r="C67" s="229" t="s">
        <v>25</v>
      </c>
      <c r="D67" s="230" t="s">
        <v>215</v>
      </c>
      <c r="E67" s="230">
        <v>80111600</v>
      </c>
      <c r="F67" s="230" t="s">
        <v>852</v>
      </c>
      <c r="G67" s="232" t="s">
        <v>853</v>
      </c>
      <c r="H67" s="232" t="s">
        <v>853</v>
      </c>
      <c r="I67" s="224">
        <v>1</v>
      </c>
      <c r="J67" s="224" t="s">
        <v>20</v>
      </c>
      <c r="K67" s="227" t="s">
        <v>21</v>
      </c>
      <c r="L67" s="236" t="s">
        <v>27</v>
      </c>
      <c r="M67" s="237">
        <v>5500000</v>
      </c>
      <c r="N67" s="250" t="s">
        <v>28</v>
      </c>
      <c r="O67" s="230" t="s">
        <v>29</v>
      </c>
      <c r="P67" s="238" t="s">
        <v>364</v>
      </c>
    </row>
    <row r="68" spans="1:16" ht="90" x14ac:dyDescent="0.3">
      <c r="A68" s="222">
        <v>2023908</v>
      </c>
      <c r="B68" s="222">
        <v>7655</v>
      </c>
      <c r="C68" s="229" t="s">
        <v>25</v>
      </c>
      <c r="D68" s="230" t="s">
        <v>215</v>
      </c>
      <c r="E68" s="230">
        <v>80111600</v>
      </c>
      <c r="F68" s="230" t="s">
        <v>854</v>
      </c>
      <c r="G68" s="232" t="s">
        <v>853</v>
      </c>
      <c r="H68" s="232" t="s">
        <v>853</v>
      </c>
      <c r="I68" s="224">
        <v>1</v>
      </c>
      <c r="J68" s="224" t="s">
        <v>20</v>
      </c>
      <c r="K68" s="227" t="s">
        <v>21</v>
      </c>
      <c r="L68" s="236" t="s">
        <v>27</v>
      </c>
      <c r="M68" s="237">
        <v>3116667</v>
      </c>
      <c r="N68" s="250" t="s">
        <v>28</v>
      </c>
      <c r="O68" s="230" t="s">
        <v>29</v>
      </c>
      <c r="P68" s="238" t="s">
        <v>364</v>
      </c>
    </row>
    <row r="69" spans="1:16" ht="60" x14ac:dyDescent="0.3">
      <c r="A69" s="222">
        <v>2023909</v>
      </c>
      <c r="B69" s="222">
        <v>7655</v>
      </c>
      <c r="C69" s="229" t="s">
        <v>25</v>
      </c>
      <c r="D69" s="230" t="s">
        <v>204</v>
      </c>
      <c r="E69" s="230">
        <v>80111600</v>
      </c>
      <c r="F69" s="230" t="s">
        <v>208</v>
      </c>
      <c r="G69" s="232">
        <v>45214</v>
      </c>
      <c r="H69" s="232">
        <v>45260</v>
      </c>
      <c r="I69" s="224">
        <v>2</v>
      </c>
      <c r="J69" s="224" t="s">
        <v>20</v>
      </c>
      <c r="K69" s="227" t="s">
        <v>21</v>
      </c>
      <c r="L69" s="236" t="s">
        <v>27</v>
      </c>
      <c r="M69" s="237">
        <f>3550000*2</f>
        <v>7100000</v>
      </c>
      <c r="N69" s="250" t="s">
        <v>28</v>
      </c>
      <c r="O69" s="230" t="s">
        <v>29</v>
      </c>
      <c r="P69" s="238" t="s">
        <v>24</v>
      </c>
    </row>
    <row r="70" spans="1:16" ht="60" x14ac:dyDescent="0.3">
      <c r="A70" s="222">
        <v>2023910</v>
      </c>
      <c r="B70" s="222">
        <v>7655</v>
      </c>
      <c r="C70" s="229" t="s">
        <v>25</v>
      </c>
      <c r="D70" s="230" t="s">
        <v>195</v>
      </c>
      <c r="E70" s="230">
        <v>80111600</v>
      </c>
      <c r="F70" s="230" t="s">
        <v>855</v>
      </c>
      <c r="G70" s="232">
        <v>45214</v>
      </c>
      <c r="H70" s="232">
        <v>45260</v>
      </c>
      <c r="I70" s="224">
        <v>2</v>
      </c>
      <c r="J70" s="224" t="s">
        <v>20</v>
      </c>
      <c r="K70" s="227" t="s">
        <v>21</v>
      </c>
      <c r="L70" s="236" t="s">
        <v>27</v>
      </c>
      <c r="M70" s="237">
        <f>2366667+4633333</f>
        <v>7000000</v>
      </c>
      <c r="N70" s="250" t="s">
        <v>28</v>
      </c>
      <c r="O70" s="230" t="s">
        <v>29</v>
      </c>
      <c r="P70" s="238" t="s">
        <v>364</v>
      </c>
    </row>
    <row r="71" spans="1:16" ht="75" x14ac:dyDescent="0.3">
      <c r="A71" s="222">
        <v>2023911</v>
      </c>
      <c r="B71" s="222">
        <v>7655</v>
      </c>
      <c r="C71" s="229" t="s">
        <v>25</v>
      </c>
      <c r="D71" s="230" t="s">
        <v>204</v>
      </c>
      <c r="E71" s="230">
        <v>80111600</v>
      </c>
      <c r="F71" s="230" t="s">
        <v>856</v>
      </c>
      <c r="G71" s="232">
        <v>45214</v>
      </c>
      <c r="H71" s="232">
        <v>45260</v>
      </c>
      <c r="I71" s="224">
        <v>1</v>
      </c>
      <c r="J71" s="224" t="s">
        <v>20</v>
      </c>
      <c r="K71" s="227" t="s">
        <v>21</v>
      </c>
      <c r="L71" s="236" t="s">
        <v>27</v>
      </c>
      <c r="M71" s="237">
        <v>5000000</v>
      </c>
      <c r="N71" s="250" t="s">
        <v>28</v>
      </c>
      <c r="O71" s="230" t="s">
        <v>29</v>
      </c>
      <c r="P71" s="238" t="s">
        <v>364</v>
      </c>
    </row>
    <row r="72" spans="1:16" ht="75" x14ac:dyDescent="0.3">
      <c r="A72" s="222">
        <v>2023912</v>
      </c>
      <c r="B72" s="222">
        <v>7655</v>
      </c>
      <c r="C72" s="229" t="s">
        <v>25</v>
      </c>
      <c r="D72" s="230" t="s">
        <v>204</v>
      </c>
      <c r="E72" s="230">
        <v>80111600</v>
      </c>
      <c r="F72" s="230" t="s">
        <v>857</v>
      </c>
      <c r="G72" s="232">
        <v>45214</v>
      </c>
      <c r="H72" s="232">
        <v>45260</v>
      </c>
      <c r="I72" s="224">
        <v>1.5</v>
      </c>
      <c r="J72" s="224" t="s">
        <v>20</v>
      </c>
      <c r="K72" s="227" t="s">
        <v>21</v>
      </c>
      <c r="L72" s="236" t="s">
        <v>27</v>
      </c>
      <c r="M72" s="237">
        <v>4500000</v>
      </c>
      <c r="N72" s="250" t="s">
        <v>28</v>
      </c>
      <c r="O72" s="230" t="s">
        <v>29</v>
      </c>
      <c r="P72" s="238" t="s">
        <v>364</v>
      </c>
    </row>
    <row r="73" spans="1:16" ht="105" x14ac:dyDescent="0.3">
      <c r="A73" s="222">
        <v>2023913</v>
      </c>
      <c r="B73" s="222">
        <v>7655</v>
      </c>
      <c r="C73" s="229" t="s">
        <v>25</v>
      </c>
      <c r="D73" s="230" t="s">
        <v>204</v>
      </c>
      <c r="E73" s="230">
        <v>80111600</v>
      </c>
      <c r="F73" s="230" t="s">
        <v>858</v>
      </c>
      <c r="G73" s="232">
        <v>45214</v>
      </c>
      <c r="H73" s="232">
        <v>45260</v>
      </c>
      <c r="I73" s="224">
        <v>1</v>
      </c>
      <c r="J73" s="224" t="s">
        <v>20</v>
      </c>
      <c r="K73" s="227" t="s">
        <v>21</v>
      </c>
      <c r="L73" s="236" t="s">
        <v>27</v>
      </c>
      <c r="M73" s="237">
        <v>6500000</v>
      </c>
      <c r="N73" s="250" t="s">
        <v>28</v>
      </c>
      <c r="O73" s="230" t="s">
        <v>29</v>
      </c>
      <c r="P73" s="238" t="s">
        <v>364</v>
      </c>
    </row>
    <row r="74" spans="1:16" ht="45" x14ac:dyDescent="0.3">
      <c r="A74" s="222">
        <v>2023914</v>
      </c>
      <c r="B74" s="222" t="s">
        <v>17</v>
      </c>
      <c r="C74" s="229" t="s">
        <v>17</v>
      </c>
      <c r="D74" s="230" t="s">
        <v>47</v>
      </c>
      <c r="E74" s="230">
        <v>80111600</v>
      </c>
      <c r="F74" s="230" t="s">
        <v>439</v>
      </c>
      <c r="G74" s="232">
        <v>45217</v>
      </c>
      <c r="H74" s="232">
        <v>45217</v>
      </c>
      <c r="I74" s="224">
        <v>2.5</v>
      </c>
      <c r="J74" s="224" t="s">
        <v>20</v>
      </c>
      <c r="K74" s="227" t="s">
        <v>21</v>
      </c>
      <c r="L74" s="224" t="s">
        <v>23</v>
      </c>
      <c r="M74" s="237">
        <v>13750000</v>
      </c>
      <c r="N74" s="250" t="s">
        <v>23</v>
      </c>
      <c r="O74" s="230" t="s">
        <v>23</v>
      </c>
      <c r="P74" s="238" t="s">
        <v>364</v>
      </c>
    </row>
    <row r="75" spans="1:16" ht="60" x14ac:dyDescent="0.3">
      <c r="A75" s="2">
        <v>2023002</v>
      </c>
      <c r="B75" s="2">
        <v>7655</v>
      </c>
      <c r="C75" s="3" t="s">
        <v>25</v>
      </c>
      <c r="D75" s="191" t="s">
        <v>18</v>
      </c>
      <c r="E75" s="192">
        <v>80111600</v>
      </c>
      <c r="F75" s="191" t="s">
        <v>35</v>
      </c>
      <c r="G75" s="204">
        <v>44927</v>
      </c>
      <c r="H75" s="193">
        <v>44941</v>
      </c>
      <c r="I75" s="205">
        <v>8</v>
      </c>
      <c r="J75" s="191" t="s">
        <v>20</v>
      </c>
      <c r="K75" s="191" t="s">
        <v>21</v>
      </c>
      <c r="L75" s="191" t="s">
        <v>27</v>
      </c>
      <c r="M75" s="214">
        <f>56000000-10400000-4500000-6100000-159040</f>
        <v>34840960</v>
      </c>
      <c r="N75" s="192" t="s">
        <v>28</v>
      </c>
      <c r="O75" s="192" t="s">
        <v>29</v>
      </c>
      <c r="P75" s="192" t="s">
        <v>24</v>
      </c>
    </row>
    <row r="76" spans="1:16" ht="60" x14ac:dyDescent="0.3">
      <c r="A76" s="2">
        <v>2023004</v>
      </c>
      <c r="B76" s="2">
        <v>7655</v>
      </c>
      <c r="C76" s="3" t="s">
        <v>25</v>
      </c>
      <c r="D76" s="191" t="s">
        <v>18</v>
      </c>
      <c r="E76" s="192">
        <v>80111600</v>
      </c>
      <c r="F76" s="194" t="s">
        <v>36</v>
      </c>
      <c r="G76" s="204">
        <v>44927</v>
      </c>
      <c r="H76" s="193">
        <v>44941</v>
      </c>
      <c r="I76" s="205">
        <v>4</v>
      </c>
      <c r="J76" s="191" t="s">
        <v>20</v>
      </c>
      <c r="K76" s="191" t="s">
        <v>21</v>
      </c>
      <c r="L76" s="191" t="s">
        <v>27</v>
      </c>
      <c r="M76" s="214">
        <f>72000000-9000000-9000000-30000000</f>
        <v>24000000</v>
      </c>
      <c r="N76" s="192" t="s">
        <v>28</v>
      </c>
      <c r="O76" s="192" t="s">
        <v>29</v>
      </c>
      <c r="P76" s="194" t="s">
        <v>24</v>
      </c>
    </row>
    <row r="77" spans="1:16" ht="60" x14ac:dyDescent="0.3">
      <c r="A77" s="2">
        <v>2023005</v>
      </c>
      <c r="B77" s="2">
        <v>7655</v>
      </c>
      <c r="C77" s="3" t="s">
        <v>25</v>
      </c>
      <c r="D77" s="191" t="s">
        <v>18</v>
      </c>
      <c r="E77" s="192">
        <v>80111600</v>
      </c>
      <c r="F77" s="194" t="s">
        <v>687</v>
      </c>
      <c r="G77" s="193">
        <v>45103</v>
      </c>
      <c r="H77" s="193">
        <v>45103</v>
      </c>
      <c r="I77" s="205">
        <v>5</v>
      </c>
      <c r="J77" s="191" t="s">
        <v>20</v>
      </c>
      <c r="K77" s="191" t="s">
        <v>21</v>
      </c>
      <c r="L77" s="191" t="s">
        <v>27</v>
      </c>
      <c r="M77" s="214">
        <f>80750000-4750000-8000000-68000000+8400000+13750000-133334-241066</f>
        <v>21775600</v>
      </c>
      <c r="N77" s="192" t="s">
        <v>28</v>
      </c>
      <c r="O77" s="192" t="s">
        <v>29</v>
      </c>
      <c r="P77" s="194" t="s">
        <v>24</v>
      </c>
    </row>
    <row r="78" spans="1:16" ht="75" x14ac:dyDescent="0.3">
      <c r="A78" s="2">
        <v>2023006</v>
      </c>
      <c r="B78" s="2">
        <v>7655</v>
      </c>
      <c r="C78" s="3" t="s">
        <v>25</v>
      </c>
      <c r="D78" s="191" t="s">
        <v>18</v>
      </c>
      <c r="E78" s="192">
        <v>80111600</v>
      </c>
      <c r="F78" s="194" t="s">
        <v>37</v>
      </c>
      <c r="G78" s="193">
        <v>44927</v>
      </c>
      <c r="H78" s="193">
        <v>44941</v>
      </c>
      <c r="I78" s="205">
        <v>11</v>
      </c>
      <c r="J78" s="191" t="s">
        <v>20</v>
      </c>
      <c r="K78" s="191" t="s">
        <v>21</v>
      </c>
      <c r="L78" s="191" t="s">
        <v>27</v>
      </c>
      <c r="M78" s="214">
        <f>93500000-5500000</f>
        <v>88000000</v>
      </c>
      <c r="N78" s="192" t="s">
        <v>28</v>
      </c>
      <c r="O78" s="192" t="s">
        <v>29</v>
      </c>
      <c r="P78" s="194" t="s">
        <v>24</v>
      </c>
    </row>
    <row r="79" spans="1:16" ht="60" x14ac:dyDescent="0.3">
      <c r="A79" s="2">
        <v>2023007</v>
      </c>
      <c r="B79" s="2">
        <v>7655</v>
      </c>
      <c r="C79" s="3" t="s">
        <v>25</v>
      </c>
      <c r="D79" s="191" t="s">
        <v>18</v>
      </c>
      <c r="E79" s="192">
        <v>80111600</v>
      </c>
      <c r="F79" s="194" t="s">
        <v>38</v>
      </c>
      <c r="G79" s="193">
        <v>44927</v>
      </c>
      <c r="H79" s="193">
        <v>44941</v>
      </c>
      <c r="I79" s="205">
        <v>10</v>
      </c>
      <c r="J79" s="191" t="s">
        <v>20</v>
      </c>
      <c r="K79" s="191" t="s">
        <v>21</v>
      </c>
      <c r="L79" s="191" t="s">
        <v>27</v>
      </c>
      <c r="M79" s="214">
        <f>57200000-200000</f>
        <v>57000000</v>
      </c>
      <c r="N79" s="192" t="s">
        <v>28</v>
      </c>
      <c r="O79" s="192" t="s">
        <v>29</v>
      </c>
      <c r="P79" s="194" t="s">
        <v>24</v>
      </c>
    </row>
    <row r="80" spans="1:16" ht="75" x14ac:dyDescent="0.3">
      <c r="A80" s="2">
        <v>2023008</v>
      </c>
      <c r="B80" s="2">
        <v>7655</v>
      </c>
      <c r="C80" s="3" t="s">
        <v>25</v>
      </c>
      <c r="D80" s="191" t="s">
        <v>18</v>
      </c>
      <c r="E80" s="192">
        <v>80111600</v>
      </c>
      <c r="F80" s="194" t="s">
        <v>39</v>
      </c>
      <c r="G80" s="193">
        <v>44927</v>
      </c>
      <c r="H80" s="193">
        <v>44941</v>
      </c>
      <c r="I80" s="205">
        <v>10</v>
      </c>
      <c r="J80" s="191" t="s">
        <v>20</v>
      </c>
      <c r="K80" s="191" t="s">
        <v>21</v>
      </c>
      <c r="L80" s="191" t="s">
        <v>27</v>
      </c>
      <c r="M80" s="214">
        <f>72000000-12000000</f>
        <v>60000000</v>
      </c>
      <c r="N80" s="192" t="s">
        <v>28</v>
      </c>
      <c r="O80" s="192" t="s">
        <v>29</v>
      </c>
      <c r="P80" s="194" t="s">
        <v>24</v>
      </c>
    </row>
    <row r="81" spans="1:16" ht="90" x14ac:dyDescent="0.3">
      <c r="A81" s="2">
        <v>2023009</v>
      </c>
      <c r="B81" s="2">
        <v>7655</v>
      </c>
      <c r="C81" s="3" t="s">
        <v>25</v>
      </c>
      <c r="D81" s="191" t="s">
        <v>18</v>
      </c>
      <c r="E81" s="192">
        <v>80111600</v>
      </c>
      <c r="F81" s="194" t="s">
        <v>40</v>
      </c>
      <c r="G81" s="193">
        <v>44927</v>
      </c>
      <c r="H81" s="193">
        <v>44941</v>
      </c>
      <c r="I81" s="205">
        <v>10</v>
      </c>
      <c r="J81" s="191" t="s">
        <v>20</v>
      </c>
      <c r="K81" s="191" t="s">
        <v>21</v>
      </c>
      <c r="L81" s="191" t="s">
        <v>27</v>
      </c>
      <c r="M81" s="214">
        <f>52000000+5000000</f>
        <v>57000000</v>
      </c>
      <c r="N81" s="192" t="s">
        <v>28</v>
      </c>
      <c r="O81" s="192" t="s">
        <v>29</v>
      </c>
      <c r="P81" s="194" t="s">
        <v>24</v>
      </c>
    </row>
    <row r="82" spans="1:16" ht="75" x14ac:dyDescent="0.3">
      <c r="A82" s="2">
        <v>2023011</v>
      </c>
      <c r="B82" s="2">
        <v>7655</v>
      </c>
      <c r="C82" s="3" t="s">
        <v>25</v>
      </c>
      <c r="D82" s="191" t="s">
        <v>18</v>
      </c>
      <c r="E82" s="192">
        <v>80111600</v>
      </c>
      <c r="F82" s="194" t="s">
        <v>41</v>
      </c>
      <c r="G82" s="193">
        <v>44927</v>
      </c>
      <c r="H82" s="193">
        <v>44941</v>
      </c>
      <c r="I82" s="205">
        <v>4</v>
      </c>
      <c r="J82" s="191" t="s">
        <v>20</v>
      </c>
      <c r="K82" s="191" t="s">
        <v>21</v>
      </c>
      <c r="L82" s="191" t="s">
        <v>27</v>
      </c>
      <c r="M82" s="214">
        <f>57200000-33200000-12000000</f>
        <v>12000000</v>
      </c>
      <c r="N82" s="192" t="s">
        <v>28</v>
      </c>
      <c r="O82" s="192" t="s">
        <v>29</v>
      </c>
      <c r="P82" s="194" t="s">
        <v>24</v>
      </c>
    </row>
    <row r="83" spans="1:16" ht="60" x14ac:dyDescent="0.3">
      <c r="A83" s="2">
        <v>2023012</v>
      </c>
      <c r="B83" s="2">
        <v>7655</v>
      </c>
      <c r="C83" s="3" t="s">
        <v>25</v>
      </c>
      <c r="D83" s="191" t="s">
        <v>18</v>
      </c>
      <c r="E83" s="192">
        <v>80111600</v>
      </c>
      <c r="F83" s="194" t="s">
        <v>42</v>
      </c>
      <c r="G83" s="193">
        <v>44927</v>
      </c>
      <c r="H83" s="193">
        <v>44941</v>
      </c>
      <c r="I83" s="205">
        <v>7</v>
      </c>
      <c r="J83" s="191" t="s">
        <v>20</v>
      </c>
      <c r="K83" s="191" t="s">
        <v>21</v>
      </c>
      <c r="L83" s="191" t="s">
        <v>27</v>
      </c>
      <c r="M83" s="214">
        <f>56700000+6300000-18900000+12600000</f>
        <v>56700000</v>
      </c>
      <c r="N83" s="192" t="s">
        <v>28</v>
      </c>
      <c r="O83" s="192" t="s">
        <v>29</v>
      </c>
      <c r="P83" s="194" t="s">
        <v>24</v>
      </c>
    </row>
    <row r="84" spans="1:16" ht="60" x14ac:dyDescent="0.3">
      <c r="A84" s="2">
        <v>2023013</v>
      </c>
      <c r="B84" s="2">
        <v>7655</v>
      </c>
      <c r="C84" s="3" t="s">
        <v>25</v>
      </c>
      <c r="D84" s="191" t="s">
        <v>18</v>
      </c>
      <c r="E84" s="192">
        <v>80111600</v>
      </c>
      <c r="F84" s="194" t="s">
        <v>43</v>
      </c>
      <c r="G84" s="193">
        <v>44927</v>
      </c>
      <c r="H84" s="193">
        <v>44941</v>
      </c>
      <c r="I84" s="205">
        <v>4</v>
      </c>
      <c r="J84" s="191" t="s">
        <v>20</v>
      </c>
      <c r="K84" s="191" t="s">
        <v>21</v>
      </c>
      <c r="L84" s="191" t="s">
        <v>27</v>
      </c>
      <c r="M84" s="214">
        <f>52000000-31200000</f>
        <v>20800000</v>
      </c>
      <c r="N84" s="192" t="s">
        <v>28</v>
      </c>
      <c r="O84" s="192" t="s">
        <v>29</v>
      </c>
      <c r="P84" s="194" t="s">
        <v>24</v>
      </c>
    </row>
    <row r="85" spans="1:16" ht="60" x14ac:dyDescent="0.3">
      <c r="A85" s="2">
        <v>2023014</v>
      </c>
      <c r="B85" s="2">
        <v>7655</v>
      </c>
      <c r="C85" s="3" t="s">
        <v>25</v>
      </c>
      <c r="D85" s="191" t="s">
        <v>18</v>
      </c>
      <c r="E85" s="192">
        <v>80111600</v>
      </c>
      <c r="F85" s="194" t="s">
        <v>44</v>
      </c>
      <c r="G85" s="193">
        <v>44927</v>
      </c>
      <c r="H85" s="193">
        <v>44941</v>
      </c>
      <c r="I85" s="191">
        <v>11</v>
      </c>
      <c r="J85" s="191" t="s">
        <v>20</v>
      </c>
      <c r="K85" s="191" t="s">
        <v>21</v>
      </c>
      <c r="L85" s="191" t="s">
        <v>27</v>
      </c>
      <c r="M85" s="214">
        <f>57200000+3300000</f>
        <v>60500000</v>
      </c>
      <c r="N85" s="192" t="s">
        <v>28</v>
      </c>
      <c r="O85" s="192" t="s">
        <v>29</v>
      </c>
      <c r="P85" s="241" t="s">
        <v>24</v>
      </c>
    </row>
    <row r="86" spans="1:16" ht="60" x14ac:dyDescent="0.3">
      <c r="A86" s="2">
        <v>2023015</v>
      </c>
      <c r="B86" s="2">
        <v>7655</v>
      </c>
      <c r="C86" s="3" t="s">
        <v>25</v>
      </c>
      <c r="D86" s="191" t="s">
        <v>18</v>
      </c>
      <c r="E86" s="192">
        <v>80111600</v>
      </c>
      <c r="F86" s="194" t="s">
        <v>688</v>
      </c>
      <c r="G86" s="193">
        <v>45103</v>
      </c>
      <c r="H86" s="193">
        <v>45103</v>
      </c>
      <c r="I86" s="191">
        <v>6</v>
      </c>
      <c r="J86" s="191" t="s">
        <v>20</v>
      </c>
      <c r="K86" s="191" t="s">
        <v>21</v>
      </c>
      <c r="L86" s="191" t="s">
        <v>27</v>
      </c>
      <c r="M86" s="214">
        <f>16600000+53150000+56300000-75350000-50700000+31200000</f>
        <v>31200000</v>
      </c>
      <c r="N86" s="192" t="s">
        <v>28</v>
      </c>
      <c r="O86" s="192" t="s">
        <v>29</v>
      </c>
      <c r="P86" s="191" t="s">
        <v>24</v>
      </c>
    </row>
    <row r="87" spans="1:16" ht="75" x14ac:dyDescent="0.3">
      <c r="A87" s="2">
        <v>2023017</v>
      </c>
      <c r="B87" s="2">
        <v>7655</v>
      </c>
      <c r="C87" s="3" t="s">
        <v>25</v>
      </c>
      <c r="D87" s="191" t="s">
        <v>47</v>
      </c>
      <c r="E87" s="192">
        <v>80111600</v>
      </c>
      <c r="F87" s="191" t="s">
        <v>48</v>
      </c>
      <c r="G87" s="193">
        <v>45021</v>
      </c>
      <c r="H87" s="193">
        <v>45021</v>
      </c>
      <c r="I87" s="191">
        <v>9</v>
      </c>
      <c r="J87" s="191" t="s">
        <v>20</v>
      </c>
      <c r="K87" s="195" t="s">
        <v>21</v>
      </c>
      <c r="L87" s="191" t="s">
        <v>27</v>
      </c>
      <c r="M87" s="214">
        <f>63000000+33240866+13750000-16065000-15300000-7848000-12750000-2027866</f>
        <v>56000000</v>
      </c>
      <c r="N87" s="192" t="s">
        <v>28</v>
      </c>
      <c r="O87" s="192" t="s">
        <v>29</v>
      </c>
      <c r="P87" s="192" t="s">
        <v>24</v>
      </c>
    </row>
    <row r="88" spans="1:16" ht="60" x14ac:dyDescent="0.3">
      <c r="A88" s="2">
        <v>2023018</v>
      </c>
      <c r="B88" s="2">
        <v>7655</v>
      </c>
      <c r="C88" s="3" t="s">
        <v>25</v>
      </c>
      <c r="D88" s="191" t="s">
        <v>47</v>
      </c>
      <c r="E88" s="192">
        <v>80111600</v>
      </c>
      <c r="F88" s="191" t="s">
        <v>49</v>
      </c>
      <c r="G88" s="193">
        <v>45017</v>
      </c>
      <c r="H88" s="193">
        <v>45017</v>
      </c>
      <c r="I88" s="191">
        <v>7</v>
      </c>
      <c r="J88" s="191" t="s">
        <v>20</v>
      </c>
      <c r="K88" s="195" t="s">
        <v>21</v>
      </c>
      <c r="L88" s="191" t="s">
        <v>50</v>
      </c>
      <c r="M88" s="214">
        <f>53550000-777134-12300000-2222866</f>
        <v>38250000</v>
      </c>
      <c r="N88" s="192" t="s">
        <v>28</v>
      </c>
      <c r="O88" s="192" t="s">
        <v>29</v>
      </c>
      <c r="P88" s="192" t="s">
        <v>24</v>
      </c>
    </row>
    <row r="89" spans="1:16" ht="60" x14ac:dyDescent="0.3">
      <c r="A89" s="2">
        <v>2023019</v>
      </c>
      <c r="B89" s="2">
        <v>7655</v>
      </c>
      <c r="C89" s="3" t="s">
        <v>25</v>
      </c>
      <c r="D89" s="191" t="s">
        <v>47</v>
      </c>
      <c r="E89" s="192">
        <v>80111600</v>
      </c>
      <c r="F89" s="191" t="s">
        <v>51</v>
      </c>
      <c r="G89" s="193">
        <v>45026</v>
      </c>
      <c r="H89" s="193">
        <v>45026</v>
      </c>
      <c r="I89" s="191">
        <v>7</v>
      </c>
      <c r="J89" s="191" t="s">
        <v>20</v>
      </c>
      <c r="K89" s="195" t="s">
        <v>21</v>
      </c>
      <c r="L89" s="191" t="s">
        <v>50</v>
      </c>
      <c r="M89" s="214">
        <f>53550000-3327134-4322866</f>
        <v>45900000</v>
      </c>
      <c r="N89" s="192" t="s">
        <v>28</v>
      </c>
      <c r="O89" s="192" t="s">
        <v>29</v>
      </c>
      <c r="P89" s="192" t="s">
        <v>24</v>
      </c>
    </row>
    <row r="90" spans="1:16" ht="60" x14ac:dyDescent="0.3">
      <c r="A90" s="2">
        <v>2023020</v>
      </c>
      <c r="B90" s="2">
        <v>7655</v>
      </c>
      <c r="C90" s="3" t="s">
        <v>25</v>
      </c>
      <c r="D90" s="191" t="s">
        <v>47</v>
      </c>
      <c r="E90" s="192">
        <v>80111600</v>
      </c>
      <c r="F90" s="191" t="s">
        <v>49</v>
      </c>
      <c r="G90" s="193">
        <v>45021</v>
      </c>
      <c r="H90" s="193">
        <v>45021</v>
      </c>
      <c r="I90" s="191">
        <v>7</v>
      </c>
      <c r="J90" s="191" t="s">
        <v>20</v>
      </c>
      <c r="K90" s="195" t="s">
        <v>21</v>
      </c>
      <c r="L90" s="191" t="s">
        <v>50</v>
      </c>
      <c r="M90" s="214">
        <v>53550000</v>
      </c>
      <c r="N90" s="192" t="s">
        <v>28</v>
      </c>
      <c r="O90" s="192" t="s">
        <v>29</v>
      </c>
      <c r="P90" s="192" t="s">
        <v>24</v>
      </c>
    </row>
    <row r="91" spans="1:16" ht="60" x14ac:dyDescent="0.3">
      <c r="A91" s="2">
        <v>2023021</v>
      </c>
      <c r="B91" s="2">
        <v>7655</v>
      </c>
      <c r="C91" s="3" t="s">
        <v>25</v>
      </c>
      <c r="D91" s="191" t="s">
        <v>47</v>
      </c>
      <c r="E91" s="192">
        <v>80111600</v>
      </c>
      <c r="F91" s="191" t="s">
        <v>49</v>
      </c>
      <c r="G91" s="193">
        <v>45021</v>
      </c>
      <c r="H91" s="193">
        <v>45021</v>
      </c>
      <c r="I91" s="191">
        <v>6</v>
      </c>
      <c r="J91" s="191" t="s">
        <v>20</v>
      </c>
      <c r="K91" s="195" t="s">
        <v>21</v>
      </c>
      <c r="L91" s="191" t="s">
        <v>50</v>
      </c>
      <c r="M91" s="214">
        <f>45900000-30600000</f>
        <v>15300000</v>
      </c>
      <c r="N91" s="192" t="s">
        <v>28</v>
      </c>
      <c r="O91" s="192" t="s">
        <v>29</v>
      </c>
      <c r="P91" s="192" t="s">
        <v>24</v>
      </c>
    </row>
    <row r="92" spans="1:16" ht="75" x14ac:dyDescent="0.3">
      <c r="A92" s="2">
        <v>2023022</v>
      </c>
      <c r="B92" s="2">
        <v>7655</v>
      </c>
      <c r="C92" s="3" t="s">
        <v>25</v>
      </c>
      <c r="D92" s="191" t="s">
        <v>47</v>
      </c>
      <c r="E92" s="192">
        <v>80111600</v>
      </c>
      <c r="F92" s="191" t="s">
        <v>52</v>
      </c>
      <c r="G92" s="193">
        <v>45021</v>
      </c>
      <c r="H92" s="193">
        <v>45021</v>
      </c>
      <c r="I92" s="191">
        <v>6</v>
      </c>
      <c r="J92" s="191" t="s">
        <v>20</v>
      </c>
      <c r="K92" s="195" t="s">
        <v>21</v>
      </c>
      <c r="L92" s="191" t="s">
        <v>50</v>
      </c>
      <c r="M92" s="214">
        <v>45900000</v>
      </c>
      <c r="N92" s="192" t="s">
        <v>28</v>
      </c>
      <c r="O92" s="192" t="s">
        <v>29</v>
      </c>
      <c r="P92" s="192" t="s">
        <v>24</v>
      </c>
    </row>
    <row r="93" spans="1:16" ht="60" x14ac:dyDescent="0.3">
      <c r="A93" s="2">
        <v>2023023</v>
      </c>
      <c r="B93" s="2">
        <v>7655</v>
      </c>
      <c r="C93" s="3" t="s">
        <v>25</v>
      </c>
      <c r="D93" s="191" t="s">
        <v>47</v>
      </c>
      <c r="E93" s="192">
        <v>80111600</v>
      </c>
      <c r="F93" s="191" t="s">
        <v>49</v>
      </c>
      <c r="G93" s="193">
        <v>45021</v>
      </c>
      <c r="H93" s="193">
        <v>45021</v>
      </c>
      <c r="I93" s="191">
        <v>8.5</v>
      </c>
      <c r="J93" s="191" t="s">
        <v>20</v>
      </c>
      <c r="K93" s="195" t="s">
        <v>21</v>
      </c>
      <c r="L93" s="191" t="s">
        <v>50</v>
      </c>
      <c r="M93" s="214">
        <f>34850000-3960467-2900000-3389533</f>
        <v>24600000</v>
      </c>
      <c r="N93" s="192" t="s">
        <v>28</v>
      </c>
      <c r="O93" s="192" t="s">
        <v>29</v>
      </c>
      <c r="P93" s="192" t="s">
        <v>24</v>
      </c>
    </row>
    <row r="94" spans="1:16" ht="60" x14ac:dyDescent="0.3">
      <c r="A94" s="2">
        <v>2023024</v>
      </c>
      <c r="B94" s="2">
        <v>7655</v>
      </c>
      <c r="C94" s="3" t="s">
        <v>25</v>
      </c>
      <c r="D94" s="191" t="s">
        <v>47</v>
      </c>
      <c r="E94" s="192">
        <v>80111600</v>
      </c>
      <c r="F94" s="191" t="s">
        <v>49</v>
      </c>
      <c r="G94" s="193">
        <v>45021</v>
      </c>
      <c r="H94" s="193">
        <v>45021</v>
      </c>
      <c r="I94" s="191">
        <v>8.5</v>
      </c>
      <c r="J94" s="191" t="s">
        <v>20</v>
      </c>
      <c r="K94" s="195" t="s">
        <v>21</v>
      </c>
      <c r="L94" s="191" t="s">
        <v>50</v>
      </c>
      <c r="M94" s="214">
        <f>38250000-2250000</f>
        <v>36000000</v>
      </c>
      <c r="N94" s="192" t="s">
        <v>28</v>
      </c>
      <c r="O94" s="192" t="s">
        <v>29</v>
      </c>
      <c r="P94" s="192" t="s">
        <v>24</v>
      </c>
    </row>
    <row r="95" spans="1:16" ht="60" x14ac:dyDescent="0.3">
      <c r="A95" s="2">
        <v>2023026</v>
      </c>
      <c r="B95" s="2">
        <v>7655</v>
      </c>
      <c r="C95" s="3" t="s">
        <v>25</v>
      </c>
      <c r="D95" s="191" t="s">
        <v>47</v>
      </c>
      <c r="E95" s="192">
        <v>80111600</v>
      </c>
      <c r="F95" s="191" t="s">
        <v>53</v>
      </c>
      <c r="G95" s="193">
        <v>44965</v>
      </c>
      <c r="H95" s="193">
        <v>44965</v>
      </c>
      <c r="I95" s="191">
        <v>9</v>
      </c>
      <c r="J95" s="191" t="s">
        <v>20</v>
      </c>
      <c r="K95" s="195" t="s">
        <v>21</v>
      </c>
      <c r="L95" s="191" t="s">
        <v>50</v>
      </c>
      <c r="M95" s="214">
        <f>256500000-3060467-1754533</f>
        <v>251685000</v>
      </c>
      <c r="N95" s="192" t="s">
        <v>28</v>
      </c>
      <c r="O95" s="192" t="s">
        <v>29</v>
      </c>
      <c r="P95" s="192" t="s">
        <v>24</v>
      </c>
    </row>
    <row r="96" spans="1:16" ht="60" x14ac:dyDescent="0.3">
      <c r="A96" s="2">
        <v>2023027</v>
      </c>
      <c r="B96" s="2">
        <v>7655</v>
      </c>
      <c r="C96" s="3" t="s">
        <v>25</v>
      </c>
      <c r="D96" s="191" t="s">
        <v>47</v>
      </c>
      <c r="E96" s="192">
        <v>80111600</v>
      </c>
      <c r="F96" s="191" t="s">
        <v>54</v>
      </c>
      <c r="G96" s="193">
        <v>45021</v>
      </c>
      <c r="H96" s="193">
        <v>45021</v>
      </c>
      <c r="I96" s="191">
        <v>9</v>
      </c>
      <c r="J96" s="191" t="s">
        <v>20</v>
      </c>
      <c r="K96" s="195" t="s">
        <v>21</v>
      </c>
      <c r="L96" s="191" t="s">
        <v>50</v>
      </c>
      <c r="M96" s="214">
        <f>31500000-1145467-5504533</f>
        <v>24850000</v>
      </c>
      <c r="N96" s="192" t="s">
        <v>28</v>
      </c>
      <c r="O96" s="192" t="s">
        <v>29</v>
      </c>
      <c r="P96" s="192" t="s">
        <v>24</v>
      </c>
    </row>
    <row r="97" spans="1:16" ht="60" x14ac:dyDescent="0.3">
      <c r="A97" s="2">
        <v>2023028</v>
      </c>
      <c r="B97" s="2">
        <v>7655</v>
      </c>
      <c r="C97" s="3" t="s">
        <v>25</v>
      </c>
      <c r="D97" s="191" t="s">
        <v>47</v>
      </c>
      <c r="E97" s="192">
        <v>80111600</v>
      </c>
      <c r="F97" s="191" t="s">
        <v>55</v>
      </c>
      <c r="G97" s="193">
        <v>45021</v>
      </c>
      <c r="H97" s="193">
        <v>45021</v>
      </c>
      <c r="I97" s="191">
        <v>7</v>
      </c>
      <c r="J97" s="191" t="s">
        <v>20</v>
      </c>
      <c r="K97" s="195" t="s">
        <v>21</v>
      </c>
      <c r="L97" s="191" t="s">
        <v>27</v>
      </c>
      <c r="M97" s="214">
        <f>20092500-1242500</f>
        <v>18850000</v>
      </c>
      <c r="N97" s="192" t="s">
        <v>28</v>
      </c>
      <c r="O97" s="192" t="s">
        <v>29</v>
      </c>
      <c r="P97" s="192" t="s">
        <v>24</v>
      </c>
    </row>
    <row r="98" spans="1:16" ht="60" x14ac:dyDescent="0.3">
      <c r="A98" s="2">
        <v>2023029</v>
      </c>
      <c r="B98" s="2">
        <v>7655</v>
      </c>
      <c r="C98" s="3" t="s">
        <v>25</v>
      </c>
      <c r="D98" s="191" t="s">
        <v>47</v>
      </c>
      <c r="E98" s="192">
        <v>80111600</v>
      </c>
      <c r="F98" s="191" t="s">
        <v>55</v>
      </c>
      <c r="G98" s="193">
        <v>45021</v>
      </c>
      <c r="H98" s="193">
        <v>45021</v>
      </c>
      <c r="I98" s="191">
        <v>8</v>
      </c>
      <c r="J98" s="191" t="s">
        <v>20</v>
      </c>
      <c r="K98" s="195" t="s">
        <v>21</v>
      </c>
      <c r="L98" s="191" t="s">
        <v>27</v>
      </c>
      <c r="M98" s="214">
        <f>22800000-4752967-647033</f>
        <v>17400000</v>
      </c>
      <c r="N98" s="192" t="s">
        <v>28</v>
      </c>
      <c r="O98" s="192" t="s">
        <v>29</v>
      </c>
      <c r="P98" s="192" t="s">
        <v>24</v>
      </c>
    </row>
    <row r="99" spans="1:16" ht="60" x14ac:dyDescent="0.3">
      <c r="A99" s="2">
        <v>2023030</v>
      </c>
      <c r="B99" s="2">
        <v>7655</v>
      </c>
      <c r="C99" s="3" t="s">
        <v>25</v>
      </c>
      <c r="D99" s="191" t="s">
        <v>47</v>
      </c>
      <c r="E99" s="192">
        <v>80111600</v>
      </c>
      <c r="F99" s="191" t="s">
        <v>55</v>
      </c>
      <c r="G99" s="193">
        <v>45021</v>
      </c>
      <c r="H99" s="193">
        <v>45021</v>
      </c>
      <c r="I99" s="191">
        <v>8</v>
      </c>
      <c r="J99" s="191" t="s">
        <v>20</v>
      </c>
      <c r="K99" s="195" t="s">
        <v>21</v>
      </c>
      <c r="L99" s="191" t="s">
        <v>27</v>
      </c>
      <c r="M99" s="214">
        <f>22800000-1902967-2047033</f>
        <v>18850000</v>
      </c>
      <c r="N99" s="192" t="s">
        <v>28</v>
      </c>
      <c r="O99" s="192" t="s">
        <v>29</v>
      </c>
      <c r="P99" s="192" t="s">
        <v>24</v>
      </c>
    </row>
    <row r="100" spans="1:16" ht="60" x14ac:dyDescent="0.3">
      <c r="A100" s="2">
        <v>2023031</v>
      </c>
      <c r="B100" s="2">
        <v>7655</v>
      </c>
      <c r="C100" s="3" t="s">
        <v>25</v>
      </c>
      <c r="D100" s="191" t="s">
        <v>47</v>
      </c>
      <c r="E100" s="192">
        <v>80111600</v>
      </c>
      <c r="F100" s="191" t="s">
        <v>49</v>
      </c>
      <c r="G100" s="193">
        <v>45021</v>
      </c>
      <c r="H100" s="193">
        <v>45021</v>
      </c>
      <c r="I100" s="191">
        <v>8.5</v>
      </c>
      <c r="J100" s="191" t="s">
        <v>20</v>
      </c>
      <c r="K100" s="195" t="s">
        <v>21</v>
      </c>
      <c r="L100" s="191" t="s">
        <v>50</v>
      </c>
      <c r="M100" s="214">
        <f>31518000-8152967-565033</f>
        <v>22800000</v>
      </c>
      <c r="N100" s="192" t="s">
        <v>28</v>
      </c>
      <c r="O100" s="192" t="s">
        <v>29</v>
      </c>
      <c r="P100" s="192" t="s">
        <v>24</v>
      </c>
    </row>
    <row r="101" spans="1:16" ht="60" x14ac:dyDescent="0.3">
      <c r="A101" s="2">
        <v>2023032</v>
      </c>
      <c r="B101" s="2">
        <v>7655</v>
      </c>
      <c r="C101" s="3" t="s">
        <v>25</v>
      </c>
      <c r="D101" s="191" t="s">
        <v>47</v>
      </c>
      <c r="E101" s="192">
        <v>80111600</v>
      </c>
      <c r="F101" s="191" t="s">
        <v>56</v>
      </c>
      <c r="G101" s="193">
        <v>45021</v>
      </c>
      <c r="H101" s="193">
        <v>45021</v>
      </c>
      <c r="I101" s="191">
        <v>7</v>
      </c>
      <c r="J101" s="191" t="s">
        <v>20</v>
      </c>
      <c r="K101" s="195" t="s">
        <v>21</v>
      </c>
      <c r="L101" s="191" t="s">
        <v>27</v>
      </c>
      <c r="M101" s="214">
        <v>35700000</v>
      </c>
      <c r="N101" s="192" t="s">
        <v>28</v>
      </c>
      <c r="O101" s="192" t="s">
        <v>29</v>
      </c>
      <c r="P101" s="192" t="s">
        <v>24</v>
      </c>
    </row>
    <row r="102" spans="1:16" ht="75" x14ac:dyDescent="0.3">
      <c r="A102" s="2">
        <v>2023033</v>
      </c>
      <c r="B102" s="2">
        <v>7655</v>
      </c>
      <c r="C102" s="3" t="s">
        <v>25</v>
      </c>
      <c r="D102" s="191" t="s">
        <v>47</v>
      </c>
      <c r="E102" s="192">
        <v>80111600</v>
      </c>
      <c r="F102" s="191" t="s">
        <v>57</v>
      </c>
      <c r="G102" s="193">
        <v>45021</v>
      </c>
      <c r="H102" s="193">
        <v>45021</v>
      </c>
      <c r="I102" s="191">
        <v>8</v>
      </c>
      <c r="J102" s="191" t="s">
        <v>20</v>
      </c>
      <c r="K102" s="195" t="s">
        <v>21</v>
      </c>
      <c r="L102" s="191" t="s">
        <v>50</v>
      </c>
      <c r="M102" s="214">
        <f>24800000-4400000</f>
        <v>20400000</v>
      </c>
      <c r="N102" s="192" t="s">
        <v>28</v>
      </c>
      <c r="O102" s="192" t="s">
        <v>29</v>
      </c>
      <c r="P102" s="192" t="s">
        <v>24</v>
      </c>
    </row>
    <row r="103" spans="1:16" ht="60" x14ac:dyDescent="0.3">
      <c r="A103" s="2">
        <v>2023034</v>
      </c>
      <c r="B103" s="2">
        <v>7655</v>
      </c>
      <c r="C103" s="3" t="s">
        <v>25</v>
      </c>
      <c r="D103" s="191" t="s">
        <v>47</v>
      </c>
      <c r="E103" s="192">
        <v>80111600</v>
      </c>
      <c r="F103" s="191" t="s">
        <v>58</v>
      </c>
      <c r="G103" s="193">
        <v>44965</v>
      </c>
      <c r="H103" s="193">
        <v>44965</v>
      </c>
      <c r="I103" s="191">
        <v>8</v>
      </c>
      <c r="J103" s="191" t="s">
        <v>20</v>
      </c>
      <c r="K103" s="195" t="s">
        <v>21</v>
      </c>
      <c r="L103" s="191" t="s">
        <v>50</v>
      </c>
      <c r="M103" s="214">
        <v>54000000</v>
      </c>
      <c r="N103" s="192" t="s">
        <v>28</v>
      </c>
      <c r="O103" s="192" t="s">
        <v>29</v>
      </c>
      <c r="P103" s="192" t="s">
        <v>24</v>
      </c>
    </row>
    <row r="104" spans="1:16" ht="60" x14ac:dyDescent="0.3">
      <c r="A104" s="2">
        <v>2023035</v>
      </c>
      <c r="B104" s="2">
        <v>7655</v>
      </c>
      <c r="C104" s="3" t="s">
        <v>25</v>
      </c>
      <c r="D104" s="191" t="s">
        <v>47</v>
      </c>
      <c r="E104" s="192">
        <v>80111600</v>
      </c>
      <c r="F104" s="191" t="s">
        <v>59</v>
      </c>
      <c r="G104" s="193">
        <v>45021</v>
      </c>
      <c r="H104" s="193">
        <v>45021</v>
      </c>
      <c r="I104" s="191">
        <v>8</v>
      </c>
      <c r="J104" s="191" t="s">
        <v>20</v>
      </c>
      <c r="K104" s="195" t="s">
        <v>21</v>
      </c>
      <c r="L104" s="191" t="s">
        <v>50</v>
      </c>
      <c r="M104" s="214">
        <f>25025000-4659967-1115033</f>
        <v>19250000</v>
      </c>
      <c r="N104" s="192" t="s">
        <v>28</v>
      </c>
      <c r="O104" s="192" t="s">
        <v>29</v>
      </c>
      <c r="P104" s="192" t="s">
        <v>24</v>
      </c>
    </row>
    <row r="105" spans="1:16" ht="75" x14ac:dyDescent="0.3">
      <c r="A105" s="2">
        <v>2023036</v>
      </c>
      <c r="B105" s="2">
        <v>7655</v>
      </c>
      <c r="C105" s="3" t="s">
        <v>25</v>
      </c>
      <c r="D105" s="191" t="s">
        <v>47</v>
      </c>
      <c r="E105" s="192">
        <v>80111600</v>
      </c>
      <c r="F105" s="191" t="s">
        <v>60</v>
      </c>
      <c r="G105" s="193">
        <v>45054</v>
      </c>
      <c r="H105" s="193">
        <v>45054</v>
      </c>
      <c r="I105" s="191">
        <v>8</v>
      </c>
      <c r="J105" s="191" t="s">
        <v>20</v>
      </c>
      <c r="K105" s="195" t="s">
        <v>21</v>
      </c>
      <c r="L105" s="191" t="s">
        <v>50</v>
      </c>
      <c r="M105" s="214">
        <f>18000000+22000000</f>
        <v>40000000</v>
      </c>
      <c r="N105" s="192" t="s">
        <v>28</v>
      </c>
      <c r="O105" s="192" t="s">
        <v>29</v>
      </c>
      <c r="P105" s="192" t="s">
        <v>24</v>
      </c>
    </row>
    <row r="106" spans="1:16" ht="60" x14ac:dyDescent="0.3">
      <c r="A106" s="2">
        <v>2023037</v>
      </c>
      <c r="B106" s="2">
        <v>7655</v>
      </c>
      <c r="C106" s="3" t="s">
        <v>25</v>
      </c>
      <c r="D106" s="191" t="s">
        <v>47</v>
      </c>
      <c r="E106" s="192">
        <v>80111600</v>
      </c>
      <c r="F106" s="191" t="s">
        <v>61</v>
      </c>
      <c r="G106" s="193">
        <v>44941</v>
      </c>
      <c r="H106" s="193">
        <v>44941</v>
      </c>
      <c r="I106" s="191">
        <v>12</v>
      </c>
      <c r="J106" s="191" t="s">
        <v>20</v>
      </c>
      <c r="K106" s="195" t="s">
        <v>21</v>
      </c>
      <c r="L106" s="191" t="s">
        <v>50</v>
      </c>
      <c r="M106" s="214">
        <f>37936634-451634</f>
        <v>37485000</v>
      </c>
      <c r="N106" s="192" t="s">
        <v>28</v>
      </c>
      <c r="O106" s="192" t="s">
        <v>29</v>
      </c>
      <c r="P106" s="192" t="s">
        <v>24</v>
      </c>
    </row>
    <row r="107" spans="1:16" ht="60" x14ac:dyDescent="0.3">
      <c r="A107" s="2">
        <v>2023038</v>
      </c>
      <c r="B107" s="2" t="s">
        <v>17</v>
      </c>
      <c r="C107" s="2" t="s">
        <v>17</v>
      </c>
      <c r="D107" s="191" t="s">
        <v>18</v>
      </c>
      <c r="E107" s="192" t="s">
        <v>62</v>
      </c>
      <c r="F107" s="191" t="s">
        <v>63</v>
      </c>
      <c r="G107" s="193">
        <v>44958</v>
      </c>
      <c r="H107" s="193">
        <v>45009</v>
      </c>
      <c r="I107" s="191">
        <v>12</v>
      </c>
      <c r="J107" s="191" t="s">
        <v>20</v>
      </c>
      <c r="K107" s="195" t="s">
        <v>21</v>
      </c>
      <c r="L107" s="191" t="s">
        <v>22</v>
      </c>
      <c r="M107" s="188">
        <f>19417000-3209200</f>
        <v>16207800</v>
      </c>
      <c r="N107" s="191" t="s">
        <v>23</v>
      </c>
      <c r="O107" s="191" t="s">
        <v>23</v>
      </c>
      <c r="P107" s="192" t="s">
        <v>24</v>
      </c>
    </row>
    <row r="108" spans="1:16" ht="60" x14ac:dyDescent="0.3">
      <c r="A108" s="2">
        <v>2023039</v>
      </c>
      <c r="B108" s="2" t="s">
        <v>17</v>
      </c>
      <c r="C108" s="2" t="s">
        <v>17</v>
      </c>
      <c r="D108" s="191" t="s">
        <v>18</v>
      </c>
      <c r="E108" s="192" t="s">
        <v>19</v>
      </c>
      <c r="F108" s="191" t="s">
        <v>709</v>
      </c>
      <c r="G108" s="193">
        <v>45149</v>
      </c>
      <c r="H108" s="193">
        <v>45163</v>
      </c>
      <c r="I108" s="191">
        <v>4</v>
      </c>
      <c r="J108" s="191" t="s">
        <v>20</v>
      </c>
      <c r="K108" s="195" t="s">
        <v>21</v>
      </c>
      <c r="L108" s="191" t="s">
        <v>22</v>
      </c>
      <c r="M108" s="188">
        <f>37000000</f>
        <v>37000000</v>
      </c>
      <c r="N108" s="191" t="s">
        <v>23</v>
      </c>
      <c r="O108" s="191" t="s">
        <v>23</v>
      </c>
      <c r="P108" s="192" t="s">
        <v>24</v>
      </c>
    </row>
    <row r="109" spans="1:16" ht="60" x14ac:dyDescent="0.3">
      <c r="A109" s="2">
        <v>2023040</v>
      </c>
      <c r="B109" s="2" t="s">
        <v>17</v>
      </c>
      <c r="C109" s="2" t="s">
        <v>17</v>
      </c>
      <c r="D109" s="191" t="s">
        <v>18</v>
      </c>
      <c r="E109" s="192" t="s">
        <v>64</v>
      </c>
      <c r="F109" s="191" t="s">
        <v>65</v>
      </c>
      <c r="G109" s="193">
        <v>45138</v>
      </c>
      <c r="H109" s="193">
        <v>45152</v>
      </c>
      <c r="I109" s="191">
        <v>12</v>
      </c>
      <c r="J109" s="191" t="s">
        <v>66</v>
      </c>
      <c r="K109" s="195" t="s">
        <v>21</v>
      </c>
      <c r="L109" s="191" t="s">
        <v>22</v>
      </c>
      <c r="M109" s="188">
        <v>35000000</v>
      </c>
      <c r="N109" s="191" t="s">
        <v>23</v>
      </c>
      <c r="O109" s="191" t="s">
        <v>23</v>
      </c>
      <c r="P109" s="192" t="s">
        <v>24</v>
      </c>
    </row>
    <row r="110" spans="1:16" ht="60" x14ac:dyDescent="0.3">
      <c r="A110" s="2">
        <v>2023041</v>
      </c>
      <c r="B110" s="2" t="s">
        <v>17</v>
      </c>
      <c r="C110" s="2" t="s">
        <v>17</v>
      </c>
      <c r="D110" s="191" t="s">
        <v>18</v>
      </c>
      <c r="E110" s="192" t="s">
        <v>67</v>
      </c>
      <c r="F110" s="191" t="s">
        <v>68</v>
      </c>
      <c r="G110" s="193">
        <v>44927</v>
      </c>
      <c r="H110" s="193">
        <v>44958</v>
      </c>
      <c r="I110" s="191">
        <v>6</v>
      </c>
      <c r="J110" s="191" t="s">
        <v>66</v>
      </c>
      <c r="K110" s="195" t="s">
        <v>21</v>
      </c>
      <c r="L110" s="191" t="s">
        <v>69</v>
      </c>
      <c r="M110" s="188">
        <f>300000000-19800000-25000000-91323067</f>
        <v>163876933</v>
      </c>
      <c r="N110" s="191" t="s">
        <v>23</v>
      </c>
      <c r="O110" s="191" t="s">
        <v>23</v>
      </c>
      <c r="P110" s="192" t="s">
        <v>24</v>
      </c>
    </row>
    <row r="111" spans="1:16" ht="45" x14ac:dyDescent="0.3">
      <c r="A111" s="2">
        <v>2023042</v>
      </c>
      <c r="B111" s="2" t="s">
        <v>17</v>
      </c>
      <c r="C111" s="2" t="s">
        <v>17</v>
      </c>
      <c r="D111" s="191" t="s">
        <v>18</v>
      </c>
      <c r="E111" s="192" t="s">
        <v>70</v>
      </c>
      <c r="F111" s="191" t="s">
        <v>71</v>
      </c>
      <c r="G111" s="193">
        <v>44986</v>
      </c>
      <c r="H111" s="193">
        <v>45078</v>
      </c>
      <c r="I111" s="191">
        <v>12</v>
      </c>
      <c r="J111" s="191" t="s">
        <v>20</v>
      </c>
      <c r="K111" s="195" t="s">
        <v>21</v>
      </c>
      <c r="L111" s="191" t="s">
        <v>72</v>
      </c>
      <c r="M111" s="188">
        <f>305103000-21000000-4103000</f>
        <v>280000000</v>
      </c>
      <c r="N111" s="191" t="s">
        <v>23</v>
      </c>
      <c r="O111" s="191" t="s">
        <v>23</v>
      </c>
      <c r="P111" s="192" t="s">
        <v>24</v>
      </c>
    </row>
    <row r="112" spans="1:16" ht="75" x14ac:dyDescent="0.3">
      <c r="A112" s="2">
        <v>2023043</v>
      </c>
      <c r="B112" s="2">
        <v>7637</v>
      </c>
      <c r="C112" s="3" t="s">
        <v>73</v>
      </c>
      <c r="D112" s="191" t="s">
        <v>18</v>
      </c>
      <c r="E112" s="192">
        <v>80111600</v>
      </c>
      <c r="F112" s="191" t="s">
        <v>74</v>
      </c>
      <c r="G112" s="193">
        <v>44927</v>
      </c>
      <c r="H112" s="193">
        <v>44941</v>
      </c>
      <c r="I112" s="191">
        <v>11</v>
      </c>
      <c r="J112" s="191" t="s">
        <v>20</v>
      </c>
      <c r="K112" s="195" t="s">
        <v>21</v>
      </c>
      <c r="L112" s="191" t="s">
        <v>27</v>
      </c>
      <c r="M112" s="188">
        <v>77000000</v>
      </c>
      <c r="N112" s="192" t="s">
        <v>75</v>
      </c>
      <c r="O112" s="192" t="s">
        <v>76</v>
      </c>
      <c r="P112" s="192" t="s">
        <v>24</v>
      </c>
    </row>
    <row r="113" spans="1:16" ht="75" x14ac:dyDescent="0.3">
      <c r="A113" s="2">
        <v>2023044</v>
      </c>
      <c r="B113" s="2">
        <v>7637</v>
      </c>
      <c r="C113" s="3" t="s">
        <v>73</v>
      </c>
      <c r="D113" s="191" t="s">
        <v>18</v>
      </c>
      <c r="E113" s="192">
        <v>80111600</v>
      </c>
      <c r="F113" s="191" t="s">
        <v>77</v>
      </c>
      <c r="G113" s="193">
        <v>44927</v>
      </c>
      <c r="H113" s="193">
        <v>44941</v>
      </c>
      <c r="I113" s="191">
        <v>7</v>
      </c>
      <c r="J113" s="191" t="s">
        <v>20</v>
      </c>
      <c r="K113" s="195" t="s">
        <v>21</v>
      </c>
      <c r="L113" s="191" t="s">
        <v>27</v>
      </c>
      <c r="M113" s="188">
        <v>32900000</v>
      </c>
      <c r="N113" s="192" t="s">
        <v>75</v>
      </c>
      <c r="O113" s="192" t="s">
        <v>76</v>
      </c>
      <c r="P113" s="192" t="s">
        <v>24</v>
      </c>
    </row>
    <row r="114" spans="1:16" ht="75" x14ac:dyDescent="0.3">
      <c r="A114" s="2">
        <v>2023045</v>
      </c>
      <c r="B114" s="2">
        <v>7637</v>
      </c>
      <c r="C114" s="3" t="s">
        <v>73</v>
      </c>
      <c r="D114" s="191" t="s">
        <v>18</v>
      </c>
      <c r="E114" s="192">
        <v>80111600</v>
      </c>
      <c r="F114" s="194" t="s">
        <v>78</v>
      </c>
      <c r="G114" s="193">
        <v>45078</v>
      </c>
      <c r="H114" s="193">
        <v>45092</v>
      </c>
      <c r="I114" s="191">
        <v>7</v>
      </c>
      <c r="J114" s="191" t="s">
        <v>20</v>
      </c>
      <c r="K114" s="195" t="s">
        <v>21</v>
      </c>
      <c r="L114" s="191" t="s">
        <v>27</v>
      </c>
      <c r="M114" s="188">
        <f>22000000-6800000+10000000+1400000-73500</f>
        <v>26526500</v>
      </c>
      <c r="N114" s="192" t="s">
        <v>75</v>
      </c>
      <c r="O114" s="192" t="s">
        <v>76</v>
      </c>
      <c r="P114" s="192" t="s">
        <v>24</v>
      </c>
    </row>
    <row r="115" spans="1:16" ht="75" x14ac:dyDescent="0.3">
      <c r="A115" s="2">
        <v>2023046</v>
      </c>
      <c r="B115" s="2">
        <v>7637</v>
      </c>
      <c r="C115" s="3" t="s">
        <v>73</v>
      </c>
      <c r="D115" s="191" t="s">
        <v>18</v>
      </c>
      <c r="E115" s="192">
        <v>80111600</v>
      </c>
      <c r="F115" s="192" t="s">
        <v>79</v>
      </c>
      <c r="G115" s="193">
        <v>44927</v>
      </c>
      <c r="H115" s="193">
        <v>44941</v>
      </c>
      <c r="I115" s="191">
        <v>4</v>
      </c>
      <c r="J115" s="191" t="s">
        <v>20</v>
      </c>
      <c r="K115" s="195" t="s">
        <v>21</v>
      </c>
      <c r="L115" s="191" t="s">
        <v>27</v>
      </c>
      <c r="M115" s="188">
        <f>20100000-6700000</f>
        <v>13400000</v>
      </c>
      <c r="N115" s="192" t="s">
        <v>75</v>
      </c>
      <c r="O115" s="192" t="s">
        <v>76</v>
      </c>
      <c r="P115" s="192" t="s">
        <v>24</v>
      </c>
    </row>
    <row r="116" spans="1:16" ht="75" x14ac:dyDescent="0.3">
      <c r="A116" s="2">
        <v>2023047</v>
      </c>
      <c r="B116" s="2">
        <v>7637</v>
      </c>
      <c r="C116" s="3" t="s">
        <v>73</v>
      </c>
      <c r="D116" s="191" t="s">
        <v>18</v>
      </c>
      <c r="E116" s="192">
        <v>80111600</v>
      </c>
      <c r="F116" s="191" t="s">
        <v>80</v>
      </c>
      <c r="G116" s="193">
        <v>44927</v>
      </c>
      <c r="H116" s="193">
        <v>44941</v>
      </c>
      <c r="I116" s="191">
        <v>4</v>
      </c>
      <c r="J116" s="191" t="s">
        <v>20</v>
      </c>
      <c r="K116" s="195" t="s">
        <v>21</v>
      </c>
      <c r="L116" s="191" t="s">
        <v>27</v>
      </c>
      <c r="M116" s="188">
        <f>68000000-40800000</f>
        <v>27200000</v>
      </c>
      <c r="N116" s="192" t="s">
        <v>75</v>
      </c>
      <c r="O116" s="192" t="s">
        <v>76</v>
      </c>
      <c r="P116" s="192" t="s">
        <v>24</v>
      </c>
    </row>
    <row r="117" spans="1:16" ht="75" x14ac:dyDescent="0.3">
      <c r="A117" s="2">
        <v>2023048</v>
      </c>
      <c r="B117" s="2">
        <v>7637</v>
      </c>
      <c r="C117" s="3" t="s">
        <v>73</v>
      </c>
      <c r="D117" s="191" t="s">
        <v>18</v>
      </c>
      <c r="E117" s="192">
        <v>80111600</v>
      </c>
      <c r="F117" s="191" t="s">
        <v>81</v>
      </c>
      <c r="G117" s="193">
        <v>44927</v>
      </c>
      <c r="H117" s="193">
        <v>44941</v>
      </c>
      <c r="I117" s="191">
        <v>4</v>
      </c>
      <c r="J117" s="191" t="s">
        <v>20</v>
      </c>
      <c r="K117" s="195" t="s">
        <v>21</v>
      </c>
      <c r="L117" s="191" t="s">
        <v>27</v>
      </c>
      <c r="M117" s="188">
        <f>68000000-40800000</f>
        <v>27200000</v>
      </c>
      <c r="N117" s="192" t="s">
        <v>75</v>
      </c>
      <c r="O117" s="192" t="s">
        <v>76</v>
      </c>
      <c r="P117" s="192" t="s">
        <v>24</v>
      </c>
    </row>
    <row r="118" spans="1:16" ht="75" x14ac:dyDescent="0.3">
      <c r="A118" s="2">
        <v>2023049</v>
      </c>
      <c r="B118" s="2">
        <v>7637</v>
      </c>
      <c r="C118" s="3" t="s">
        <v>73</v>
      </c>
      <c r="D118" s="191" t="s">
        <v>18</v>
      </c>
      <c r="E118" s="192">
        <v>80111600</v>
      </c>
      <c r="F118" s="191" t="s">
        <v>82</v>
      </c>
      <c r="G118" s="193">
        <v>44927</v>
      </c>
      <c r="H118" s="193">
        <v>44941</v>
      </c>
      <c r="I118" s="191">
        <v>10</v>
      </c>
      <c r="J118" s="191" t="s">
        <v>20</v>
      </c>
      <c r="K118" s="195" t="s">
        <v>21</v>
      </c>
      <c r="L118" s="191" t="s">
        <v>27</v>
      </c>
      <c r="M118" s="188">
        <f>65000000-39000000</f>
        <v>26000000</v>
      </c>
      <c r="N118" s="192" t="s">
        <v>75</v>
      </c>
      <c r="O118" s="192" t="s">
        <v>76</v>
      </c>
      <c r="P118" s="192" t="s">
        <v>24</v>
      </c>
    </row>
    <row r="119" spans="1:16" ht="90" x14ac:dyDescent="0.3">
      <c r="A119" s="2">
        <v>2023050</v>
      </c>
      <c r="B119" s="2">
        <v>7637</v>
      </c>
      <c r="C119" s="3" t="s">
        <v>73</v>
      </c>
      <c r="D119" s="191" t="s">
        <v>18</v>
      </c>
      <c r="E119" s="192">
        <v>80111600</v>
      </c>
      <c r="F119" s="191" t="s">
        <v>83</v>
      </c>
      <c r="G119" s="193">
        <v>44927</v>
      </c>
      <c r="H119" s="193">
        <v>44941</v>
      </c>
      <c r="I119" s="191">
        <v>11</v>
      </c>
      <c r="J119" s="191" t="s">
        <v>20</v>
      </c>
      <c r="K119" s="195" t="s">
        <v>21</v>
      </c>
      <c r="L119" s="191" t="s">
        <v>27</v>
      </c>
      <c r="M119" s="188">
        <f>77000000+5500000</f>
        <v>82500000</v>
      </c>
      <c r="N119" s="192" t="s">
        <v>75</v>
      </c>
      <c r="O119" s="192" t="s">
        <v>76</v>
      </c>
      <c r="P119" s="192" t="s">
        <v>24</v>
      </c>
    </row>
    <row r="120" spans="1:16" ht="75" x14ac:dyDescent="0.3">
      <c r="A120" s="2">
        <v>2023051</v>
      </c>
      <c r="B120" s="2">
        <v>7637</v>
      </c>
      <c r="C120" s="3" t="s">
        <v>73</v>
      </c>
      <c r="D120" s="191" t="s">
        <v>18</v>
      </c>
      <c r="E120" s="192">
        <v>80111600</v>
      </c>
      <c r="F120" s="191" t="s">
        <v>84</v>
      </c>
      <c r="G120" s="193">
        <v>44927</v>
      </c>
      <c r="H120" s="193">
        <v>44941</v>
      </c>
      <c r="I120" s="191">
        <v>11</v>
      </c>
      <c r="J120" s="191" t="s">
        <v>20</v>
      </c>
      <c r="K120" s="195" t="s">
        <v>21</v>
      </c>
      <c r="L120" s="191" t="s">
        <v>27</v>
      </c>
      <c r="M120" s="188">
        <v>77000000</v>
      </c>
      <c r="N120" s="192" t="s">
        <v>75</v>
      </c>
      <c r="O120" s="192" t="s">
        <v>76</v>
      </c>
      <c r="P120" s="192" t="s">
        <v>24</v>
      </c>
    </row>
    <row r="121" spans="1:16" ht="75" x14ac:dyDescent="0.3">
      <c r="A121" s="2">
        <v>2023052</v>
      </c>
      <c r="B121" s="2">
        <v>7637</v>
      </c>
      <c r="C121" s="3" t="s">
        <v>73</v>
      </c>
      <c r="D121" s="191" t="s">
        <v>18</v>
      </c>
      <c r="E121" s="192">
        <v>80111600</v>
      </c>
      <c r="F121" s="191" t="s">
        <v>85</v>
      </c>
      <c r="G121" s="193">
        <v>44927</v>
      </c>
      <c r="H121" s="193">
        <v>44941</v>
      </c>
      <c r="I121" s="191">
        <v>9</v>
      </c>
      <c r="J121" s="191" t="s">
        <v>20</v>
      </c>
      <c r="K121" s="195" t="s">
        <v>21</v>
      </c>
      <c r="L121" s="191" t="s">
        <v>27</v>
      </c>
      <c r="M121" s="188">
        <v>58500000</v>
      </c>
      <c r="N121" s="192" t="s">
        <v>86</v>
      </c>
      <c r="O121" s="192" t="s">
        <v>76</v>
      </c>
      <c r="P121" s="192" t="s">
        <v>24</v>
      </c>
    </row>
    <row r="122" spans="1:16" ht="75" x14ac:dyDescent="0.3">
      <c r="A122" s="2">
        <v>2023053</v>
      </c>
      <c r="B122" s="2">
        <v>7637</v>
      </c>
      <c r="C122" s="3" t="s">
        <v>73</v>
      </c>
      <c r="D122" s="191" t="s">
        <v>18</v>
      </c>
      <c r="E122" s="192">
        <v>80111600</v>
      </c>
      <c r="F122" s="191" t="s">
        <v>87</v>
      </c>
      <c r="G122" s="193">
        <v>44927</v>
      </c>
      <c r="H122" s="193">
        <v>44941</v>
      </c>
      <c r="I122" s="191">
        <v>4</v>
      </c>
      <c r="J122" s="191" t="s">
        <v>20</v>
      </c>
      <c r="K122" s="195" t="s">
        <v>21</v>
      </c>
      <c r="L122" s="191" t="s">
        <v>27</v>
      </c>
      <c r="M122" s="188">
        <f>52000000-26000000</f>
        <v>26000000</v>
      </c>
      <c r="N122" s="192" t="s">
        <v>75</v>
      </c>
      <c r="O122" s="192" t="s">
        <v>76</v>
      </c>
      <c r="P122" s="192" t="s">
        <v>24</v>
      </c>
    </row>
    <row r="123" spans="1:16" ht="90" x14ac:dyDescent="0.3">
      <c r="A123" s="2">
        <v>2023054</v>
      </c>
      <c r="B123" s="2">
        <v>7637</v>
      </c>
      <c r="C123" s="3" t="s">
        <v>73</v>
      </c>
      <c r="D123" s="191" t="s">
        <v>18</v>
      </c>
      <c r="E123" s="192">
        <v>80111600</v>
      </c>
      <c r="F123" s="191" t="s">
        <v>88</v>
      </c>
      <c r="G123" s="193">
        <v>44927</v>
      </c>
      <c r="H123" s="193">
        <v>44941</v>
      </c>
      <c r="I123" s="191">
        <v>11</v>
      </c>
      <c r="J123" s="191" t="s">
        <v>20</v>
      </c>
      <c r="K123" s="195" t="s">
        <v>21</v>
      </c>
      <c r="L123" s="191" t="s">
        <v>27</v>
      </c>
      <c r="M123" s="188">
        <v>51700000</v>
      </c>
      <c r="N123" s="192" t="s">
        <v>75</v>
      </c>
      <c r="O123" s="192" t="s">
        <v>76</v>
      </c>
      <c r="P123" s="192" t="s">
        <v>24</v>
      </c>
    </row>
    <row r="124" spans="1:16" ht="75" x14ac:dyDescent="0.3">
      <c r="A124" s="2">
        <v>2023056</v>
      </c>
      <c r="B124" s="2">
        <v>7637</v>
      </c>
      <c r="C124" s="3" t="s">
        <v>73</v>
      </c>
      <c r="D124" s="191" t="s">
        <v>18</v>
      </c>
      <c r="E124" s="192">
        <v>80111600</v>
      </c>
      <c r="F124" s="191" t="s">
        <v>89</v>
      </c>
      <c r="G124" s="193">
        <v>44927</v>
      </c>
      <c r="H124" s="193">
        <v>44941</v>
      </c>
      <c r="I124" s="191">
        <v>4</v>
      </c>
      <c r="J124" s="191" t="s">
        <v>20</v>
      </c>
      <c r="K124" s="195" t="s">
        <v>21</v>
      </c>
      <c r="L124" s="191" t="s">
        <v>27</v>
      </c>
      <c r="M124" s="188">
        <f>35000000-15000000</f>
        <v>20000000</v>
      </c>
      <c r="N124" s="192" t="s">
        <v>75</v>
      </c>
      <c r="O124" s="192" t="s">
        <v>76</v>
      </c>
      <c r="P124" s="192" t="s">
        <v>24</v>
      </c>
    </row>
    <row r="125" spans="1:16" ht="75" x14ac:dyDescent="0.3">
      <c r="A125" s="2">
        <v>2023057</v>
      </c>
      <c r="B125" s="2">
        <v>7637</v>
      </c>
      <c r="C125" s="3" t="s">
        <v>73</v>
      </c>
      <c r="D125" s="191" t="s">
        <v>18</v>
      </c>
      <c r="E125" s="192">
        <v>80111600</v>
      </c>
      <c r="F125" s="191" t="s">
        <v>90</v>
      </c>
      <c r="G125" s="193">
        <v>44927</v>
      </c>
      <c r="H125" s="193">
        <v>44941</v>
      </c>
      <c r="I125" s="191">
        <v>10</v>
      </c>
      <c r="J125" s="191" t="s">
        <v>20</v>
      </c>
      <c r="K125" s="195" t="s">
        <v>21</v>
      </c>
      <c r="L125" s="191" t="s">
        <v>27</v>
      </c>
      <c r="M125" s="188">
        <f>47000000+3000000</f>
        <v>50000000</v>
      </c>
      <c r="N125" s="192" t="s">
        <v>75</v>
      </c>
      <c r="O125" s="192" t="s">
        <v>76</v>
      </c>
      <c r="P125" s="192" t="s">
        <v>24</v>
      </c>
    </row>
    <row r="126" spans="1:16" ht="75" x14ac:dyDescent="0.3">
      <c r="A126" s="2">
        <v>2023058</v>
      </c>
      <c r="B126" s="2">
        <v>7637</v>
      </c>
      <c r="C126" s="3" t="s">
        <v>73</v>
      </c>
      <c r="D126" s="191" t="s">
        <v>18</v>
      </c>
      <c r="E126" s="192">
        <v>80111600</v>
      </c>
      <c r="F126" s="191" t="s">
        <v>91</v>
      </c>
      <c r="G126" s="193">
        <v>44927</v>
      </c>
      <c r="H126" s="193">
        <v>44941</v>
      </c>
      <c r="I126" s="191">
        <v>4</v>
      </c>
      <c r="J126" s="191" t="s">
        <v>20</v>
      </c>
      <c r="K126" s="195" t="s">
        <v>21</v>
      </c>
      <c r="L126" s="191" t="s">
        <v>27</v>
      </c>
      <c r="M126" s="188">
        <f>44200000+15800000-16000000-24000000</f>
        <v>20000000</v>
      </c>
      <c r="N126" s="192" t="s">
        <v>86</v>
      </c>
      <c r="O126" s="192" t="s">
        <v>76</v>
      </c>
      <c r="P126" s="192" t="s">
        <v>24</v>
      </c>
    </row>
    <row r="127" spans="1:16" ht="75" x14ac:dyDescent="0.3">
      <c r="A127" s="2">
        <v>2023059</v>
      </c>
      <c r="B127" s="2">
        <v>7637</v>
      </c>
      <c r="C127" s="3" t="s">
        <v>73</v>
      </c>
      <c r="D127" s="191" t="s">
        <v>18</v>
      </c>
      <c r="E127" s="192">
        <v>80111600</v>
      </c>
      <c r="F127" s="191" t="s">
        <v>92</v>
      </c>
      <c r="G127" s="193">
        <v>44927</v>
      </c>
      <c r="H127" s="193">
        <v>44941</v>
      </c>
      <c r="I127" s="191">
        <v>4</v>
      </c>
      <c r="J127" s="191" t="s">
        <v>20</v>
      </c>
      <c r="K127" s="195" t="s">
        <v>21</v>
      </c>
      <c r="L127" s="191" t="s">
        <v>27</v>
      </c>
      <c r="M127" s="188">
        <f>25600000-12800000</f>
        <v>12800000</v>
      </c>
      <c r="N127" s="192" t="s">
        <v>75</v>
      </c>
      <c r="O127" s="192" t="s">
        <v>76</v>
      </c>
      <c r="P127" s="192" t="s">
        <v>24</v>
      </c>
    </row>
    <row r="128" spans="1:16" ht="90" x14ac:dyDescent="0.3">
      <c r="A128" s="2">
        <v>2023060</v>
      </c>
      <c r="B128" s="2">
        <v>7637</v>
      </c>
      <c r="C128" s="3" t="s">
        <v>73</v>
      </c>
      <c r="D128" s="191" t="s">
        <v>18</v>
      </c>
      <c r="E128" s="192">
        <v>80111600</v>
      </c>
      <c r="F128" s="191" t="s">
        <v>93</v>
      </c>
      <c r="G128" s="193">
        <v>44927</v>
      </c>
      <c r="H128" s="193">
        <v>44941</v>
      </c>
      <c r="I128" s="191">
        <v>4</v>
      </c>
      <c r="J128" s="191" t="s">
        <v>20</v>
      </c>
      <c r="K128" s="195" t="s">
        <v>21</v>
      </c>
      <c r="L128" s="191" t="s">
        <v>27</v>
      </c>
      <c r="M128" s="188">
        <f>20400000+34000000-27200000</f>
        <v>27200000</v>
      </c>
      <c r="N128" s="192" t="s">
        <v>94</v>
      </c>
      <c r="O128" s="192" t="s">
        <v>76</v>
      </c>
      <c r="P128" s="192" t="s">
        <v>24</v>
      </c>
    </row>
    <row r="129" spans="1:16" ht="75" x14ac:dyDescent="0.3">
      <c r="A129" s="2">
        <v>2023061</v>
      </c>
      <c r="B129" s="2">
        <v>7637</v>
      </c>
      <c r="C129" s="3" t="s">
        <v>73</v>
      </c>
      <c r="D129" s="191" t="s">
        <v>18</v>
      </c>
      <c r="E129" s="192" t="s">
        <v>95</v>
      </c>
      <c r="F129" s="191" t="s">
        <v>96</v>
      </c>
      <c r="G129" s="193">
        <v>44995</v>
      </c>
      <c r="H129" s="193">
        <v>45026</v>
      </c>
      <c r="I129" s="191">
        <v>6</v>
      </c>
      <c r="J129" s="191" t="s">
        <v>66</v>
      </c>
      <c r="K129" s="195" t="s">
        <v>21</v>
      </c>
      <c r="L129" s="191" t="s">
        <v>97</v>
      </c>
      <c r="M129" s="188">
        <f>500000000+21350000+132650000-79145137</f>
        <v>574854863</v>
      </c>
      <c r="N129" s="192" t="s">
        <v>75</v>
      </c>
      <c r="O129" s="192" t="s">
        <v>76</v>
      </c>
      <c r="P129" s="192" t="s">
        <v>24</v>
      </c>
    </row>
    <row r="130" spans="1:16" ht="75" x14ac:dyDescent="0.3">
      <c r="A130" s="2">
        <v>2023062</v>
      </c>
      <c r="B130" s="2">
        <v>7637</v>
      </c>
      <c r="C130" s="3" t="s">
        <v>73</v>
      </c>
      <c r="D130" s="191" t="s">
        <v>18</v>
      </c>
      <c r="E130" s="192">
        <v>81112401</v>
      </c>
      <c r="F130" s="191" t="s">
        <v>98</v>
      </c>
      <c r="G130" s="193">
        <v>44979</v>
      </c>
      <c r="H130" s="193">
        <v>45033</v>
      </c>
      <c r="I130" s="191">
        <v>6</v>
      </c>
      <c r="J130" s="191" t="s">
        <v>66</v>
      </c>
      <c r="K130" s="195" t="s">
        <v>21</v>
      </c>
      <c r="L130" s="191" t="s">
        <v>97</v>
      </c>
      <c r="M130" s="188">
        <f>90500000+20800000+103992584-70000000-79688381-18887747-2980321</f>
        <v>43736135</v>
      </c>
      <c r="N130" s="192" t="s">
        <v>75</v>
      </c>
      <c r="O130" s="192" t="s">
        <v>76</v>
      </c>
      <c r="P130" s="192" t="s">
        <v>24</v>
      </c>
    </row>
    <row r="131" spans="1:16" ht="75" x14ac:dyDescent="0.3">
      <c r="A131" s="2">
        <v>2023063</v>
      </c>
      <c r="B131" s="2">
        <v>7637</v>
      </c>
      <c r="C131" s="3" t="s">
        <v>73</v>
      </c>
      <c r="D131" s="191" t="s">
        <v>18</v>
      </c>
      <c r="E131" s="192" t="s">
        <v>99</v>
      </c>
      <c r="F131" s="191" t="s">
        <v>100</v>
      </c>
      <c r="G131" s="193">
        <v>45209</v>
      </c>
      <c r="H131" s="193">
        <v>45254</v>
      </c>
      <c r="I131" s="191">
        <v>6</v>
      </c>
      <c r="J131" s="191" t="s">
        <v>101</v>
      </c>
      <c r="K131" s="195" t="s">
        <v>21</v>
      </c>
      <c r="L131" s="191" t="s">
        <v>102</v>
      </c>
      <c r="M131" s="188">
        <f>130000000-35981462-3826236-70000000+70000000</f>
        <v>90192302</v>
      </c>
      <c r="N131" s="192" t="s">
        <v>75</v>
      </c>
      <c r="O131" s="192" t="s">
        <v>76</v>
      </c>
      <c r="P131" s="192" t="s">
        <v>24</v>
      </c>
    </row>
    <row r="132" spans="1:16" ht="75" x14ac:dyDescent="0.3">
      <c r="A132" s="2">
        <v>2023064</v>
      </c>
      <c r="B132" s="2">
        <v>7637</v>
      </c>
      <c r="C132" s="3" t="s">
        <v>73</v>
      </c>
      <c r="D132" s="191" t="s">
        <v>18</v>
      </c>
      <c r="E132" s="192">
        <v>81112217</v>
      </c>
      <c r="F132" s="191" t="s">
        <v>103</v>
      </c>
      <c r="G132" s="193">
        <v>45153</v>
      </c>
      <c r="H132" s="193">
        <v>45160</v>
      </c>
      <c r="I132" s="191">
        <v>3</v>
      </c>
      <c r="J132" s="191" t="s">
        <v>66</v>
      </c>
      <c r="K132" s="195" t="s">
        <v>21</v>
      </c>
      <c r="L132" s="191" t="s">
        <v>102</v>
      </c>
      <c r="M132" s="188">
        <f>22387000+35981462</f>
        <v>58368462</v>
      </c>
      <c r="N132" s="192" t="s">
        <v>94</v>
      </c>
      <c r="O132" s="192" t="s">
        <v>76</v>
      </c>
      <c r="P132" s="192" t="s">
        <v>24</v>
      </c>
    </row>
    <row r="133" spans="1:16" ht="75" x14ac:dyDescent="0.3">
      <c r="A133" s="2">
        <v>2023065</v>
      </c>
      <c r="B133" s="2">
        <v>7637</v>
      </c>
      <c r="C133" s="3" t="s">
        <v>73</v>
      </c>
      <c r="D133" s="191" t="s">
        <v>18</v>
      </c>
      <c r="E133" s="192" t="s">
        <v>104</v>
      </c>
      <c r="F133" s="191" t="s">
        <v>105</v>
      </c>
      <c r="G133" s="193">
        <v>45037</v>
      </c>
      <c r="H133" s="193">
        <v>45061</v>
      </c>
      <c r="I133" s="191">
        <v>3</v>
      </c>
      <c r="J133" s="191" t="s">
        <v>66</v>
      </c>
      <c r="K133" s="195" t="s">
        <v>21</v>
      </c>
      <c r="L133" s="191" t="s">
        <v>102</v>
      </c>
      <c r="M133" s="188">
        <f>150657000+13671304</f>
        <v>164328304</v>
      </c>
      <c r="N133" s="192" t="s">
        <v>75</v>
      </c>
      <c r="O133" s="192" t="s">
        <v>76</v>
      </c>
      <c r="P133" s="192" t="s">
        <v>24</v>
      </c>
    </row>
    <row r="134" spans="1:16" ht="75" x14ac:dyDescent="0.3">
      <c r="A134" s="2">
        <v>2023066</v>
      </c>
      <c r="B134" s="2">
        <v>7637</v>
      </c>
      <c r="C134" s="3" t="s">
        <v>73</v>
      </c>
      <c r="D134" s="191" t="s">
        <v>18</v>
      </c>
      <c r="E134" s="192" t="s">
        <v>106</v>
      </c>
      <c r="F134" s="191" t="s">
        <v>107</v>
      </c>
      <c r="G134" s="193">
        <v>44939</v>
      </c>
      <c r="H134" s="193">
        <v>44956</v>
      </c>
      <c r="I134" s="191">
        <v>11</v>
      </c>
      <c r="J134" s="191" t="s">
        <v>108</v>
      </c>
      <c r="K134" s="195" t="s">
        <v>21</v>
      </c>
      <c r="L134" s="191" t="s">
        <v>102</v>
      </c>
      <c r="M134" s="188">
        <f>232500000-479750</f>
        <v>232020250</v>
      </c>
      <c r="N134" s="192" t="s">
        <v>94</v>
      </c>
      <c r="O134" s="192" t="s">
        <v>76</v>
      </c>
      <c r="P134" s="192" t="s">
        <v>24</v>
      </c>
    </row>
    <row r="135" spans="1:16" ht="75" x14ac:dyDescent="0.3">
      <c r="A135" s="2">
        <v>2023067</v>
      </c>
      <c r="B135" s="2">
        <v>7637</v>
      </c>
      <c r="C135" s="3" t="s">
        <v>73</v>
      </c>
      <c r="D135" s="191" t="s">
        <v>18</v>
      </c>
      <c r="E135" s="192" t="s">
        <v>109</v>
      </c>
      <c r="F135" s="191" t="s">
        <v>110</v>
      </c>
      <c r="G135" s="193">
        <v>45002</v>
      </c>
      <c r="H135" s="193">
        <v>45036</v>
      </c>
      <c r="I135" s="191">
        <v>10</v>
      </c>
      <c r="J135" s="191" t="s">
        <v>108</v>
      </c>
      <c r="K135" s="195" t="s">
        <v>21</v>
      </c>
      <c r="L135" s="191" t="s">
        <v>111</v>
      </c>
      <c r="M135" s="188">
        <f>196000000-21350000-9650000-885910</f>
        <v>164114090</v>
      </c>
      <c r="N135" s="192" t="s">
        <v>75</v>
      </c>
      <c r="O135" s="192" t="s">
        <v>76</v>
      </c>
      <c r="P135" s="192" t="s">
        <v>24</v>
      </c>
    </row>
    <row r="136" spans="1:16" ht="75" x14ac:dyDescent="0.3">
      <c r="A136" s="2">
        <v>2023068</v>
      </c>
      <c r="B136" s="2">
        <v>7637</v>
      </c>
      <c r="C136" s="3" t="s">
        <v>73</v>
      </c>
      <c r="D136" s="191" t="s">
        <v>18</v>
      </c>
      <c r="E136" s="192">
        <v>81112006</v>
      </c>
      <c r="F136" s="191" t="s">
        <v>722</v>
      </c>
      <c r="G136" s="193">
        <v>45149</v>
      </c>
      <c r="H136" s="193">
        <v>45177</v>
      </c>
      <c r="I136" s="191">
        <v>12</v>
      </c>
      <c r="J136" s="191" t="s">
        <v>66</v>
      </c>
      <c r="K136" s="195" t="s">
        <v>21</v>
      </c>
      <c r="L136" s="191" t="s">
        <v>102</v>
      </c>
      <c r="M136" s="188">
        <v>30000000</v>
      </c>
      <c r="N136" s="192" t="s">
        <v>86</v>
      </c>
      <c r="O136" s="192" t="s">
        <v>76</v>
      </c>
      <c r="P136" s="192" t="s">
        <v>24</v>
      </c>
    </row>
    <row r="137" spans="1:16" ht="75" x14ac:dyDescent="0.3">
      <c r="A137" s="2">
        <v>2023069</v>
      </c>
      <c r="B137" s="2">
        <v>7637</v>
      </c>
      <c r="C137" s="3" t="s">
        <v>73</v>
      </c>
      <c r="D137" s="191" t="s">
        <v>18</v>
      </c>
      <c r="E137" s="192" t="s">
        <v>112</v>
      </c>
      <c r="F137" s="191" t="s">
        <v>113</v>
      </c>
      <c r="G137" s="193">
        <v>45149</v>
      </c>
      <c r="H137" s="193">
        <v>45156</v>
      </c>
      <c r="I137" s="191">
        <v>3</v>
      </c>
      <c r="J137" s="191" t="s">
        <v>101</v>
      </c>
      <c r="K137" s="195" t="s">
        <v>21</v>
      </c>
      <c r="L137" s="191" t="s">
        <v>102</v>
      </c>
      <c r="M137" s="188">
        <f>51923000+87823833</f>
        <v>139746833</v>
      </c>
      <c r="N137" s="192" t="s">
        <v>86</v>
      </c>
      <c r="O137" s="192" t="s">
        <v>76</v>
      </c>
      <c r="P137" s="192" t="s">
        <v>24</v>
      </c>
    </row>
    <row r="138" spans="1:16" ht="75" x14ac:dyDescent="0.3">
      <c r="A138" s="2">
        <v>2023070</v>
      </c>
      <c r="B138" s="2">
        <v>7637</v>
      </c>
      <c r="C138" s="3" t="s">
        <v>73</v>
      </c>
      <c r="D138" s="191" t="s">
        <v>18</v>
      </c>
      <c r="E138" s="192" t="s">
        <v>114</v>
      </c>
      <c r="F138" s="191" t="s">
        <v>115</v>
      </c>
      <c r="G138" s="193">
        <v>44970</v>
      </c>
      <c r="H138" s="193">
        <v>45019</v>
      </c>
      <c r="I138" s="191">
        <v>8</v>
      </c>
      <c r="J138" s="191" t="s">
        <v>101</v>
      </c>
      <c r="K138" s="195" t="s">
        <v>21</v>
      </c>
      <c r="L138" s="191" t="s">
        <v>102</v>
      </c>
      <c r="M138" s="188">
        <f>80000000-1400000-11700000-1081878</f>
        <v>65818122</v>
      </c>
      <c r="N138" s="192" t="s">
        <v>75</v>
      </c>
      <c r="O138" s="192" t="s">
        <v>76</v>
      </c>
      <c r="P138" s="192" t="s">
        <v>24</v>
      </c>
    </row>
    <row r="139" spans="1:16" ht="75" x14ac:dyDescent="0.3">
      <c r="A139" s="2">
        <v>2023071</v>
      </c>
      <c r="B139" s="2">
        <v>7637</v>
      </c>
      <c r="C139" s="3" t="s">
        <v>73</v>
      </c>
      <c r="D139" s="191" t="s">
        <v>18</v>
      </c>
      <c r="E139" s="192" t="s">
        <v>116</v>
      </c>
      <c r="F139" s="191" t="s">
        <v>117</v>
      </c>
      <c r="G139" s="193">
        <v>45069</v>
      </c>
      <c r="H139" s="193">
        <v>45092</v>
      </c>
      <c r="I139" s="191">
        <v>6</v>
      </c>
      <c r="J139" s="191" t="s">
        <v>118</v>
      </c>
      <c r="K139" s="195" t="s">
        <v>21</v>
      </c>
      <c r="L139" s="191" t="s">
        <v>97</v>
      </c>
      <c r="M139" s="188">
        <f>8500000-6104500</f>
        <v>2395500</v>
      </c>
      <c r="N139" s="192" t="s">
        <v>94</v>
      </c>
      <c r="O139" s="192" t="s">
        <v>76</v>
      </c>
      <c r="P139" s="192" t="s">
        <v>24</v>
      </c>
    </row>
    <row r="140" spans="1:16" ht="75" x14ac:dyDescent="0.3">
      <c r="A140" s="2">
        <v>2023072</v>
      </c>
      <c r="B140" s="2">
        <v>7637</v>
      </c>
      <c r="C140" s="3" t="s">
        <v>73</v>
      </c>
      <c r="D140" s="191" t="s">
        <v>18</v>
      </c>
      <c r="E140" s="192" t="s">
        <v>119</v>
      </c>
      <c r="F140" s="191" t="s">
        <v>120</v>
      </c>
      <c r="G140" s="193">
        <v>44994</v>
      </c>
      <c r="H140" s="193">
        <v>45009</v>
      </c>
      <c r="I140" s="191">
        <v>11</v>
      </c>
      <c r="J140" s="191" t="s">
        <v>20</v>
      </c>
      <c r="K140" s="195" t="s">
        <v>21</v>
      </c>
      <c r="L140" s="191" t="s">
        <v>97</v>
      </c>
      <c r="M140" s="188">
        <f>5280000-86840</f>
        <v>5193160</v>
      </c>
      <c r="N140" s="192" t="s">
        <v>94</v>
      </c>
      <c r="O140" s="192" t="s">
        <v>76</v>
      </c>
      <c r="P140" s="192" t="s">
        <v>24</v>
      </c>
    </row>
    <row r="141" spans="1:16" ht="75" x14ac:dyDescent="0.3">
      <c r="A141" s="2">
        <v>2023073</v>
      </c>
      <c r="B141" s="2">
        <v>7637</v>
      </c>
      <c r="C141" s="3" t="s">
        <v>73</v>
      </c>
      <c r="D141" s="191" t="s">
        <v>18</v>
      </c>
      <c r="E141" s="192" t="s">
        <v>121</v>
      </c>
      <c r="F141" s="191" t="s">
        <v>122</v>
      </c>
      <c r="G141" s="193">
        <v>44999</v>
      </c>
      <c r="H141" s="193">
        <v>45138</v>
      </c>
      <c r="I141" s="191">
        <v>12</v>
      </c>
      <c r="J141" s="191" t="s">
        <v>108</v>
      </c>
      <c r="K141" s="195" t="s">
        <v>21</v>
      </c>
      <c r="L141" s="191" t="s">
        <v>102</v>
      </c>
      <c r="M141" s="188">
        <v>150000000</v>
      </c>
      <c r="N141" s="192" t="s">
        <v>75</v>
      </c>
      <c r="O141" s="192" t="s">
        <v>76</v>
      </c>
      <c r="P141" s="192" t="s">
        <v>24</v>
      </c>
    </row>
    <row r="142" spans="1:16" ht="75" x14ac:dyDescent="0.3">
      <c r="A142" s="2">
        <v>2023074</v>
      </c>
      <c r="B142" s="2">
        <v>7637</v>
      </c>
      <c r="C142" s="3" t="s">
        <v>73</v>
      </c>
      <c r="D142" s="191" t="s">
        <v>18</v>
      </c>
      <c r="E142" s="192">
        <v>43233205</v>
      </c>
      <c r="F142" s="191" t="s">
        <v>123</v>
      </c>
      <c r="G142" s="193">
        <v>44995</v>
      </c>
      <c r="H142" s="193">
        <v>45041</v>
      </c>
      <c r="I142" s="191">
        <v>3</v>
      </c>
      <c r="J142" s="191" t="s">
        <v>101</v>
      </c>
      <c r="K142" s="195" t="s">
        <v>21</v>
      </c>
      <c r="L142" s="191" t="s">
        <v>97</v>
      </c>
      <c r="M142" s="188">
        <f>40000000+9650000-4495493</f>
        <v>45154507</v>
      </c>
      <c r="N142" s="192" t="s">
        <v>75</v>
      </c>
      <c r="O142" s="192" t="s">
        <v>76</v>
      </c>
      <c r="P142" s="192" t="s">
        <v>24</v>
      </c>
    </row>
    <row r="143" spans="1:16" ht="75" x14ac:dyDescent="0.3">
      <c r="A143" s="2">
        <v>2023076</v>
      </c>
      <c r="B143" s="2">
        <v>7637</v>
      </c>
      <c r="C143" s="3" t="s">
        <v>73</v>
      </c>
      <c r="D143" s="191" t="s">
        <v>18</v>
      </c>
      <c r="E143" s="192">
        <v>43233200</v>
      </c>
      <c r="F143" s="191" t="s">
        <v>124</v>
      </c>
      <c r="G143" s="193">
        <v>45204</v>
      </c>
      <c r="H143" s="193">
        <v>45245</v>
      </c>
      <c r="I143" s="191">
        <v>12</v>
      </c>
      <c r="J143" s="191" t="s">
        <v>101</v>
      </c>
      <c r="K143" s="195" t="s">
        <v>21</v>
      </c>
      <c r="L143" s="191" t="s">
        <v>97</v>
      </c>
      <c r="M143" s="188">
        <f>132000000-103992584+6200000-30000000+79688381-37674007</f>
        <v>46221790</v>
      </c>
      <c r="N143" s="192" t="s">
        <v>75</v>
      </c>
      <c r="O143" s="192" t="s">
        <v>76</v>
      </c>
      <c r="P143" s="192" t="s">
        <v>24</v>
      </c>
    </row>
    <row r="144" spans="1:16" ht="60" x14ac:dyDescent="0.3">
      <c r="A144" s="2">
        <v>2023077</v>
      </c>
      <c r="B144" s="2">
        <v>7655</v>
      </c>
      <c r="C144" s="3" t="s">
        <v>25</v>
      </c>
      <c r="D144" s="191" t="s">
        <v>125</v>
      </c>
      <c r="E144" s="192">
        <v>80111600</v>
      </c>
      <c r="F144" s="191" t="s">
        <v>126</v>
      </c>
      <c r="G144" s="193">
        <v>44927</v>
      </c>
      <c r="H144" s="193">
        <v>44937</v>
      </c>
      <c r="I144" s="191">
        <v>11</v>
      </c>
      <c r="J144" s="191" t="s">
        <v>20</v>
      </c>
      <c r="K144" s="195" t="s">
        <v>21</v>
      </c>
      <c r="L144" s="191" t="s">
        <v>27</v>
      </c>
      <c r="M144" s="214">
        <f>36432000-4968000-18216000</f>
        <v>13248000</v>
      </c>
      <c r="N144" s="192" t="s">
        <v>28</v>
      </c>
      <c r="O144" s="192" t="s">
        <v>29</v>
      </c>
      <c r="P144" s="192" t="s">
        <v>24</v>
      </c>
    </row>
    <row r="145" spans="1:16" ht="60" x14ac:dyDescent="0.3">
      <c r="A145" s="2">
        <v>2023078</v>
      </c>
      <c r="B145" s="2">
        <v>7655</v>
      </c>
      <c r="C145" s="3" t="s">
        <v>25</v>
      </c>
      <c r="D145" s="191" t="s">
        <v>125</v>
      </c>
      <c r="E145" s="192">
        <v>80111600</v>
      </c>
      <c r="F145" s="191" t="s">
        <v>127</v>
      </c>
      <c r="G145" s="193">
        <v>44946</v>
      </c>
      <c r="H145" s="193">
        <v>44956</v>
      </c>
      <c r="I145" s="191">
        <v>10</v>
      </c>
      <c r="J145" s="191" t="s">
        <v>20</v>
      </c>
      <c r="K145" s="195" t="s">
        <v>21</v>
      </c>
      <c r="L145" s="191" t="s">
        <v>27</v>
      </c>
      <c r="M145" s="214">
        <f>47817000-4347000-4347000-21735000</f>
        <v>17388000</v>
      </c>
      <c r="N145" s="192" t="s">
        <v>28</v>
      </c>
      <c r="O145" s="192" t="s">
        <v>29</v>
      </c>
      <c r="P145" s="192" t="s">
        <v>24</v>
      </c>
    </row>
    <row r="146" spans="1:16" ht="60" x14ac:dyDescent="0.3">
      <c r="A146" s="2">
        <v>2023079</v>
      </c>
      <c r="B146" s="2">
        <v>7655</v>
      </c>
      <c r="C146" s="3" t="s">
        <v>25</v>
      </c>
      <c r="D146" s="191" t="s">
        <v>125</v>
      </c>
      <c r="E146" s="192">
        <v>80111600</v>
      </c>
      <c r="F146" s="191" t="s">
        <v>128</v>
      </c>
      <c r="G146" s="193">
        <v>45005</v>
      </c>
      <c r="H146" s="193">
        <v>45015</v>
      </c>
      <c r="I146" s="191">
        <v>9</v>
      </c>
      <c r="J146" s="191" t="s">
        <v>20</v>
      </c>
      <c r="K146" s="195" t="s">
        <v>21</v>
      </c>
      <c r="L146" s="191" t="s">
        <v>27</v>
      </c>
      <c r="M146" s="214">
        <f>51000000-5100000-7650000-22950000</f>
        <v>15300000</v>
      </c>
      <c r="N146" s="192" t="s">
        <v>28</v>
      </c>
      <c r="O146" s="192" t="s">
        <v>29</v>
      </c>
      <c r="P146" s="192" t="s">
        <v>24</v>
      </c>
    </row>
    <row r="147" spans="1:16" ht="60" x14ac:dyDescent="0.3">
      <c r="A147" s="2">
        <v>2023082</v>
      </c>
      <c r="B147" s="2">
        <v>7655</v>
      </c>
      <c r="C147" s="3" t="s">
        <v>25</v>
      </c>
      <c r="D147" s="191" t="s">
        <v>125</v>
      </c>
      <c r="E147" s="192">
        <v>80111600</v>
      </c>
      <c r="F147" s="191" t="s">
        <v>129</v>
      </c>
      <c r="G147" s="193">
        <v>44927</v>
      </c>
      <c r="H147" s="193">
        <v>44949</v>
      </c>
      <c r="I147" s="191">
        <v>7</v>
      </c>
      <c r="J147" s="191" t="s">
        <v>20</v>
      </c>
      <c r="K147" s="195" t="s">
        <v>21</v>
      </c>
      <c r="L147" s="191" t="s">
        <v>27</v>
      </c>
      <c r="M147" s="214">
        <f>19925000+4968000+6624000+4347000+1000-19925000</f>
        <v>15940000</v>
      </c>
      <c r="N147" s="192" t="s">
        <v>28</v>
      </c>
      <c r="O147" s="192" t="s">
        <v>29</v>
      </c>
      <c r="P147" s="192" t="s">
        <v>24</v>
      </c>
    </row>
    <row r="148" spans="1:16" ht="60" x14ac:dyDescent="0.3">
      <c r="A148" s="2">
        <v>2023085</v>
      </c>
      <c r="B148" s="2">
        <v>7655</v>
      </c>
      <c r="C148" s="3" t="s">
        <v>25</v>
      </c>
      <c r="D148" s="191" t="s">
        <v>125</v>
      </c>
      <c r="E148" s="192">
        <v>80111600</v>
      </c>
      <c r="F148" s="191" t="s">
        <v>130</v>
      </c>
      <c r="G148" s="193">
        <v>44927</v>
      </c>
      <c r="H148" s="193">
        <v>44949</v>
      </c>
      <c r="I148" s="191">
        <v>10</v>
      </c>
      <c r="J148" s="191" t="s">
        <v>20</v>
      </c>
      <c r="K148" s="195" t="s">
        <v>21</v>
      </c>
      <c r="L148" s="191" t="s">
        <v>27</v>
      </c>
      <c r="M148" s="214">
        <v>51000000</v>
      </c>
      <c r="N148" s="192" t="s">
        <v>28</v>
      </c>
      <c r="O148" s="192" t="s">
        <v>29</v>
      </c>
      <c r="P148" s="192" t="s">
        <v>24</v>
      </c>
    </row>
    <row r="149" spans="1:16" ht="60" x14ac:dyDescent="0.3">
      <c r="A149" s="2">
        <v>2023086</v>
      </c>
      <c r="B149" s="2">
        <v>7655</v>
      </c>
      <c r="C149" s="3" t="s">
        <v>25</v>
      </c>
      <c r="D149" s="191" t="s">
        <v>125</v>
      </c>
      <c r="E149" s="192">
        <v>80111600</v>
      </c>
      <c r="F149" s="191" t="s">
        <v>131</v>
      </c>
      <c r="G149" s="193">
        <v>44927</v>
      </c>
      <c r="H149" s="193">
        <v>44949</v>
      </c>
      <c r="I149" s="191">
        <v>11</v>
      </c>
      <c r="J149" s="191" t="s">
        <v>20</v>
      </c>
      <c r="K149" s="195" t="s">
        <v>21</v>
      </c>
      <c r="L149" s="191" t="s">
        <v>27</v>
      </c>
      <c r="M149" s="214">
        <f>36432000-6624000-16560000</f>
        <v>13248000</v>
      </c>
      <c r="N149" s="192" t="s">
        <v>28</v>
      </c>
      <c r="O149" s="192" t="s">
        <v>29</v>
      </c>
      <c r="P149" s="192" t="s">
        <v>24</v>
      </c>
    </row>
    <row r="150" spans="1:16" ht="60" x14ac:dyDescent="0.3">
      <c r="A150" s="2">
        <v>2023087</v>
      </c>
      <c r="B150" s="2">
        <v>7655</v>
      </c>
      <c r="C150" s="3" t="s">
        <v>25</v>
      </c>
      <c r="D150" s="191" t="s">
        <v>125</v>
      </c>
      <c r="E150" s="192">
        <v>80111600</v>
      </c>
      <c r="F150" s="191" t="s">
        <v>132</v>
      </c>
      <c r="G150" s="193">
        <v>44927</v>
      </c>
      <c r="H150" s="193">
        <v>44949</v>
      </c>
      <c r="I150" s="191">
        <v>10</v>
      </c>
      <c r="J150" s="191" t="s">
        <v>20</v>
      </c>
      <c r="K150" s="195" t="s">
        <v>21</v>
      </c>
      <c r="L150" s="191" t="s">
        <v>27</v>
      </c>
      <c r="M150" s="214">
        <f>56930000-5693000-1720500-5700000-1119000-31311500</f>
        <v>11386000</v>
      </c>
      <c r="N150" s="192" t="s">
        <v>28</v>
      </c>
      <c r="O150" s="192" t="s">
        <v>29</v>
      </c>
      <c r="P150" s="192" t="s">
        <v>24</v>
      </c>
    </row>
    <row r="151" spans="1:16" ht="60" x14ac:dyDescent="0.3">
      <c r="A151" s="2">
        <v>2023088</v>
      </c>
      <c r="B151" s="2">
        <v>7655</v>
      </c>
      <c r="C151" s="3" t="s">
        <v>25</v>
      </c>
      <c r="D151" s="191" t="s">
        <v>125</v>
      </c>
      <c r="E151" s="192">
        <v>80111600</v>
      </c>
      <c r="F151" s="191" t="s">
        <v>133</v>
      </c>
      <c r="G151" s="193">
        <v>44927</v>
      </c>
      <c r="H151" s="193">
        <v>44949</v>
      </c>
      <c r="I151" s="191">
        <v>10</v>
      </c>
      <c r="J151" s="191" t="s">
        <v>20</v>
      </c>
      <c r="K151" s="195" t="s">
        <v>21</v>
      </c>
      <c r="L151" s="191" t="s">
        <v>27</v>
      </c>
      <c r="M151" s="214">
        <f>28460000-28460000</f>
        <v>0</v>
      </c>
      <c r="N151" s="192" t="s">
        <v>28</v>
      </c>
      <c r="O151" s="192" t="s">
        <v>29</v>
      </c>
      <c r="P151" s="192" t="s">
        <v>24</v>
      </c>
    </row>
    <row r="152" spans="1:16" ht="105" x14ac:dyDescent="0.3">
      <c r="A152" s="2">
        <v>2023089</v>
      </c>
      <c r="B152" s="2">
        <v>7655</v>
      </c>
      <c r="C152" s="3" t="s">
        <v>25</v>
      </c>
      <c r="D152" s="191" t="s">
        <v>125</v>
      </c>
      <c r="E152" s="192">
        <v>80111600</v>
      </c>
      <c r="F152" s="191" t="s">
        <v>134</v>
      </c>
      <c r="G152" s="193">
        <v>44927</v>
      </c>
      <c r="H152" s="193">
        <v>44937</v>
      </c>
      <c r="I152" s="191">
        <v>10</v>
      </c>
      <c r="J152" s="191" t="s">
        <v>20</v>
      </c>
      <c r="K152" s="195" t="s">
        <v>21</v>
      </c>
      <c r="L152" s="191" t="s">
        <v>27</v>
      </c>
      <c r="M152" s="214">
        <f>43470000-4347000-21735000</f>
        <v>17388000</v>
      </c>
      <c r="N152" s="192" t="s">
        <v>28</v>
      </c>
      <c r="O152" s="192" t="s">
        <v>29</v>
      </c>
      <c r="P152" s="192" t="s">
        <v>24</v>
      </c>
    </row>
    <row r="153" spans="1:16" ht="90" x14ac:dyDescent="0.3">
      <c r="A153" s="2">
        <v>2023090</v>
      </c>
      <c r="B153" s="2">
        <v>7655</v>
      </c>
      <c r="C153" s="3" t="s">
        <v>25</v>
      </c>
      <c r="D153" s="191" t="s">
        <v>125</v>
      </c>
      <c r="E153" s="192">
        <v>80111600</v>
      </c>
      <c r="F153" s="191" t="s">
        <v>135</v>
      </c>
      <c r="G153" s="193">
        <v>45005</v>
      </c>
      <c r="H153" s="193">
        <v>45015</v>
      </c>
      <c r="I153" s="191">
        <v>9</v>
      </c>
      <c r="J153" s="191" t="s">
        <v>20</v>
      </c>
      <c r="K153" s="195" t="s">
        <v>21</v>
      </c>
      <c r="L153" s="191" t="s">
        <v>27</v>
      </c>
      <c r="M153" s="214">
        <f>33500000-3350000</f>
        <v>30150000</v>
      </c>
      <c r="N153" s="192" t="s">
        <v>28</v>
      </c>
      <c r="O153" s="192" t="s">
        <v>29</v>
      </c>
      <c r="P153" s="192" t="s">
        <v>24</v>
      </c>
    </row>
    <row r="154" spans="1:16" ht="60" x14ac:dyDescent="0.3">
      <c r="A154" s="2">
        <v>2023091</v>
      </c>
      <c r="B154" s="2">
        <v>7655</v>
      </c>
      <c r="C154" s="3" t="s">
        <v>25</v>
      </c>
      <c r="D154" s="191" t="s">
        <v>125</v>
      </c>
      <c r="E154" s="192">
        <v>80111600</v>
      </c>
      <c r="F154" s="191" t="s">
        <v>136</v>
      </c>
      <c r="G154" s="193">
        <v>44927</v>
      </c>
      <c r="H154" s="193">
        <v>44937</v>
      </c>
      <c r="I154" s="191">
        <v>9</v>
      </c>
      <c r="J154" s="191" t="s">
        <v>20</v>
      </c>
      <c r="K154" s="195" t="s">
        <v>21</v>
      </c>
      <c r="L154" s="191" t="s">
        <v>27</v>
      </c>
      <c r="M154" s="214">
        <f>31950000+2250000</f>
        <v>34200000</v>
      </c>
      <c r="N154" s="192" t="s">
        <v>28</v>
      </c>
      <c r="O154" s="192" t="s">
        <v>29</v>
      </c>
      <c r="P154" s="192" t="s">
        <v>24</v>
      </c>
    </row>
    <row r="155" spans="1:16" ht="60" x14ac:dyDescent="0.3">
      <c r="A155" s="2">
        <v>2023092</v>
      </c>
      <c r="B155" s="2">
        <v>7655</v>
      </c>
      <c r="C155" s="3" t="s">
        <v>25</v>
      </c>
      <c r="D155" s="191" t="s">
        <v>125</v>
      </c>
      <c r="E155" s="192">
        <v>80111600</v>
      </c>
      <c r="F155" s="191" t="s">
        <v>137</v>
      </c>
      <c r="G155" s="193">
        <v>44927</v>
      </c>
      <c r="H155" s="193">
        <v>44937</v>
      </c>
      <c r="I155" s="191">
        <v>10</v>
      </c>
      <c r="J155" s="191" t="s">
        <v>20</v>
      </c>
      <c r="K155" s="195" t="s">
        <v>21</v>
      </c>
      <c r="L155" s="191" t="s">
        <v>27</v>
      </c>
      <c r="M155" s="214">
        <f>60000000-46675000-2469500-1855500-3200000</f>
        <v>5800000</v>
      </c>
      <c r="N155" s="192" t="s">
        <v>28</v>
      </c>
      <c r="O155" s="192" t="s">
        <v>29</v>
      </c>
      <c r="P155" s="192" t="s">
        <v>24</v>
      </c>
    </row>
    <row r="156" spans="1:16" ht="60" x14ac:dyDescent="0.3">
      <c r="A156" s="2">
        <v>2023093</v>
      </c>
      <c r="B156" s="2">
        <v>7655</v>
      </c>
      <c r="C156" s="3" t="s">
        <v>25</v>
      </c>
      <c r="D156" s="191" t="s">
        <v>125</v>
      </c>
      <c r="E156" s="192">
        <v>80111600</v>
      </c>
      <c r="F156" s="191" t="s">
        <v>138</v>
      </c>
      <c r="G156" s="193">
        <v>44977</v>
      </c>
      <c r="H156" s="193">
        <v>44985</v>
      </c>
      <c r="I156" s="191">
        <v>10</v>
      </c>
      <c r="J156" s="191" t="s">
        <v>20</v>
      </c>
      <c r="K156" s="195" t="s">
        <v>21</v>
      </c>
      <c r="L156" s="191" t="s">
        <v>27</v>
      </c>
      <c r="M156" s="214">
        <f>39123000-11623000-4125000-12375000</f>
        <v>11000000</v>
      </c>
      <c r="N156" s="192" t="s">
        <v>28</v>
      </c>
      <c r="O156" s="192" t="s">
        <v>29</v>
      </c>
      <c r="P156" s="192" t="s">
        <v>24</v>
      </c>
    </row>
    <row r="157" spans="1:16" ht="60" x14ac:dyDescent="0.3">
      <c r="A157" s="2">
        <v>2023094</v>
      </c>
      <c r="B157" s="2">
        <v>7655</v>
      </c>
      <c r="C157" s="3" t="s">
        <v>25</v>
      </c>
      <c r="D157" s="191" t="s">
        <v>125</v>
      </c>
      <c r="E157" s="192">
        <v>80111600</v>
      </c>
      <c r="F157" s="191" t="s">
        <v>139</v>
      </c>
      <c r="G157" s="193">
        <v>45005</v>
      </c>
      <c r="H157" s="193">
        <v>45015</v>
      </c>
      <c r="I157" s="191">
        <v>8</v>
      </c>
      <c r="J157" s="191" t="s">
        <v>20</v>
      </c>
      <c r="K157" s="195" t="s">
        <v>21</v>
      </c>
      <c r="L157" s="191" t="s">
        <v>27</v>
      </c>
      <c r="M157" s="214">
        <f>31050000-135000-115000</f>
        <v>30800000</v>
      </c>
      <c r="N157" s="192" t="s">
        <v>28</v>
      </c>
      <c r="O157" s="192" t="s">
        <v>29</v>
      </c>
      <c r="P157" s="192" t="s">
        <v>24</v>
      </c>
    </row>
    <row r="158" spans="1:16" ht="60" x14ac:dyDescent="0.3">
      <c r="A158" s="2">
        <v>2023095</v>
      </c>
      <c r="B158" s="2">
        <v>7655</v>
      </c>
      <c r="C158" s="3" t="s">
        <v>25</v>
      </c>
      <c r="D158" s="191" t="s">
        <v>125</v>
      </c>
      <c r="E158" s="192">
        <v>80111600</v>
      </c>
      <c r="F158" s="191" t="s">
        <v>140</v>
      </c>
      <c r="G158" s="193">
        <v>45097</v>
      </c>
      <c r="H158" s="193">
        <v>45107</v>
      </c>
      <c r="I158" s="191">
        <v>6</v>
      </c>
      <c r="J158" s="191" t="s">
        <v>20</v>
      </c>
      <c r="K158" s="195" t="s">
        <v>21</v>
      </c>
      <c r="L158" s="191" t="s">
        <v>27</v>
      </c>
      <c r="M158" s="214">
        <f>13511000+11623000+115000+3350000-23991200+1855500-2250000-2173500+5158080-6862000</f>
        <v>335880</v>
      </c>
      <c r="N158" s="192" t="s">
        <v>28</v>
      </c>
      <c r="O158" s="192" t="s">
        <v>29</v>
      </c>
      <c r="P158" s="192" t="s">
        <v>24</v>
      </c>
    </row>
    <row r="159" spans="1:16" ht="60" x14ac:dyDescent="0.3">
      <c r="A159" s="2">
        <v>2023096</v>
      </c>
      <c r="B159" s="2">
        <v>7655</v>
      </c>
      <c r="C159" s="3" t="s">
        <v>25</v>
      </c>
      <c r="D159" s="191" t="s">
        <v>125</v>
      </c>
      <c r="E159" s="192">
        <v>80111600</v>
      </c>
      <c r="F159" s="191" t="s">
        <v>137</v>
      </c>
      <c r="G159" s="193">
        <v>44927</v>
      </c>
      <c r="H159" s="193">
        <v>44949</v>
      </c>
      <c r="I159" s="191">
        <v>8</v>
      </c>
      <c r="J159" s="191" t="s">
        <v>20</v>
      </c>
      <c r="K159" s="195" t="s">
        <v>21</v>
      </c>
      <c r="L159" s="191" t="s">
        <v>27</v>
      </c>
      <c r="M159" s="214">
        <f>41400000-20700000</f>
        <v>20700000</v>
      </c>
      <c r="N159" s="192" t="s">
        <v>28</v>
      </c>
      <c r="O159" s="192" t="s">
        <v>29</v>
      </c>
      <c r="P159" s="192" t="s">
        <v>24</v>
      </c>
    </row>
    <row r="160" spans="1:16" ht="60" x14ac:dyDescent="0.3">
      <c r="A160" s="2">
        <v>2023097</v>
      </c>
      <c r="B160" s="2">
        <v>7655</v>
      </c>
      <c r="C160" s="3" t="s">
        <v>25</v>
      </c>
      <c r="D160" s="191" t="s">
        <v>125</v>
      </c>
      <c r="E160" s="192">
        <v>80111600</v>
      </c>
      <c r="F160" s="191" t="s">
        <v>141</v>
      </c>
      <c r="G160" s="193">
        <v>44941</v>
      </c>
      <c r="H160" s="193">
        <v>44963</v>
      </c>
      <c r="I160" s="191">
        <v>10</v>
      </c>
      <c r="J160" s="191" t="s">
        <v>20</v>
      </c>
      <c r="K160" s="195" t="s">
        <v>21</v>
      </c>
      <c r="L160" s="191" t="s">
        <v>27</v>
      </c>
      <c r="M160" s="214">
        <f>33500000-1000-4494000-6205000</f>
        <v>22800000</v>
      </c>
      <c r="N160" s="192" t="s">
        <v>28</v>
      </c>
      <c r="O160" s="192" t="s">
        <v>29</v>
      </c>
      <c r="P160" s="192" t="s">
        <v>24</v>
      </c>
    </row>
    <row r="161" spans="1:16" ht="75" x14ac:dyDescent="0.3">
      <c r="A161" s="2">
        <v>2023098</v>
      </c>
      <c r="B161" s="2">
        <v>7658</v>
      </c>
      <c r="C161" s="3" t="s">
        <v>142</v>
      </c>
      <c r="D161" s="191" t="s">
        <v>125</v>
      </c>
      <c r="E161" s="192">
        <v>80111600</v>
      </c>
      <c r="F161" s="191" t="s">
        <v>143</v>
      </c>
      <c r="G161" s="193">
        <v>44946</v>
      </c>
      <c r="H161" s="193">
        <v>44956</v>
      </c>
      <c r="I161" s="191">
        <v>10</v>
      </c>
      <c r="J161" s="191" t="s">
        <v>20</v>
      </c>
      <c r="K161" s="195" t="s">
        <v>21</v>
      </c>
      <c r="L161" s="191" t="s">
        <v>27</v>
      </c>
      <c r="M161" s="188">
        <f>56925000-5175000-7762500-23287500</f>
        <v>20700000</v>
      </c>
      <c r="N161" s="192" t="s">
        <v>144</v>
      </c>
      <c r="O161" s="192" t="s">
        <v>145</v>
      </c>
      <c r="P161" s="192" t="s">
        <v>24</v>
      </c>
    </row>
    <row r="162" spans="1:16" ht="75" x14ac:dyDescent="0.3">
      <c r="A162" s="2">
        <v>2023100</v>
      </c>
      <c r="B162" s="2">
        <v>7658</v>
      </c>
      <c r="C162" s="3" t="s">
        <v>142</v>
      </c>
      <c r="D162" s="191" t="s">
        <v>125</v>
      </c>
      <c r="E162" s="192">
        <v>80111600</v>
      </c>
      <c r="F162" s="191" t="s">
        <v>137</v>
      </c>
      <c r="G162" s="193">
        <v>44946</v>
      </c>
      <c r="H162" s="193">
        <v>44956</v>
      </c>
      <c r="I162" s="191">
        <v>9</v>
      </c>
      <c r="J162" s="191" t="s">
        <v>20</v>
      </c>
      <c r="K162" s="195" t="s">
        <v>21</v>
      </c>
      <c r="L162" s="191" t="s">
        <v>27</v>
      </c>
      <c r="M162" s="188">
        <f>51750000-5175000</f>
        <v>46575000</v>
      </c>
      <c r="N162" s="192" t="s">
        <v>144</v>
      </c>
      <c r="O162" s="192" t="s">
        <v>145</v>
      </c>
      <c r="P162" s="192" t="s">
        <v>24</v>
      </c>
    </row>
    <row r="163" spans="1:16" ht="75" x14ac:dyDescent="0.3">
      <c r="A163" s="2">
        <v>2023101</v>
      </c>
      <c r="B163" s="2">
        <v>7658</v>
      </c>
      <c r="C163" s="3" t="s">
        <v>142</v>
      </c>
      <c r="D163" s="191" t="s">
        <v>125</v>
      </c>
      <c r="E163" s="192">
        <v>80111600</v>
      </c>
      <c r="F163" s="191" t="s">
        <v>146</v>
      </c>
      <c r="G163" s="193">
        <v>44946</v>
      </c>
      <c r="H163" s="193">
        <v>44956</v>
      </c>
      <c r="I163" s="191">
        <v>10</v>
      </c>
      <c r="J163" s="191" t="s">
        <v>20</v>
      </c>
      <c r="K163" s="195" t="s">
        <v>21</v>
      </c>
      <c r="L163" s="191" t="s">
        <v>27</v>
      </c>
      <c r="M163" s="188">
        <f>80036000-17388000-6520500-3638000-20700000-24513500</f>
        <v>7276000</v>
      </c>
      <c r="N163" s="192" t="s">
        <v>144</v>
      </c>
      <c r="O163" s="192" t="s">
        <v>145</v>
      </c>
      <c r="P163" s="192" t="s">
        <v>24</v>
      </c>
    </row>
    <row r="164" spans="1:16" ht="75" x14ac:dyDescent="0.3">
      <c r="A164" s="2">
        <v>2023103</v>
      </c>
      <c r="B164" s="2">
        <v>7658</v>
      </c>
      <c r="C164" s="3" t="s">
        <v>142</v>
      </c>
      <c r="D164" s="191" t="s">
        <v>125</v>
      </c>
      <c r="E164" s="192">
        <v>80111600</v>
      </c>
      <c r="F164" s="191" t="s">
        <v>147</v>
      </c>
      <c r="G164" s="193">
        <v>44927</v>
      </c>
      <c r="H164" s="193">
        <v>44949</v>
      </c>
      <c r="I164" s="191">
        <v>10</v>
      </c>
      <c r="J164" s="191" t="s">
        <v>20</v>
      </c>
      <c r="K164" s="195" t="s">
        <v>21</v>
      </c>
      <c r="L164" s="191" t="s">
        <v>27</v>
      </c>
      <c r="M164" s="188">
        <f>24500000-3675000-11025000</f>
        <v>9800000</v>
      </c>
      <c r="N164" s="192" t="s">
        <v>144</v>
      </c>
      <c r="O164" s="192" t="s">
        <v>145</v>
      </c>
      <c r="P164" s="192" t="s">
        <v>24</v>
      </c>
    </row>
    <row r="165" spans="1:16" ht="75" x14ac:dyDescent="0.3">
      <c r="A165" s="2">
        <v>2023105</v>
      </c>
      <c r="B165" s="2">
        <v>7658</v>
      </c>
      <c r="C165" s="3" t="s">
        <v>142</v>
      </c>
      <c r="D165" s="191" t="s">
        <v>125</v>
      </c>
      <c r="E165" s="192">
        <v>80111600</v>
      </c>
      <c r="F165" s="191" t="s">
        <v>148</v>
      </c>
      <c r="G165" s="193">
        <v>44927</v>
      </c>
      <c r="H165" s="193">
        <v>44949</v>
      </c>
      <c r="I165" s="191">
        <v>10</v>
      </c>
      <c r="J165" s="191" t="s">
        <v>20</v>
      </c>
      <c r="K165" s="195" t="s">
        <v>21</v>
      </c>
      <c r="L165" s="191" t="s">
        <v>27</v>
      </c>
      <c r="M165" s="188">
        <v>43470000</v>
      </c>
      <c r="N165" s="192" t="s">
        <v>144</v>
      </c>
      <c r="O165" s="192" t="s">
        <v>145</v>
      </c>
      <c r="P165" s="192" t="s">
        <v>24</v>
      </c>
    </row>
    <row r="166" spans="1:16" ht="75" x14ac:dyDescent="0.3">
      <c r="A166" s="2">
        <v>2023106</v>
      </c>
      <c r="B166" s="2">
        <v>7658</v>
      </c>
      <c r="C166" s="3" t="s">
        <v>142</v>
      </c>
      <c r="D166" s="191" t="s">
        <v>125</v>
      </c>
      <c r="E166" s="192">
        <v>80111600</v>
      </c>
      <c r="F166" s="191" t="s">
        <v>149</v>
      </c>
      <c r="G166" s="193">
        <v>44958</v>
      </c>
      <c r="H166" s="193">
        <v>44972</v>
      </c>
      <c r="I166" s="191">
        <v>10</v>
      </c>
      <c r="J166" s="191" t="s">
        <v>20</v>
      </c>
      <c r="K166" s="195" t="s">
        <v>21</v>
      </c>
      <c r="L166" s="191" t="s">
        <v>27</v>
      </c>
      <c r="M166" s="188">
        <f>51750000-10350000-20700000</f>
        <v>20700000</v>
      </c>
      <c r="N166" s="192" t="s">
        <v>144</v>
      </c>
      <c r="O166" s="192" t="s">
        <v>145</v>
      </c>
      <c r="P166" s="192" t="s">
        <v>24</v>
      </c>
    </row>
    <row r="167" spans="1:16" ht="75" x14ac:dyDescent="0.3">
      <c r="A167" s="2">
        <v>2023110</v>
      </c>
      <c r="B167" s="2">
        <v>7658</v>
      </c>
      <c r="C167" s="3" t="s">
        <v>142</v>
      </c>
      <c r="D167" s="191" t="s">
        <v>125</v>
      </c>
      <c r="E167" s="192">
        <v>80111600</v>
      </c>
      <c r="F167" s="191" t="s">
        <v>132</v>
      </c>
      <c r="G167" s="193">
        <v>44941</v>
      </c>
      <c r="H167" s="193">
        <v>44963</v>
      </c>
      <c r="I167" s="191">
        <v>10</v>
      </c>
      <c r="J167" s="191" t="s">
        <v>20</v>
      </c>
      <c r="K167" s="195" t="s">
        <v>21</v>
      </c>
      <c r="L167" s="191" t="s">
        <v>27</v>
      </c>
      <c r="M167" s="188">
        <f>56930000-4158000-30000000</f>
        <v>22772000</v>
      </c>
      <c r="N167" s="192" t="s">
        <v>144</v>
      </c>
      <c r="O167" s="192" t="s">
        <v>145</v>
      </c>
      <c r="P167" s="192" t="s">
        <v>24</v>
      </c>
    </row>
    <row r="168" spans="1:16" ht="75" x14ac:dyDescent="0.3">
      <c r="A168" s="2">
        <v>2023113</v>
      </c>
      <c r="B168" s="2">
        <v>7658</v>
      </c>
      <c r="C168" s="3" t="s">
        <v>142</v>
      </c>
      <c r="D168" s="191" t="s">
        <v>125</v>
      </c>
      <c r="E168" s="192">
        <v>80111600</v>
      </c>
      <c r="F168" s="191" t="s">
        <v>152</v>
      </c>
      <c r="G168" s="193">
        <v>44972</v>
      </c>
      <c r="H168" s="193">
        <v>44986</v>
      </c>
      <c r="I168" s="191">
        <v>3</v>
      </c>
      <c r="J168" s="191" t="s">
        <v>20</v>
      </c>
      <c r="K168" s="195" t="s">
        <v>21</v>
      </c>
      <c r="L168" s="191" t="s">
        <v>27</v>
      </c>
      <c r="M168" s="188">
        <f>51750000-12937500-23287500</f>
        <v>15525000</v>
      </c>
      <c r="N168" s="192" t="s">
        <v>144</v>
      </c>
      <c r="O168" s="192" t="s">
        <v>145</v>
      </c>
      <c r="P168" s="192" t="s">
        <v>24</v>
      </c>
    </row>
    <row r="169" spans="1:16" ht="75" x14ac:dyDescent="0.3">
      <c r="A169" s="2">
        <v>2023114</v>
      </c>
      <c r="B169" s="2">
        <v>7658</v>
      </c>
      <c r="C169" s="3" t="s">
        <v>142</v>
      </c>
      <c r="D169" s="191" t="s">
        <v>125</v>
      </c>
      <c r="E169" s="192" t="s">
        <v>153</v>
      </c>
      <c r="F169" s="191" t="s">
        <v>749</v>
      </c>
      <c r="G169" s="193">
        <v>45184</v>
      </c>
      <c r="H169" s="193">
        <v>45229</v>
      </c>
      <c r="I169" s="191">
        <v>7</v>
      </c>
      <c r="J169" s="191" t="s">
        <v>154</v>
      </c>
      <c r="K169" s="195" t="s">
        <v>21</v>
      </c>
      <c r="L169" s="191" t="s">
        <v>27</v>
      </c>
      <c r="M169" s="188">
        <f>408258000-8258000-282342175</f>
        <v>117657825</v>
      </c>
      <c r="N169" s="192" t="s">
        <v>144</v>
      </c>
      <c r="O169" s="192" t="s">
        <v>145</v>
      </c>
      <c r="P169" s="192" t="s">
        <v>24</v>
      </c>
    </row>
    <row r="170" spans="1:16" ht="75" x14ac:dyDescent="0.3">
      <c r="A170" s="2">
        <v>2023115</v>
      </c>
      <c r="B170" s="2">
        <v>7658</v>
      </c>
      <c r="C170" s="3" t="s">
        <v>142</v>
      </c>
      <c r="D170" s="216" t="s">
        <v>125</v>
      </c>
      <c r="E170" s="217">
        <v>90121800</v>
      </c>
      <c r="F170" s="216" t="s">
        <v>155</v>
      </c>
      <c r="G170" s="218">
        <v>44927</v>
      </c>
      <c r="H170" s="218">
        <v>44957</v>
      </c>
      <c r="I170" s="216">
        <v>11</v>
      </c>
      <c r="J170" s="216" t="s">
        <v>20</v>
      </c>
      <c r="K170" s="219" t="s">
        <v>21</v>
      </c>
      <c r="L170" s="216" t="s">
        <v>27</v>
      </c>
      <c r="M170" s="188">
        <f>20000000+10000000+2100000+2100000+50000000+10000000+2000000</f>
        <v>96200000</v>
      </c>
      <c r="N170" s="217" t="s">
        <v>144</v>
      </c>
      <c r="O170" s="217" t="s">
        <v>145</v>
      </c>
      <c r="P170" s="217" t="s">
        <v>24</v>
      </c>
    </row>
    <row r="171" spans="1:16" ht="75" x14ac:dyDescent="0.3">
      <c r="A171" s="2">
        <v>2023116</v>
      </c>
      <c r="B171" s="2">
        <v>7658</v>
      </c>
      <c r="C171" s="3" t="s">
        <v>142</v>
      </c>
      <c r="D171" s="191" t="s">
        <v>125</v>
      </c>
      <c r="E171" s="192">
        <v>90121800</v>
      </c>
      <c r="F171" s="191" t="s">
        <v>156</v>
      </c>
      <c r="G171" s="193">
        <v>44927</v>
      </c>
      <c r="H171" s="193">
        <v>44957</v>
      </c>
      <c r="I171" s="191">
        <v>11</v>
      </c>
      <c r="J171" s="191" t="s">
        <v>20</v>
      </c>
      <c r="K171" s="195" t="s">
        <v>21</v>
      </c>
      <c r="L171" s="191" t="s">
        <v>27</v>
      </c>
      <c r="M171" s="188">
        <f>40000000-10000000</f>
        <v>30000000</v>
      </c>
      <c r="N171" s="192" t="s">
        <v>144</v>
      </c>
      <c r="O171" s="192" t="s">
        <v>145</v>
      </c>
      <c r="P171" s="192" t="s">
        <v>24</v>
      </c>
    </row>
    <row r="172" spans="1:16" ht="90" x14ac:dyDescent="0.3">
      <c r="A172" s="2">
        <v>2023117</v>
      </c>
      <c r="B172" s="2">
        <v>7658</v>
      </c>
      <c r="C172" s="3" t="s">
        <v>142</v>
      </c>
      <c r="D172" s="191" t="s">
        <v>45</v>
      </c>
      <c r="E172" s="192" t="s">
        <v>157</v>
      </c>
      <c r="F172" s="191" t="s">
        <v>158</v>
      </c>
      <c r="G172" s="193">
        <v>44946</v>
      </c>
      <c r="H172" s="193">
        <v>44977</v>
      </c>
      <c r="I172" s="191">
        <v>12</v>
      </c>
      <c r="J172" s="191" t="s">
        <v>159</v>
      </c>
      <c r="K172" s="195" t="s">
        <v>160</v>
      </c>
      <c r="L172" s="191" t="s">
        <v>161</v>
      </c>
      <c r="M172" s="188">
        <f>(7281553000+1000)-778415902</f>
        <v>6503138098</v>
      </c>
      <c r="N172" s="192" t="s">
        <v>162</v>
      </c>
      <c r="O172" s="192" t="s">
        <v>163</v>
      </c>
      <c r="P172" s="192" t="s">
        <v>24</v>
      </c>
    </row>
    <row r="173" spans="1:16" ht="90" x14ac:dyDescent="0.3">
      <c r="A173" s="2">
        <v>2023118</v>
      </c>
      <c r="B173" s="2">
        <v>7658</v>
      </c>
      <c r="C173" s="3" t="s">
        <v>142</v>
      </c>
      <c r="D173" s="191" t="s">
        <v>45</v>
      </c>
      <c r="E173" s="192" t="s">
        <v>164</v>
      </c>
      <c r="F173" s="191" t="s">
        <v>165</v>
      </c>
      <c r="G173" s="193">
        <v>44986</v>
      </c>
      <c r="H173" s="193">
        <v>45017</v>
      </c>
      <c r="I173" s="191">
        <v>5</v>
      </c>
      <c r="J173" s="191" t="s">
        <v>154</v>
      </c>
      <c r="K173" s="195" t="s">
        <v>21</v>
      </c>
      <c r="L173" s="191" t="s">
        <v>161</v>
      </c>
      <c r="M173" s="188">
        <f>389900000-86112000-33600000-17150000-2000000-168000000-33600000-20000000-20000000-9438000</f>
        <v>0</v>
      </c>
      <c r="N173" s="192" t="s">
        <v>166</v>
      </c>
      <c r="O173" s="192" t="s">
        <v>163</v>
      </c>
      <c r="P173" s="192" t="s">
        <v>24</v>
      </c>
    </row>
    <row r="174" spans="1:16" ht="90" x14ac:dyDescent="0.3">
      <c r="A174" s="2">
        <v>2023119</v>
      </c>
      <c r="B174" s="2">
        <v>7658</v>
      </c>
      <c r="C174" s="3" t="s">
        <v>142</v>
      </c>
      <c r="D174" s="191" t="s">
        <v>45</v>
      </c>
      <c r="E174" s="192">
        <v>80111600</v>
      </c>
      <c r="F174" s="191" t="s">
        <v>167</v>
      </c>
      <c r="G174" s="193">
        <v>44941</v>
      </c>
      <c r="H174" s="193">
        <v>44958</v>
      </c>
      <c r="I174" s="191">
        <v>11</v>
      </c>
      <c r="J174" s="191" t="s">
        <v>20</v>
      </c>
      <c r="K174" s="195" t="s">
        <v>21</v>
      </c>
      <c r="L174" s="191" t="s">
        <v>27</v>
      </c>
      <c r="M174" s="188">
        <f t="shared" ref="M174:M181" si="0">23100000-2100000</f>
        <v>21000000</v>
      </c>
      <c r="N174" s="192" t="s">
        <v>166</v>
      </c>
      <c r="O174" s="192" t="s">
        <v>163</v>
      </c>
      <c r="P174" s="192" t="s">
        <v>24</v>
      </c>
    </row>
    <row r="175" spans="1:16" ht="90" x14ac:dyDescent="0.3">
      <c r="A175" s="2">
        <v>2023120</v>
      </c>
      <c r="B175" s="2">
        <v>7658</v>
      </c>
      <c r="C175" s="3" t="s">
        <v>142</v>
      </c>
      <c r="D175" s="191" t="s">
        <v>45</v>
      </c>
      <c r="E175" s="192">
        <v>80111600</v>
      </c>
      <c r="F175" s="191" t="s">
        <v>167</v>
      </c>
      <c r="G175" s="193">
        <v>44941</v>
      </c>
      <c r="H175" s="193">
        <v>44958</v>
      </c>
      <c r="I175" s="191">
        <v>11</v>
      </c>
      <c r="J175" s="191" t="s">
        <v>20</v>
      </c>
      <c r="K175" s="195" t="s">
        <v>21</v>
      </c>
      <c r="L175" s="191" t="s">
        <v>27</v>
      </c>
      <c r="M175" s="188">
        <f t="shared" si="0"/>
        <v>21000000</v>
      </c>
      <c r="N175" s="192" t="s">
        <v>166</v>
      </c>
      <c r="O175" s="192" t="s">
        <v>163</v>
      </c>
      <c r="P175" s="192" t="s">
        <v>24</v>
      </c>
    </row>
    <row r="176" spans="1:16" ht="90" x14ac:dyDescent="0.3">
      <c r="A176" s="2">
        <v>2023121</v>
      </c>
      <c r="B176" s="2">
        <v>7658</v>
      </c>
      <c r="C176" s="3" t="s">
        <v>142</v>
      </c>
      <c r="D176" s="191" t="s">
        <v>45</v>
      </c>
      <c r="E176" s="192">
        <v>80111600</v>
      </c>
      <c r="F176" s="191" t="s">
        <v>167</v>
      </c>
      <c r="G176" s="193">
        <v>44941</v>
      </c>
      <c r="H176" s="193">
        <v>44958</v>
      </c>
      <c r="I176" s="191">
        <v>11</v>
      </c>
      <c r="J176" s="191" t="s">
        <v>20</v>
      </c>
      <c r="K176" s="195" t="s">
        <v>21</v>
      </c>
      <c r="L176" s="191" t="s">
        <v>27</v>
      </c>
      <c r="M176" s="188">
        <f t="shared" si="0"/>
        <v>21000000</v>
      </c>
      <c r="N176" s="192" t="s">
        <v>166</v>
      </c>
      <c r="O176" s="192" t="s">
        <v>163</v>
      </c>
      <c r="P176" s="192" t="s">
        <v>24</v>
      </c>
    </row>
    <row r="177" spans="1:16" ht="90" x14ac:dyDescent="0.3">
      <c r="A177" s="2">
        <v>2023122</v>
      </c>
      <c r="B177" s="2">
        <v>7658</v>
      </c>
      <c r="C177" s="3" t="s">
        <v>142</v>
      </c>
      <c r="D177" s="191" t="s">
        <v>45</v>
      </c>
      <c r="E177" s="192">
        <v>80111600</v>
      </c>
      <c r="F177" s="191" t="s">
        <v>167</v>
      </c>
      <c r="G177" s="193">
        <v>44941</v>
      </c>
      <c r="H177" s="193">
        <v>44958</v>
      </c>
      <c r="I177" s="191">
        <v>11</v>
      </c>
      <c r="J177" s="191" t="s">
        <v>20</v>
      </c>
      <c r="K177" s="195" t="s">
        <v>21</v>
      </c>
      <c r="L177" s="191" t="s">
        <v>27</v>
      </c>
      <c r="M177" s="188">
        <f t="shared" si="0"/>
        <v>21000000</v>
      </c>
      <c r="N177" s="192" t="s">
        <v>166</v>
      </c>
      <c r="O177" s="192" t="s">
        <v>163</v>
      </c>
      <c r="P177" s="192" t="s">
        <v>24</v>
      </c>
    </row>
    <row r="178" spans="1:16" ht="90" x14ac:dyDescent="0.3">
      <c r="A178" s="2">
        <v>2023123</v>
      </c>
      <c r="B178" s="2">
        <v>7658</v>
      </c>
      <c r="C178" s="3" t="s">
        <v>142</v>
      </c>
      <c r="D178" s="191" t="s">
        <v>45</v>
      </c>
      <c r="E178" s="192">
        <v>80111600</v>
      </c>
      <c r="F178" s="191" t="s">
        <v>167</v>
      </c>
      <c r="G178" s="193">
        <v>44941</v>
      </c>
      <c r="H178" s="193">
        <v>44958</v>
      </c>
      <c r="I178" s="191">
        <v>11</v>
      </c>
      <c r="J178" s="191" t="s">
        <v>20</v>
      </c>
      <c r="K178" s="195" t="s">
        <v>21</v>
      </c>
      <c r="L178" s="191" t="s">
        <v>27</v>
      </c>
      <c r="M178" s="188">
        <f t="shared" si="0"/>
        <v>21000000</v>
      </c>
      <c r="N178" s="192" t="s">
        <v>166</v>
      </c>
      <c r="O178" s="192" t="s">
        <v>163</v>
      </c>
      <c r="P178" s="192" t="s">
        <v>24</v>
      </c>
    </row>
    <row r="179" spans="1:16" ht="90" x14ac:dyDescent="0.3">
      <c r="A179" s="2">
        <v>2023124</v>
      </c>
      <c r="B179" s="2">
        <v>7658</v>
      </c>
      <c r="C179" s="3" t="s">
        <v>142</v>
      </c>
      <c r="D179" s="191" t="s">
        <v>45</v>
      </c>
      <c r="E179" s="192">
        <v>80111600</v>
      </c>
      <c r="F179" s="191" t="s">
        <v>167</v>
      </c>
      <c r="G179" s="193">
        <v>44941</v>
      </c>
      <c r="H179" s="193">
        <v>44958</v>
      </c>
      <c r="I179" s="191">
        <v>11</v>
      </c>
      <c r="J179" s="191" t="s">
        <v>20</v>
      </c>
      <c r="K179" s="195" t="s">
        <v>21</v>
      </c>
      <c r="L179" s="191" t="s">
        <v>27</v>
      </c>
      <c r="M179" s="188">
        <f t="shared" si="0"/>
        <v>21000000</v>
      </c>
      <c r="N179" s="192" t="s">
        <v>166</v>
      </c>
      <c r="O179" s="192" t="s">
        <v>163</v>
      </c>
      <c r="P179" s="192" t="s">
        <v>24</v>
      </c>
    </row>
    <row r="180" spans="1:16" ht="90" x14ac:dyDescent="0.3">
      <c r="A180" s="2">
        <v>2023125</v>
      </c>
      <c r="B180" s="2">
        <v>7658</v>
      </c>
      <c r="C180" s="3" t="s">
        <v>142</v>
      </c>
      <c r="D180" s="191" t="s">
        <v>45</v>
      </c>
      <c r="E180" s="192">
        <v>80111600</v>
      </c>
      <c r="F180" s="191" t="s">
        <v>167</v>
      </c>
      <c r="G180" s="193">
        <v>44941</v>
      </c>
      <c r="H180" s="193">
        <v>44958</v>
      </c>
      <c r="I180" s="191">
        <v>11</v>
      </c>
      <c r="J180" s="191" t="s">
        <v>20</v>
      </c>
      <c r="K180" s="195" t="s">
        <v>21</v>
      </c>
      <c r="L180" s="191" t="s">
        <v>27</v>
      </c>
      <c r="M180" s="188">
        <f t="shared" si="0"/>
        <v>21000000</v>
      </c>
      <c r="N180" s="192" t="s">
        <v>166</v>
      </c>
      <c r="O180" s="192" t="s">
        <v>163</v>
      </c>
      <c r="P180" s="192" t="s">
        <v>24</v>
      </c>
    </row>
    <row r="181" spans="1:16" ht="90" x14ac:dyDescent="0.3">
      <c r="A181" s="2">
        <v>2023126</v>
      </c>
      <c r="B181" s="2">
        <v>7658</v>
      </c>
      <c r="C181" s="3" t="s">
        <v>142</v>
      </c>
      <c r="D181" s="191" t="s">
        <v>45</v>
      </c>
      <c r="E181" s="192">
        <v>80111600</v>
      </c>
      <c r="F181" s="191" t="s">
        <v>167</v>
      </c>
      <c r="G181" s="193">
        <v>44941</v>
      </c>
      <c r="H181" s="193">
        <v>44958</v>
      </c>
      <c r="I181" s="191">
        <v>11</v>
      </c>
      <c r="J181" s="191" t="s">
        <v>20</v>
      </c>
      <c r="K181" s="195" t="s">
        <v>21</v>
      </c>
      <c r="L181" s="191" t="s">
        <v>27</v>
      </c>
      <c r="M181" s="188">
        <f t="shared" si="0"/>
        <v>21000000</v>
      </c>
      <c r="N181" s="192" t="s">
        <v>166</v>
      </c>
      <c r="O181" s="192" t="s">
        <v>163</v>
      </c>
      <c r="P181" s="192" t="s">
        <v>24</v>
      </c>
    </row>
    <row r="182" spans="1:16" ht="90" x14ac:dyDescent="0.3">
      <c r="A182" s="2">
        <v>2023127</v>
      </c>
      <c r="B182" s="2">
        <v>7658</v>
      </c>
      <c r="C182" s="3" t="s">
        <v>142</v>
      </c>
      <c r="D182" s="191" t="s">
        <v>45</v>
      </c>
      <c r="E182" s="192">
        <v>80111600</v>
      </c>
      <c r="F182" s="191" t="s">
        <v>167</v>
      </c>
      <c r="G182" s="193">
        <v>44941</v>
      </c>
      <c r="H182" s="193">
        <v>44958</v>
      </c>
      <c r="I182" s="191">
        <v>11</v>
      </c>
      <c r="J182" s="191" t="s">
        <v>20</v>
      </c>
      <c r="K182" s="195" t="s">
        <v>21</v>
      </c>
      <c r="L182" s="191" t="s">
        <v>27</v>
      </c>
      <c r="M182" s="188">
        <f>23100000-4200000</f>
        <v>18900000</v>
      </c>
      <c r="N182" s="192" t="s">
        <v>166</v>
      </c>
      <c r="O182" s="192" t="s">
        <v>163</v>
      </c>
      <c r="P182" s="192" t="s">
        <v>24</v>
      </c>
    </row>
    <row r="183" spans="1:16" ht="90" x14ac:dyDescent="0.3">
      <c r="A183" s="2">
        <v>2023128</v>
      </c>
      <c r="B183" s="2">
        <v>7658</v>
      </c>
      <c r="C183" s="3" t="s">
        <v>142</v>
      </c>
      <c r="D183" s="191" t="s">
        <v>45</v>
      </c>
      <c r="E183" s="192">
        <v>80111600</v>
      </c>
      <c r="F183" s="191" t="s">
        <v>168</v>
      </c>
      <c r="G183" s="193">
        <v>44941</v>
      </c>
      <c r="H183" s="193">
        <v>44958</v>
      </c>
      <c r="I183" s="191">
        <v>11</v>
      </c>
      <c r="J183" s="191" t="s">
        <v>20</v>
      </c>
      <c r="K183" s="195" t="s">
        <v>21</v>
      </c>
      <c r="L183" s="191" t="s">
        <v>27</v>
      </c>
      <c r="M183" s="188">
        <f>23100000-2100000</f>
        <v>21000000</v>
      </c>
      <c r="N183" s="192" t="s">
        <v>166</v>
      </c>
      <c r="O183" s="192" t="s">
        <v>163</v>
      </c>
      <c r="P183" s="192" t="s">
        <v>24</v>
      </c>
    </row>
    <row r="184" spans="1:16" ht="90" x14ac:dyDescent="0.3">
      <c r="A184" s="2">
        <v>2023129</v>
      </c>
      <c r="B184" s="2">
        <v>7658</v>
      </c>
      <c r="C184" s="3" t="s">
        <v>142</v>
      </c>
      <c r="D184" s="191" t="s">
        <v>45</v>
      </c>
      <c r="E184" s="192">
        <v>80111600</v>
      </c>
      <c r="F184" s="191" t="s">
        <v>167</v>
      </c>
      <c r="G184" s="193">
        <v>44941</v>
      </c>
      <c r="H184" s="193">
        <v>44986</v>
      </c>
      <c r="I184" s="191">
        <v>10</v>
      </c>
      <c r="J184" s="191" t="s">
        <v>20</v>
      </c>
      <c r="K184" s="195" t="s">
        <v>21</v>
      </c>
      <c r="L184" s="191" t="s">
        <v>27</v>
      </c>
      <c r="M184" s="188">
        <v>21000000</v>
      </c>
      <c r="N184" s="192" t="s">
        <v>166</v>
      </c>
      <c r="O184" s="192" t="s">
        <v>163</v>
      </c>
      <c r="P184" s="192" t="s">
        <v>24</v>
      </c>
    </row>
    <row r="185" spans="1:16" ht="90" x14ac:dyDescent="0.3">
      <c r="A185" s="2">
        <v>2023130</v>
      </c>
      <c r="B185" s="2">
        <v>7658</v>
      </c>
      <c r="C185" s="3" t="s">
        <v>142</v>
      </c>
      <c r="D185" s="191" t="s">
        <v>45</v>
      </c>
      <c r="E185" s="192">
        <v>80111600</v>
      </c>
      <c r="F185" s="191" t="s">
        <v>167</v>
      </c>
      <c r="G185" s="193">
        <v>44941</v>
      </c>
      <c r="H185" s="193">
        <v>44986</v>
      </c>
      <c r="I185" s="191">
        <v>10</v>
      </c>
      <c r="J185" s="191" t="s">
        <v>20</v>
      </c>
      <c r="K185" s="195" t="s">
        <v>21</v>
      </c>
      <c r="L185" s="191" t="s">
        <v>27</v>
      </c>
      <c r="M185" s="188">
        <v>21000000</v>
      </c>
      <c r="N185" s="192" t="s">
        <v>166</v>
      </c>
      <c r="O185" s="192" t="s">
        <v>163</v>
      </c>
      <c r="P185" s="192" t="s">
        <v>24</v>
      </c>
    </row>
    <row r="186" spans="1:16" ht="90" x14ac:dyDescent="0.3">
      <c r="A186" s="2">
        <v>2023131</v>
      </c>
      <c r="B186" s="2">
        <v>7658</v>
      </c>
      <c r="C186" s="3" t="s">
        <v>142</v>
      </c>
      <c r="D186" s="191" t="s">
        <v>45</v>
      </c>
      <c r="E186" s="192">
        <v>80111600</v>
      </c>
      <c r="F186" s="191" t="s">
        <v>169</v>
      </c>
      <c r="G186" s="193">
        <v>44941</v>
      </c>
      <c r="H186" s="193">
        <v>44986</v>
      </c>
      <c r="I186" s="191">
        <v>10</v>
      </c>
      <c r="J186" s="191" t="s">
        <v>20</v>
      </c>
      <c r="K186" s="195" t="s">
        <v>21</v>
      </c>
      <c r="L186" s="191" t="s">
        <v>27</v>
      </c>
      <c r="M186" s="188">
        <f>21000000-4200000</f>
        <v>16800000</v>
      </c>
      <c r="N186" s="192" t="s">
        <v>166</v>
      </c>
      <c r="O186" s="192" t="s">
        <v>163</v>
      </c>
      <c r="P186" s="192" t="s">
        <v>24</v>
      </c>
    </row>
    <row r="187" spans="1:16" ht="90" x14ac:dyDescent="0.3">
      <c r="A187" s="2">
        <v>2023132</v>
      </c>
      <c r="B187" s="2">
        <v>7658</v>
      </c>
      <c r="C187" s="3" t="s">
        <v>142</v>
      </c>
      <c r="D187" s="191" t="s">
        <v>45</v>
      </c>
      <c r="E187" s="192">
        <v>80111600</v>
      </c>
      <c r="F187" s="191" t="s">
        <v>167</v>
      </c>
      <c r="G187" s="193">
        <v>44941</v>
      </c>
      <c r="H187" s="193">
        <v>44986</v>
      </c>
      <c r="I187" s="191">
        <v>10</v>
      </c>
      <c r="J187" s="191" t="s">
        <v>20</v>
      </c>
      <c r="K187" s="195" t="s">
        <v>21</v>
      </c>
      <c r="L187" s="191" t="s">
        <v>27</v>
      </c>
      <c r="M187" s="188">
        <v>21000000</v>
      </c>
      <c r="N187" s="192" t="s">
        <v>166</v>
      </c>
      <c r="O187" s="192" t="s">
        <v>163</v>
      </c>
      <c r="P187" s="192" t="s">
        <v>24</v>
      </c>
    </row>
    <row r="188" spans="1:16" ht="90" x14ac:dyDescent="0.3">
      <c r="A188" s="2">
        <v>2023133</v>
      </c>
      <c r="B188" s="2">
        <v>7658</v>
      </c>
      <c r="C188" s="3" t="s">
        <v>142</v>
      </c>
      <c r="D188" s="191" t="s">
        <v>45</v>
      </c>
      <c r="E188" s="192">
        <v>80111600</v>
      </c>
      <c r="F188" s="191" t="s">
        <v>170</v>
      </c>
      <c r="G188" s="193">
        <v>45000</v>
      </c>
      <c r="H188" s="193">
        <v>45017</v>
      </c>
      <c r="I188" s="191">
        <v>10</v>
      </c>
      <c r="J188" s="191" t="s">
        <v>20</v>
      </c>
      <c r="K188" s="195" t="s">
        <v>21</v>
      </c>
      <c r="L188" s="191" t="s">
        <v>27</v>
      </c>
      <c r="M188" s="188">
        <f>21000000+7500000</f>
        <v>28500000</v>
      </c>
      <c r="N188" s="192" t="s">
        <v>166</v>
      </c>
      <c r="O188" s="192" t="s">
        <v>163</v>
      </c>
      <c r="P188" s="192" t="s">
        <v>24</v>
      </c>
    </row>
    <row r="189" spans="1:16" ht="90" x14ac:dyDescent="0.3">
      <c r="A189" s="2">
        <v>2023134</v>
      </c>
      <c r="B189" s="2">
        <v>7658</v>
      </c>
      <c r="C189" s="3" t="s">
        <v>142</v>
      </c>
      <c r="D189" s="191" t="s">
        <v>45</v>
      </c>
      <c r="E189" s="192">
        <v>80111600</v>
      </c>
      <c r="F189" s="191" t="s">
        <v>167</v>
      </c>
      <c r="G189" s="193">
        <v>44941</v>
      </c>
      <c r="H189" s="193">
        <v>44986</v>
      </c>
      <c r="I189" s="191">
        <v>10</v>
      </c>
      <c r="J189" s="191" t="s">
        <v>20</v>
      </c>
      <c r="K189" s="195" t="s">
        <v>21</v>
      </c>
      <c r="L189" s="191" t="s">
        <v>27</v>
      </c>
      <c r="M189" s="188">
        <v>21000000</v>
      </c>
      <c r="N189" s="192" t="s">
        <v>166</v>
      </c>
      <c r="O189" s="192" t="s">
        <v>163</v>
      </c>
      <c r="P189" s="192" t="s">
        <v>24</v>
      </c>
    </row>
    <row r="190" spans="1:16" ht="90" x14ac:dyDescent="0.3">
      <c r="A190" s="2">
        <v>2023135</v>
      </c>
      <c r="B190" s="2">
        <v>7658</v>
      </c>
      <c r="C190" s="3" t="s">
        <v>142</v>
      </c>
      <c r="D190" s="191" t="s">
        <v>45</v>
      </c>
      <c r="E190" s="192">
        <v>80111600</v>
      </c>
      <c r="F190" s="191" t="s">
        <v>167</v>
      </c>
      <c r="G190" s="193">
        <v>44941</v>
      </c>
      <c r="H190" s="193">
        <v>45000</v>
      </c>
      <c r="I190" s="191">
        <v>9</v>
      </c>
      <c r="J190" s="191" t="s">
        <v>20</v>
      </c>
      <c r="K190" s="195" t="s">
        <v>21</v>
      </c>
      <c r="L190" s="191" t="s">
        <v>27</v>
      </c>
      <c r="M190" s="188">
        <v>18900000</v>
      </c>
      <c r="N190" s="192" t="s">
        <v>166</v>
      </c>
      <c r="O190" s="192" t="s">
        <v>163</v>
      </c>
      <c r="P190" s="192" t="s">
        <v>24</v>
      </c>
    </row>
    <row r="191" spans="1:16" ht="105" x14ac:dyDescent="0.3">
      <c r="A191" s="2">
        <v>2023136</v>
      </c>
      <c r="B191" s="2">
        <v>7658</v>
      </c>
      <c r="C191" s="3" t="s">
        <v>142</v>
      </c>
      <c r="D191" s="191" t="s">
        <v>45</v>
      </c>
      <c r="E191" s="192">
        <v>80111600</v>
      </c>
      <c r="F191" s="191" t="s">
        <v>171</v>
      </c>
      <c r="G191" s="193">
        <v>44972</v>
      </c>
      <c r="H191" s="193">
        <v>44986</v>
      </c>
      <c r="I191" s="191">
        <v>10</v>
      </c>
      <c r="J191" s="191" t="s">
        <v>20</v>
      </c>
      <c r="K191" s="195" t="s">
        <v>21</v>
      </c>
      <c r="L191" s="191" t="s">
        <v>27</v>
      </c>
      <c r="M191" s="188">
        <f>36850000+3150000</f>
        <v>40000000</v>
      </c>
      <c r="N191" s="192" t="s">
        <v>166</v>
      </c>
      <c r="O191" s="192" t="s">
        <v>163</v>
      </c>
      <c r="P191" s="192" t="s">
        <v>24</v>
      </c>
    </row>
    <row r="192" spans="1:16" ht="90" x14ac:dyDescent="0.3">
      <c r="A192" s="4">
        <v>2023137</v>
      </c>
      <c r="B192" s="2">
        <v>7658</v>
      </c>
      <c r="C192" s="3" t="s">
        <v>142</v>
      </c>
      <c r="D192" s="191" t="s">
        <v>45</v>
      </c>
      <c r="E192" s="192">
        <v>80111600</v>
      </c>
      <c r="F192" s="191" t="s">
        <v>172</v>
      </c>
      <c r="G192" s="193">
        <v>44972</v>
      </c>
      <c r="H192" s="193">
        <v>44986</v>
      </c>
      <c r="I192" s="191">
        <v>10</v>
      </c>
      <c r="J192" s="191" t="s">
        <v>20</v>
      </c>
      <c r="K192" s="195" t="s">
        <v>21</v>
      </c>
      <c r="L192" s="191" t="s">
        <v>27</v>
      </c>
      <c r="M192" s="188">
        <f>36850000-2476000-874000</f>
        <v>33500000</v>
      </c>
      <c r="N192" s="192" t="s">
        <v>166</v>
      </c>
      <c r="O192" s="192" t="s">
        <v>163</v>
      </c>
      <c r="P192" s="192" t="s">
        <v>24</v>
      </c>
    </row>
    <row r="193" spans="1:16" ht="90" x14ac:dyDescent="0.3">
      <c r="A193" s="2">
        <v>2023138</v>
      </c>
      <c r="B193" s="2">
        <v>7658</v>
      </c>
      <c r="C193" s="3" t="s">
        <v>142</v>
      </c>
      <c r="D193" s="191" t="s">
        <v>45</v>
      </c>
      <c r="E193" s="192">
        <v>80111600</v>
      </c>
      <c r="F193" s="191" t="s">
        <v>173</v>
      </c>
      <c r="G193" s="193">
        <v>44941</v>
      </c>
      <c r="H193" s="193">
        <v>44958</v>
      </c>
      <c r="I193" s="191">
        <v>11</v>
      </c>
      <c r="J193" s="191" t="s">
        <v>20</v>
      </c>
      <c r="K193" s="195" t="s">
        <v>21</v>
      </c>
      <c r="L193" s="191" t="s">
        <v>27</v>
      </c>
      <c r="M193" s="188">
        <f>23100000+22875000+3525000-17200000</f>
        <v>32300000</v>
      </c>
      <c r="N193" s="192" t="s">
        <v>166</v>
      </c>
      <c r="O193" s="192" t="s">
        <v>163</v>
      </c>
      <c r="P193" s="192" t="s">
        <v>24</v>
      </c>
    </row>
    <row r="194" spans="1:16" ht="90" x14ac:dyDescent="0.3">
      <c r="A194" s="2">
        <v>2023139</v>
      </c>
      <c r="B194" s="2">
        <v>7658</v>
      </c>
      <c r="C194" s="3" t="s">
        <v>142</v>
      </c>
      <c r="D194" s="191" t="s">
        <v>45</v>
      </c>
      <c r="E194" s="192">
        <v>80111600</v>
      </c>
      <c r="F194" s="191" t="s">
        <v>174</v>
      </c>
      <c r="G194" s="193">
        <v>44941</v>
      </c>
      <c r="H194" s="193">
        <v>44958</v>
      </c>
      <c r="I194" s="191">
        <v>11</v>
      </c>
      <c r="J194" s="191" t="s">
        <v>20</v>
      </c>
      <c r="K194" s="195" t="s">
        <v>21</v>
      </c>
      <c r="L194" s="191" t="s">
        <v>27</v>
      </c>
      <c r="M194" s="188">
        <f>26950000+7125000+15425000-4500000</f>
        <v>45000000</v>
      </c>
      <c r="N194" s="192" t="s">
        <v>166</v>
      </c>
      <c r="O194" s="192" t="s">
        <v>163</v>
      </c>
      <c r="P194" s="192" t="s">
        <v>24</v>
      </c>
    </row>
    <row r="195" spans="1:16" ht="90" x14ac:dyDescent="0.3">
      <c r="A195" s="2">
        <v>2023140</v>
      </c>
      <c r="B195" s="2">
        <v>7658</v>
      </c>
      <c r="C195" s="3" t="s">
        <v>142</v>
      </c>
      <c r="D195" s="191" t="s">
        <v>45</v>
      </c>
      <c r="E195" s="192">
        <v>80111600</v>
      </c>
      <c r="F195" s="191" t="s">
        <v>175</v>
      </c>
      <c r="G195" s="193">
        <v>44941</v>
      </c>
      <c r="H195" s="193">
        <v>44958</v>
      </c>
      <c r="I195" s="191">
        <v>11</v>
      </c>
      <c r="J195" s="191" t="s">
        <v>20</v>
      </c>
      <c r="K195" s="195" t="s">
        <v>21</v>
      </c>
      <c r="L195" s="191" t="s">
        <v>27</v>
      </c>
      <c r="M195" s="188">
        <f>26950000-2450000</f>
        <v>24500000</v>
      </c>
      <c r="N195" s="192" t="s">
        <v>166</v>
      </c>
      <c r="O195" s="192" t="s">
        <v>163</v>
      </c>
      <c r="P195" s="192" t="s">
        <v>24</v>
      </c>
    </row>
    <row r="196" spans="1:16" ht="90" x14ac:dyDescent="0.3">
      <c r="A196" s="2">
        <v>2023141</v>
      </c>
      <c r="B196" s="2">
        <v>7658</v>
      </c>
      <c r="C196" s="3" t="s">
        <v>142</v>
      </c>
      <c r="D196" s="191" t="s">
        <v>45</v>
      </c>
      <c r="E196" s="192">
        <v>80111600</v>
      </c>
      <c r="F196" s="191" t="s">
        <v>175</v>
      </c>
      <c r="G196" s="193">
        <v>44941</v>
      </c>
      <c r="H196" s="193">
        <v>44958</v>
      </c>
      <c r="I196" s="191">
        <v>11</v>
      </c>
      <c r="J196" s="191" t="s">
        <v>20</v>
      </c>
      <c r="K196" s="195" t="s">
        <v>21</v>
      </c>
      <c r="L196" s="191" t="s">
        <v>27</v>
      </c>
      <c r="M196" s="188">
        <f>26950000-2450000</f>
        <v>24500000</v>
      </c>
      <c r="N196" s="192" t="s">
        <v>166</v>
      </c>
      <c r="O196" s="192" t="s">
        <v>163</v>
      </c>
      <c r="P196" s="192" t="s">
        <v>24</v>
      </c>
    </row>
    <row r="197" spans="1:16" ht="90" x14ac:dyDescent="0.3">
      <c r="A197" s="2">
        <v>2023142</v>
      </c>
      <c r="B197" s="2">
        <v>7658</v>
      </c>
      <c r="C197" s="3" t="s">
        <v>142</v>
      </c>
      <c r="D197" s="191" t="s">
        <v>45</v>
      </c>
      <c r="E197" s="192">
        <v>80111600</v>
      </c>
      <c r="F197" s="191" t="s">
        <v>175</v>
      </c>
      <c r="G197" s="193">
        <v>44941</v>
      </c>
      <c r="H197" s="193">
        <v>44958</v>
      </c>
      <c r="I197" s="191">
        <v>11</v>
      </c>
      <c r="J197" s="191" t="s">
        <v>20</v>
      </c>
      <c r="K197" s="195" t="s">
        <v>21</v>
      </c>
      <c r="L197" s="191" t="s">
        <v>27</v>
      </c>
      <c r="M197" s="188">
        <f>26950000-2450000</f>
        <v>24500000</v>
      </c>
      <c r="N197" s="192" t="s">
        <v>166</v>
      </c>
      <c r="O197" s="192" t="s">
        <v>163</v>
      </c>
      <c r="P197" s="192" t="s">
        <v>24</v>
      </c>
    </row>
    <row r="198" spans="1:16" ht="90" x14ac:dyDescent="0.3">
      <c r="A198" s="2">
        <v>2023143</v>
      </c>
      <c r="B198" s="2">
        <v>7658</v>
      </c>
      <c r="C198" s="3" t="s">
        <v>142</v>
      </c>
      <c r="D198" s="191" t="s">
        <v>45</v>
      </c>
      <c r="E198" s="192">
        <v>80111600</v>
      </c>
      <c r="F198" s="191" t="s">
        <v>175</v>
      </c>
      <c r="G198" s="193">
        <v>44941</v>
      </c>
      <c r="H198" s="193">
        <v>44958</v>
      </c>
      <c r="I198" s="191">
        <v>11</v>
      </c>
      <c r="J198" s="191" t="s">
        <v>20</v>
      </c>
      <c r="K198" s="195" t="s">
        <v>21</v>
      </c>
      <c r="L198" s="191" t="s">
        <v>27</v>
      </c>
      <c r="M198" s="188">
        <f>26950000-2450000</f>
        <v>24500000</v>
      </c>
      <c r="N198" s="192" t="s">
        <v>166</v>
      </c>
      <c r="O198" s="192" t="s">
        <v>163</v>
      </c>
      <c r="P198" s="192" t="s">
        <v>24</v>
      </c>
    </row>
    <row r="199" spans="1:16" ht="90" x14ac:dyDescent="0.3">
      <c r="A199" s="2">
        <v>2023144</v>
      </c>
      <c r="B199" s="2">
        <v>7658</v>
      </c>
      <c r="C199" s="3" t="s">
        <v>142</v>
      </c>
      <c r="D199" s="191" t="s">
        <v>45</v>
      </c>
      <c r="E199" s="192">
        <v>80111600</v>
      </c>
      <c r="F199" s="191" t="s">
        <v>175</v>
      </c>
      <c r="G199" s="193">
        <v>44941</v>
      </c>
      <c r="H199" s="193">
        <v>44958</v>
      </c>
      <c r="I199" s="191">
        <v>11</v>
      </c>
      <c r="J199" s="191" t="s">
        <v>20</v>
      </c>
      <c r="K199" s="195" t="s">
        <v>21</v>
      </c>
      <c r="L199" s="191" t="s">
        <v>27</v>
      </c>
      <c r="M199" s="188">
        <v>26950000</v>
      </c>
      <c r="N199" s="192" t="s">
        <v>166</v>
      </c>
      <c r="O199" s="192" t="s">
        <v>163</v>
      </c>
      <c r="P199" s="192" t="s">
        <v>24</v>
      </c>
    </row>
    <row r="200" spans="1:16" ht="90" x14ac:dyDescent="0.3">
      <c r="A200" s="2">
        <v>2023145</v>
      </c>
      <c r="B200" s="2">
        <v>7658</v>
      </c>
      <c r="C200" s="3" t="s">
        <v>142</v>
      </c>
      <c r="D200" s="191" t="s">
        <v>45</v>
      </c>
      <c r="E200" s="192">
        <v>80111600</v>
      </c>
      <c r="F200" s="191" t="s">
        <v>176</v>
      </c>
      <c r="G200" s="193">
        <v>44972</v>
      </c>
      <c r="H200" s="193">
        <v>45000</v>
      </c>
      <c r="I200" s="191">
        <v>9</v>
      </c>
      <c r="J200" s="191" t="s">
        <v>20</v>
      </c>
      <c r="K200" s="195" t="s">
        <v>21</v>
      </c>
      <c r="L200" s="191" t="s">
        <v>27</v>
      </c>
      <c r="M200" s="188">
        <f>22050000+23456000+6634000</f>
        <v>52140000</v>
      </c>
      <c r="N200" s="192" t="s">
        <v>166</v>
      </c>
      <c r="O200" s="192" t="s">
        <v>163</v>
      </c>
      <c r="P200" s="192" t="s">
        <v>24</v>
      </c>
    </row>
    <row r="201" spans="1:16" ht="105" x14ac:dyDescent="0.3">
      <c r="A201" s="2">
        <v>2023146</v>
      </c>
      <c r="B201" s="2">
        <v>7658</v>
      </c>
      <c r="C201" s="3" t="s">
        <v>142</v>
      </c>
      <c r="D201" s="191" t="s">
        <v>45</v>
      </c>
      <c r="E201" s="192">
        <v>80111600</v>
      </c>
      <c r="F201" s="191" t="s">
        <v>177</v>
      </c>
      <c r="G201" s="193">
        <v>44941</v>
      </c>
      <c r="H201" s="193">
        <v>44958</v>
      </c>
      <c r="I201" s="191">
        <v>11</v>
      </c>
      <c r="J201" s="191" t="s">
        <v>20</v>
      </c>
      <c r="K201" s="195" t="s">
        <v>21</v>
      </c>
      <c r="L201" s="191" t="s">
        <v>27</v>
      </c>
      <c r="M201" s="188">
        <f>42350000+400000</f>
        <v>42750000</v>
      </c>
      <c r="N201" s="192" t="s">
        <v>166</v>
      </c>
      <c r="O201" s="192" t="s">
        <v>163</v>
      </c>
      <c r="P201" s="192" t="s">
        <v>24</v>
      </c>
    </row>
    <row r="202" spans="1:16" ht="90" x14ac:dyDescent="0.3">
      <c r="A202" s="2">
        <v>2023147</v>
      </c>
      <c r="B202" s="2">
        <v>7658</v>
      </c>
      <c r="C202" s="3" t="s">
        <v>142</v>
      </c>
      <c r="D202" s="191" t="s">
        <v>45</v>
      </c>
      <c r="E202" s="192">
        <v>80111600</v>
      </c>
      <c r="F202" s="191" t="s">
        <v>178</v>
      </c>
      <c r="G202" s="193">
        <v>44941</v>
      </c>
      <c r="H202" s="193">
        <v>44958</v>
      </c>
      <c r="I202" s="191">
        <v>11</v>
      </c>
      <c r="J202" s="191" t="s">
        <v>20</v>
      </c>
      <c r="K202" s="195" t="s">
        <v>21</v>
      </c>
      <c r="L202" s="191" t="s">
        <v>27</v>
      </c>
      <c r="M202" s="188">
        <f>49500000-4500000</f>
        <v>45000000</v>
      </c>
      <c r="N202" s="192" t="s">
        <v>166</v>
      </c>
      <c r="O202" s="192" t="s">
        <v>163</v>
      </c>
      <c r="P202" s="192" t="s">
        <v>24</v>
      </c>
    </row>
    <row r="203" spans="1:16" ht="105" x14ac:dyDescent="0.3">
      <c r="A203" s="2">
        <v>2023148</v>
      </c>
      <c r="B203" s="2">
        <v>7658</v>
      </c>
      <c r="C203" s="3" t="s">
        <v>142</v>
      </c>
      <c r="D203" s="191" t="s">
        <v>45</v>
      </c>
      <c r="E203" s="192">
        <v>80111600</v>
      </c>
      <c r="F203" s="191" t="s">
        <v>179</v>
      </c>
      <c r="G203" s="193">
        <v>44941</v>
      </c>
      <c r="H203" s="193">
        <v>44958</v>
      </c>
      <c r="I203" s="191">
        <v>11</v>
      </c>
      <c r="J203" s="191" t="s">
        <v>20</v>
      </c>
      <c r="K203" s="195" t="s">
        <v>21</v>
      </c>
      <c r="L203" s="191" t="s">
        <v>27</v>
      </c>
      <c r="M203" s="188">
        <f>49500000+79087500-500-22050000-16537000</f>
        <v>90000000</v>
      </c>
      <c r="N203" s="192" t="s">
        <v>166</v>
      </c>
      <c r="O203" s="192" t="s">
        <v>163</v>
      </c>
      <c r="P203" s="192" t="s">
        <v>24</v>
      </c>
    </row>
    <row r="204" spans="1:16" ht="90" x14ac:dyDescent="0.3">
      <c r="A204" s="2">
        <v>2023149</v>
      </c>
      <c r="B204" s="2">
        <v>7658</v>
      </c>
      <c r="C204" s="3" t="s">
        <v>142</v>
      </c>
      <c r="D204" s="191" t="s">
        <v>45</v>
      </c>
      <c r="E204" s="192">
        <v>80111600</v>
      </c>
      <c r="F204" s="191" t="s">
        <v>180</v>
      </c>
      <c r="G204" s="193">
        <v>44941</v>
      </c>
      <c r="H204" s="193">
        <v>44958</v>
      </c>
      <c r="I204" s="191">
        <v>11</v>
      </c>
      <c r="J204" s="191" t="s">
        <v>20</v>
      </c>
      <c r="K204" s="195" t="s">
        <v>21</v>
      </c>
      <c r="L204" s="191" t="s">
        <v>27</v>
      </c>
      <c r="M204" s="188">
        <f>49500000+5500000</f>
        <v>55000000</v>
      </c>
      <c r="N204" s="192" t="s">
        <v>166</v>
      </c>
      <c r="O204" s="192" t="s">
        <v>163</v>
      </c>
      <c r="P204" s="192" t="s">
        <v>24</v>
      </c>
    </row>
    <row r="205" spans="1:16" ht="90" x14ac:dyDescent="0.3">
      <c r="A205" s="2">
        <v>2023150</v>
      </c>
      <c r="B205" s="2">
        <v>7658</v>
      </c>
      <c r="C205" s="3" t="s">
        <v>142</v>
      </c>
      <c r="D205" s="191" t="s">
        <v>45</v>
      </c>
      <c r="E205" s="192">
        <v>80111600</v>
      </c>
      <c r="F205" s="191" t="s">
        <v>181</v>
      </c>
      <c r="G205" s="193">
        <v>44941</v>
      </c>
      <c r="H205" s="193">
        <v>44958</v>
      </c>
      <c r="I205" s="191">
        <v>11</v>
      </c>
      <c r="J205" s="191" t="s">
        <v>20</v>
      </c>
      <c r="K205" s="195" t="s">
        <v>21</v>
      </c>
      <c r="L205" s="191" t="s">
        <v>27</v>
      </c>
      <c r="M205" s="188">
        <f>49500000-4500000</f>
        <v>45000000</v>
      </c>
      <c r="N205" s="192" t="s">
        <v>166</v>
      </c>
      <c r="O205" s="192" t="s">
        <v>163</v>
      </c>
      <c r="P205" s="192" t="s">
        <v>24</v>
      </c>
    </row>
    <row r="206" spans="1:16" ht="90" x14ac:dyDescent="0.3">
      <c r="A206" s="2">
        <v>2023151</v>
      </c>
      <c r="B206" s="2">
        <v>7658</v>
      </c>
      <c r="C206" s="3" t="s">
        <v>142</v>
      </c>
      <c r="D206" s="191" t="s">
        <v>45</v>
      </c>
      <c r="E206" s="192">
        <v>80111600</v>
      </c>
      <c r="F206" s="191" t="s">
        <v>182</v>
      </c>
      <c r="G206" s="193">
        <v>44941</v>
      </c>
      <c r="H206" s="193">
        <v>44958</v>
      </c>
      <c r="I206" s="191">
        <v>11</v>
      </c>
      <c r="J206" s="191" t="s">
        <v>20</v>
      </c>
      <c r="K206" s="195" t="s">
        <v>21</v>
      </c>
      <c r="L206" s="191" t="s">
        <v>27</v>
      </c>
      <c r="M206" s="188">
        <f>49500000+5500000</f>
        <v>55000000</v>
      </c>
      <c r="N206" s="192" t="s">
        <v>166</v>
      </c>
      <c r="O206" s="192" t="s">
        <v>163</v>
      </c>
      <c r="P206" s="192" t="s">
        <v>24</v>
      </c>
    </row>
    <row r="207" spans="1:16" ht="120" x14ac:dyDescent="0.3">
      <c r="A207" s="2">
        <v>2023152</v>
      </c>
      <c r="B207" s="2">
        <v>7658</v>
      </c>
      <c r="C207" s="3" t="s">
        <v>142</v>
      </c>
      <c r="D207" s="191" t="s">
        <v>45</v>
      </c>
      <c r="E207" s="192">
        <v>80111600</v>
      </c>
      <c r="F207" s="191" t="s">
        <v>183</v>
      </c>
      <c r="G207" s="193">
        <v>44941</v>
      </c>
      <c r="H207" s="193">
        <v>44958</v>
      </c>
      <c r="I207" s="191">
        <v>10</v>
      </c>
      <c r="J207" s="191" t="s">
        <v>20</v>
      </c>
      <c r="K207" s="195" t="s">
        <v>21</v>
      </c>
      <c r="L207" s="191" t="s">
        <v>27</v>
      </c>
      <c r="M207" s="188">
        <f>45000000+6544000+19956000</f>
        <v>71500000</v>
      </c>
      <c r="N207" s="192" t="s">
        <v>166</v>
      </c>
      <c r="O207" s="192" t="s">
        <v>163</v>
      </c>
      <c r="P207" s="192" t="s">
        <v>24</v>
      </c>
    </row>
    <row r="208" spans="1:16" ht="135" x14ac:dyDescent="0.3">
      <c r="A208" s="2">
        <v>2023153</v>
      </c>
      <c r="B208" s="2">
        <v>7658</v>
      </c>
      <c r="C208" s="3" t="s">
        <v>142</v>
      </c>
      <c r="D208" s="191" t="s">
        <v>45</v>
      </c>
      <c r="E208" s="192">
        <v>80111600</v>
      </c>
      <c r="F208" s="191" t="s">
        <v>184</v>
      </c>
      <c r="G208" s="193">
        <v>44941</v>
      </c>
      <c r="H208" s="193">
        <v>44958</v>
      </c>
      <c r="I208" s="191">
        <v>11</v>
      </c>
      <c r="J208" s="191" t="s">
        <v>20</v>
      </c>
      <c r="K208" s="195" t="s">
        <v>21</v>
      </c>
      <c r="L208" s="191" t="s">
        <v>27</v>
      </c>
      <c r="M208" s="188">
        <f>49500000-400000-1600000</f>
        <v>47500000</v>
      </c>
      <c r="N208" s="192" t="s">
        <v>166</v>
      </c>
      <c r="O208" s="192" t="s">
        <v>163</v>
      </c>
      <c r="P208" s="192" t="s">
        <v>24</v>
      </c>
    </row>
    <row r="209" spans="1:16" ht="90" x14ac:dyDescent="0.3">
      <c r="A209" s="2">
        <v>2023154</v>
      </c>
      <c r="B209" s="2">
        <v>7658</v>
      </c>
      <c r="C209" s="3" t="s">
        <v>142</v>
      </c>
      <c r="D209" s="191" t="s">
        <v>45</v>
      </c>
      <c r="E209" s="192">
        <v>80111600</v>
      </c>
      <c r="F209" s="191" t="s">
        <v>185</v>
      </c>
      <c r="G209" s="193">
        <v>44972</v>
      </c>
      <c r="H209" s="193">
        <v>44986</v>
      </c>
      <c r="I209" s="191">
        <v>10</v>
      </c>
      <c r="J209" s="191" t="s">
        <v>20</v>
      </c>
      <c r="K209" s="195" t="s">
        <v>21</v>
      </c>
      <c r="L209" s="191" t="s">
        <v>27</v>
      </c>
      <c r="M209" s="188">
        <v>45000000</v>
      </c>
      <c r="N209" s="192" t="s">
        <v>166</v>
      </c>
      <c r="O209" s="192" t="s">
        <v>163</v>
      </c>
      <c r="P209" s="192" t="s">
        <v>24</v>
      </c>
    </row>
    <row r="210" spans="1:16" ht="90" x14ac:dyDescent="0.3">
      <c r="A210" s="2">
        <v>2023155</v>
      </c>
      <c r="B210" s="2">
        <v>7658</v>
      </c>
      <c r="C210" s="3" t="s">
        <v>142</v>
      </c>
      <c r="D210" s="191" t="s">
        <v>45</v>
      </c>
      <c r="E210" s="192">
        <v>80111600</v>
      </c>
      <c r="F210" s="191" t="s">
        <v>185</v>
      </c>
      <c r="G210" s="193">
        <v>44972</v>
      </c>
      <c r="H210" s="193">
        <v>44986</v>
      </c>
      <c r="I210" s="191">
        <v>10</v>
      </c>
      <c r="J210" s="191" t="s">
        <v>20</v>
      </c>
      <c r="K210" s="195" t="s">
        <v>21</v>
      </c>
      <c r="L210" s="191" t="s">
        <v>27</v>
      </c>
      <c r="M210" s="188">
        <v>45000000</v>
      </c>
      <c r="N210" s="192" t="s">
        <v>166</v>
      </c>
      <c r="O210" s="192" t="s">
        <v>163</v>
      </c>
      <c r="P210" s="192" t="s">
        <v>24</v>
      </c>
    </row>
    <row r="211" spans="1:16" ht="90" x14ac:dyDescent="0.3">
      <c r="A211" s="2">
        <v>2023156</v>
      </c>
      <c r="B211" s="2">
        <v>7658</v>
      </c>
      <c r="C211" s="3" t="s">
        <v>142</v>
      </c>
      <c r="D211" s="191" t="s">
        <v>45</v>
      </c>
      <c r="E211" s="192">
        <v>80111600</v>
      </c>
      <c r="F211" s="191" t="s">
        <v>186</v>
      </c>
      <c r="G211" s="193">
        <v>44972</v>
      </c>
      <c r="H211" s="193">
        <v>44986</v>
      </c>
      <c r="I211" s="191">
        <v>9</v>
      </c>
      <c r="J211" s="191" t="s">
        <v>20</v>
      </c>
      <c r="K211" s="195" t="s">
        <v>21</v>
      </c>
      <c r="L211" s="191" t="s">
        <v>27</v>
      </c>
      <c r="M211" s="188">
        <v>45900000</v>
      </c>
      <c r="N211" s="192" t="s">
        <v>166</v>
      </c>
      <c r="O211" s="192" t="s">
        <v>163</v>
      </c>
      <c r="P211" s="192" t="s">
        <v>24</v>
      </c>
    </row>
    <row r="212" spans="1:16" ht="90" x14ac:dyDescent="0.3">
      <c r="A212" s="2">
        <v>2023157</v>
      </c>
      <c r="B212" s="2">
        <v>7658</v>
      </c>
      <c r="C212" s="3" t="s">
        <v>142</v>
      </c>
      <c r="D212" s="191" t="s">
        <v>45</v>
      </c>
      <c r="E212" s="192">
        <v>80111600</v>
      </c>
      <c r="F212" s="191" t="s">
        <v>187</v>
      </c>
      <c r="G212" s="193">
        <v>44941</v>
      </c>
      <c r="H212" s="193">
        <v>44958</v>
      </c>
      <c r="I212" s="191">
        <v>11</v>
      </c>
      <c r="J212" s="191" t="s">
        <v>20</v>
      </c>
      <c r="K212" s="195" t="s">
        <v>21</v>
      </c>
      <c r="L212" s="191" t="s">
        <v>27</v>
      </c>
      <c r="M212" s="188">
        <f>74800000-13050000</f>
        <v>61750000</v>
      </c>
      <c r="N212" s="192" t="s">
        <v>166</v>
      </c>
      <c r="O212" s="192" t="s">
        <v>163</v>
      </c>
      <c r="P212" s="192" t="s">
        <v>24</v>
      </c>
    </row>
    <row r="213" spans="1:16" ht="90" x14ac:dyDescent="0.3">
      <c r="A213" s="2">
        <v>2023158</v>
      </c>
      <c r="B213" s="2">
        <v>7658</v>
      </c>
      <c r="C213" s="3" t="s">
        <v>142</v>
      </c>
      <c r="D213" s="191" t="s">
        <v>45</v>
      </c>
      <c r="E213" s="192">
        <v>80111600</v>
      </c>
      <c r="F213" s="191" t="s">
        <v>188</v>
      </c>
      <c r="G213" s="193">
        <v>44941</v>
      </c>
      <c r="H213" s="193">
        <v>44958</v>
      </c>
      <c r="I213" s="191">
        <v>11</v>
      </c>
      <c r="J213" s="191" t="s">
        <v>20</v>
      </c>
      <c r="K213" s="195" t="s">
        <v>21</v>
      </c>
      <c r="L213" s="191" t="s">
        <v>27</v>
      </c>
      <c r="M213" s="188">
        <f>74800000+3200000</f>
        <v>78000000</v>
      </c>
      <c r="N213" s="192" t="s">
        <v>166</v>
      </c>
      <c r="O213" s="192" t="s">
        <v>163</v>
      </c>
      <c r="P213" s="192" t="s">
        <v>24</v>
      </c>
    </row>
    <row r="214" spans="1:16" ht="90" x14ac:dyDescent="0.3">
      <c r="A214" s="2">
        <v>2023159</v>
      </c>
      <c r="B214" s="2">
        <v>7658</v>
      </c>
      <c r="C214" s="3" t="s">
        <v>142</v>
      </c>
      <c r="D214" s="191" t="s">
        <v>45</v>
      </c>
      <c r="E214" s="192">
        <v>80111600</v>
      </c>
      <c r="F214" s="191" t="s">
        <v>187</v>
      </c>
      <c r="G214" s="193">
        <v>44941</v>
      </c>
      <c r="H214" s="193">
        <v>44958</v>
      </c>
      <c r="I214" s="191">
        <v>11</v>
      </c>
      <c r="J214" s="191" t="s">
        <v>20</v>
      </c>
      <c r="K214" s="195" t="s">
        <v>21</v>
      </c>
      <c r="L214" s="191" t="s">
        <v>27</v>
      </c>
      <c r="M214" s="188">
        <f>74800000+1700000+44000+11579500+4826500+150000000-60000000-18000000-5500000-5500000-3200000-37125000-14625000</f>
        <v>99000000</v>
      </c>
      <c r="N214" s="192" t="s">
        <v>166</v>
      </c>
      <c r="O214" s="192" t="s">
        <v>163</v>
      </c>
      <c r="P214" s="192" t="s">
        <v>24</v>
      </c>
    </row>
    <row r="215" spans="1:16" ht="90" x14ac:dyDescent="0.3">
      <c r="A215" s="2">
        <v>2023160</v>
      </c>
      <c r="B215" s="2">
        <v>7658</v>
      </c>
      <c r="C215" s="3" t="s">
        <v>142</v>
      </c>
      <c r="D215" s="191" t="s">
        <v>45</v>
      </c>
      <c r="E215" s="192">
        <v>80111600</v>
      </c>
      <c r="F215" s="191" t="s">
        <v>189</v>
      </c>
      <c r="G215" s="193">
        <v>44941</v>
      </c>
      <c r="H215" s="193">
        <v>44958</v>
      </c>
      <c r="I215" s="191">
        <v>11</v>
      </c>
      <c r="J215" s="191" t="s">
        <v>20</v>
      </c>
      <c r="K215" s="195" t="s">
        <v>21</v>
      </c>
      <c r="L215" s="191" t="s">
        <v>27</v>
      </c>
      <c r="M215" s="188">
        <f>74800000-6800000</f>
        <v>68000000</v>
      </c>
      <c r="N215" s="192" t="s">
        <v>166</v>
      </c>
      <c r="O215" s="192" t="s">
        <v>163</v>
      </c>
      <c r="P215" s="192" t="s">
        <v>24</v>
      </c>
    </row>
    <row r="216" spans="1:16" ht="105" x14ac:dyDescent="0.3">
      <c r="A216" s="2">
        <v>2023161</v>
      </c>
      <c r="B216" s="2">
        <v>7658</v>
      </c>
      <c r="C216" s="3" t="s">
        <v>142</v>
      </c>
      <c r="D216" s="191" t="s">
        <v>45</v>
      </c>
      <c r="E216" s="192">
        <v>80111600</v>
      </c>
      <c r="F216" s="191" t="s">
        <v>190</v>
      </c>
      <c r="G216" s="193">
        <v>44941</v>
      </c>
      <c r="H216" s="193">
        <v>44958</v>
      </c>
      <c r="I216" s="191">
        <v>10</v>
      </c>
      <c r="J216" s="191" t="s">
        <v>20</v>
      </c>
      <c r="K216" s="195" t="s">
        <v>21</v>
      </c>
      <c r="L216" s="191" t="s">
        <v>27</v>
      </c>
      <c r="M216" s="188">
        <f>73000000+8300000+10000000</f>
        <v>91300000</v>
      </c>
      <c r="N216" s="192" t="s">
        <v>166</v>
      </c>
      <c r="O216" s="192" t="s">
        <v>163</v>
      </c>
      <c r="P216" s="192" t="s">
        <v>24</v>
      </c>
    </row>
    <row r="217" spans="1:16" ht="135" x14ac:dyDescent="0.3">
      <c r="A217" s="2">
        <v>2023162</v>
      </c>
      <c r="B217" s="2">
        <v>7658</v>
      </c>
      <c r="C217" s="3" t="s">
        <v>142</v>
      </c>
      <c r="D217" s="191" t="s">
        <v>45</v>
      </c>
      <c r="E217" s="192">
        <v>80111600</v>
      </c>
      <c r="F217" s="191" t="s">
        <v>191</v>
      </c>
      <c r="G217" s="193">
        <v>44941</v>
      </c>
      <c r="H217" s="193">
        <v>44958</v>
      </c>
      <c r="I217" s="191">
        <v>9</v>
      </c>
      <c r="J217" s="191" t="s">
        <v>20</v>
      </c>
      <c r="K217" s="195" t="s">
        <v>21</v>
      </c>
      <c r="L217" s="191" t="s">
        <v>27</v>
      </c>
      <c r="M217" s="188">
        <f>61200000+20912500+46475000-3150000-7500000-500-7425000-11512000</f>
        <v>99000000</v>
      </c>
      <c r="N217" s="192" t="s">
        <v>166</v>
      </c>
      <c r="O217" s="192" t="s">
        <v>163</v>
      </c>
      <c r="P217" s="192" t="s">
        <v>24</v>
      </c>
    </row>
    <row r="218" spans="1:16" ht="75" x14ac:dyDescent="0.3">
      <c r="A218" s="2">
        <v>2023163</v>
      </c>
      <c r="B218" s="2">
        <v>7655</v>
      </c>
      <c r="C218" s="3" t="s">
        <v>25</v>
      </c>
      <c r="D218" s="191" t="s">
        <v>192</v>
      </c>
      <c r="E218" s="192">
        <v>80111600</v>
      </c>
      <c r="F218" s="191" t="s">
        <v>193</v>
      </c>
      <c r="G218" s="193">
        <v>44927</v>
      </c>
      <c r="H218" s="193">
        <v>44944</v>
      </c>
      <c r="I218" s="191">
        <v>12</v>
      </c>
      <c r="J218" s="191" t="s">
        <v>20</v>
      </c>
      <c r="K218" s="195" t="s">
        <v>21</v>
      </c>
      <c r="L218" s="191" t="s">
        <v>27</v>
      </c>
      <c r="M218" s="214">
        <f>39476435-13158811</f>
        <v>26317624</v>
      </c>
      <c r="N218" s="192" t="s">
        <v>28</v>
      </c>
      <c r="O218" s="192" t="s">
        <v>29</v>
      </c>
      <c r="P218" s="192" t="s">
        <v>24</v>
      </c>
    </row>
    <row r="219" spans="1:16" ht="60" x14ac:dyDescent="0.3">
      <c r="A219" s="2">
        <v>2023164</v>
      </c>
      <c r="B219" s="2">
        <v>7655</v>
      </c>
      <c r="C219" s="3" t="s">
        <v>25</v>
      </c>
      <c r="D219" s="191" t="s">
        <v>192</v>
      </c>
      <c r="E219" s="192">
        <v>80111600</v>
      </c>
      <c r="F219" s="191" t="s">
        <v>194</v>
      </c>
      <c r="G219" s="193">
        <v>44927</v>
      </c>
      <c r="H219" s="193">
        <v>44944</v>
      </c>
      <c r="I219" s="191">
        <v>12</v>
      </c>
      <c r="J219" s="191" t="s">
        <v>20</v>
      </c>
      <c r="K219" s="195" t="s">
        <v>21</v>
      </c>
      <c r="L219" s="191" t="s">
        <v>27</v>
      </c>
      <c r="M219" s="214">
        <f>45696996-22848498</f>
        <v>22848498</v>
      </c>
      <c r="N219" s="192" t="s">
        <v>28</v>
      </c>
      <c r="O219" s="192" t="s">
        <v>29</v>
      </c>
      <c r="P219" s="192" t="s">
        <v>24</v>
      </c>
    </row>
    <row r="220" spans="1:16" ht="60" x14ac:dyDescent="0.3">
      <c r="A220" s="2">
        <v>2023165</v>
      </c>
      <c r="B220" s="2">
        <v>7655</v>
      </c>
      <c r="C220" s="3" t="s">
        <v>25</v>
      </c>
      <c r="D220" s="191" t="s">
        <v>192</v>
      </c>
      <c r="E220" s="192">
        <v>80111600</v>
      </c>
      <c r="F220" s="191" t="s">
        <v>194</v>
      </c>
      <c r="G220" s="193">
        <v>44927</v>
      </c>
      <c r="H220" s="193">
        <v>44944</v>
      </c>
      <c r="I220" s="191">
        <v>12</v>
      </c>
      <c r="J220" s="191" t="s">
        <v>20</v>
      </c>
      <c r="K220" s="195" t="s">
        <v>21</v>
      </c>
      <c r="L220" s="191" t="s">
        <v>27</v>
      </c>
      <c r="M220" s="214">
        <f>79350996-26450332</f>
        <v>52900664</v>
      </c>
      <c r="N220" s="192" t="s">
        <v>28</v>
      </c>
      <c r="O220" s="192" t="s">
        <v>29</v>
      </c>
      <c r="P220" s="192" t="s">
        <v>24</v>
      </c>
    </row>
    <row r="221" spans="1:16" ht="60" x14ac:dyDescent="0.3">
      <c r="A221" s="2">
        <v>2023166</v>
      </c>
      <c r="B221" s="2">
        <v>7655</v>
      </c>
      <c r="C221" s="3" t="s">
        <v>25</v>
      </c>
      <c r="D221" s="191" t="s">
        <v>192</v>
      </c>
      <c r="E221" s="192">
        <v>80111600</v>
      </c>
      <c r="F221" s="191" t="s">
        <v>194</v>
      </c>
      <c r="G221" s="193">
        <v>44927</v>
      </c>
      <c r="H221" s="193">
        <v>44944</v>
      </c>
      <c r="I221" s="191">
        <v>12</v>
      </c>
      <c r="J221" s="191" t="s">
        <v>20</v>
      </c>
      <c r="K221" s="195" t="s">
        <v>21</v>
      </c>
      <c r="L221" s="191" t="s">
        <v>27</v>
      </c>
      <c r="M221" s="214">
        <f>79350996-39675498</f>
        <v>39675498</v>
      </c>
      <c r="N221" s="192" t="s">
        <v>28</v>
      </c>
      <c r="O221" s="192" t="s">
        <v>29</v>
      </c>
      <c r="P221" s="192" t="s">
        <v>24</v>
      </c>
    </row>
    <row r="222" spans="1:16" ht="60" x14ac:dyDescent="0.3">
      <c r="A222" s="2">
        <v>2023167</v>
      </c>
      <c r="B222" s="2">
        <v>7655</v>
      </c>
      <c r="C222" s="3" t="s">
        <v>25</v>
      </c>
      <c r="D222" s="191" t="s">
        <v>192</v>
      </c>
      <c r="E222" s="192">
        <v>80111600</v>
      </c>
      <c r="F222" s="191" t="s">
        <v>194</v>
      </c>
      <c r="G222" s="193">
        <v>44927</v>
      </c>
      <c r="H222" s="193">
        <v>44958</v>
      </c>
      <c r="I222" s="191">
        <v>12</v>
      </c>
      <c r="J222" s="191" t="s">
        <v>20</v>
      </c>
      <c r="K222" s="195" t="s">
        <v>21</v>
      </c>
      <c r="L222" s="191" t="s">
        <v>27</v>
      </c>
      <c r="M222" s="214">
        <f>79130577-39675498</f>
        <v>39455079</v>
      </c>
      <c r="N222" s="192" t="s">
        <v>28</v>
      </c>
      <c r="O222" s="192" t="s">
        <v>29</v>
      </c>
      <c r="P222" s="192" t="s">
        <v>24</v>
      </c>
    </row>
    <row r="223" spans="1:16" ht="60" x14ac:dyDescent="0.3">
      <c r="A223" s="2">
        <v>2023169</v>
      </c>
      <c r="B223" s="2">
        <v>7655</v>
      </c>
      <c r="C223" s="3" t="s">
        <v>25</v>
      </c>
      <c r="D223" s="191" t="s">
        <v>195</v>
      </c>
      <c r="E223" s="192">
        <v>80111600</v>
      </c>
      <c r="F223" s="191" t="s">
        <v>196</v>
      </c>
      <c r="G223" s="193">
        <v>44986</v>
      </c>
      <c r="H223" s="193">
        <v>45016</v>
      </c>
      <c r="I223" s="191">
        <v>10</v>
      </c>
      <c r="J223" s="191" t="s">
        <v>20</v>
      </c>
      <c r="K223" s="195" t="s">
        <v>21</v>
      </c>
      <c r="L223" s="191" t="s">
        <v>27</v>
      </c>
      <c r="M223" s="214">
        <f>28000000+3673600</f>
        <v>31673600</v>
      </c>
      <c r="N223" s="192" t="s">
        <v>28</v>
      </c>
      <c r="O223" s="192" t="s">
        <v>29</v>
      </c>
      <c r="P223" s="192" t="s">
        <v>24</v>
      </c>
    </row>
    <row r="224" spans="1:16" ht="75" x14ac:dyDescent="0.3">
      <c r="A224" s="2">
        <v>2023170</v>
      </c>
      <c r="B224" s="2">
        <v>7655</v>
      </c>
      <c r="C224" s="3" t="s">
        <v>25</v>
      </c>
      <c r="D224" s="191" t="s">
        <v>195</v>
      </c>
      <c r="E224" s="192">
        <v>80111600</v>
      </c>
      <c r="F224" s="191" t="s">
        <v>197</v>
      </c>
      <c r="G224" s="193">
        <v>44986</v>
      </c>
      <c r="H224" s="193">
        <v>45016</v>
      </c>
      <c r="I224" s="191">
        <v>5</v>
      </c>
      <c r="J224" s="191" t="s">
        <v>20</v>
      </c>
      <c r="K224" s="195" t="s">
        <v>21</v>
      </c>
      <c r="L224" s="191" t="s">
        <v>27</v>
      </c>
      <c r="M224" s="214">
        <v>35600000</v>
      </c>
      <c r="N224" s="192" t="s">
        <v>28</v>
      </c>
      <c r="O224" s="192" t="s">
        <v>29</v>
      </c>
      <c r="P224" s="192" t="s">
        <v>24</v>
      </c>
    </row>
    <row r="225" spans="1:16" ht="75" x14ac:dyDescent="0.3">
      <c r="A225" s="2">
        <v>2023171</v>
      </c>
      <c r="B225" s="2">
        <v>7655</v>
      </c>
      <c r="C225" s="3" t="s">
        <v>25</v>
      </c>
      <c r="D225" s="191" t="s">
        <v>195</v>
      </c>
      <c r="E225" s="192">
        <v>80111600</v>
      </c>
      <c r="F225" s="191" t="s">
        <v>198</v>
      </c>
      <c r="G225" s="193">
        <v>44986</v>
      </c>
      <c r="H225" s="193">
        <v>45016</v>
      </c>
      <c r="I225" s="191">
        <v>4</v>
      </c>
      <c r="J225" s="191" t="s">
        <v>20</v>
      </c>
      <c r="K225" s="195" t="s">
        <v>21</v>
      </c>
      <c r="L225" s="191" t="s">
        <v>27</v>
      </c>
      <c r="M225" s="214">
        <f>27960000+9320000</f>
        <v>37280000</v>
      </c>
      <c r="N225" s="192" t="s">
        <v>28</v>
      </c>
      <c r="O225" s="192" t="s">
        <v>29</v>
      </c>
      <c r="P225" s="192" t="s">
        <v>24</v>
      </c>
    </row>
    <row r="226" spans="1:16" ht="60" x14ac:dyDescent="0.3">
      <c r="A226" s="2">
        <v>2023172</v>
      </c>
      <c r="B226" s="2">
        <v>7655</v>
      </c>
      <c r="C226" s="3" t="s">
        <v>25</v>
      </c>
      <c r="D226" s="191" t="s">
        <v>195</v>
      </c>
      <c r="E226" s="192">
        <v>80111600</v>
      </c>
      <c r="F226" s="191" t="s">
        <v>199</v>
      </c>
      <c r="G226" s="193">
        <v>44986</v>
      </c>
      <c r="H226" s="193">
        <v>45016</v>
      </c>
      <c r="I226" s="191">
        <v>10</v>
      </c>
      <c r="J226" s="191" t="s">
        <v>20</v>
      </c>
      <c r="K226" s="195" t="s">
        <v>21</v>
      </c>
      <c r="L226" s="191" t="s">
        <v>27</v>
      </c>
      <c r="M226" s="214">
        <f>52800000-17800000</f>
        <v>35000000</v>
      </c>
      <c r="N226" s="192" t="s">
        <v>28</v>
      </c>
      <c r="O226" s="192" t="s">
        <v>29</v>
      </c>
      <c r="P226" s="192" t="s">
        <v>24</v>
      </c>
    </row>
    <row r="227" spans="1:16" ht="105" x14ac:dyDescent="0.3">
      <c r="A227" s="2">
        <v>2023173</v>
      </c>
      <c r="B227" s="2">
        <v>7655</v>
      </c>
      <c r="C227" s="3" t="s">
        <v>25</v>
      </c>
      <c r="D227" s="191" t="s">
        <v>195</v>
      </c>
      <c r="E227" s="192">
        <v>80111600</v>
      </c>
      <c r="F227" s="191" t="s">
        <v>200</v>
      </c>
      <c r="G227" s="193">
        <v>44986</v>
      </c>
      <c r="H227" s="193">
        <v>45016</v>
      </c>
      <c r="I227" s="191">
        <v>10</v>
      </c>
      <c r="J227" s="191" t="s">
        <v>20</v>
      </c>
      <c r="K227" s="195" t="s">
        <v>21</v>
      </c>
      <c r="L227" s="191" t="s">
        <v>27</v>
      </c>
      <c r="M227" s="214">
        <v>38500000</v>
      </c>
      <c r="N227" s="192" t="s">
        <v>28</v>
      </c>
      <c r="O227" s="192" t="s">
        <v>29</v>
      </c>
      <c r="P227" s="192" t="s">
        <v>24</v>
      </c>
    </row>
    <row r="228" spans="1:16" ht="60" x14ac:dyDescent="0.3">
      <c r="A228" s="2">
        <v>2023174</v>
      </c>
      <c r="B228" s="2">
        <v>7655</v>
      </c>
      <c r="C228" s="3" t="s">
        <v>25</v>
      </c>
      <c r="D228" s="191" t="s">
        <v>195</v>
      </c>
      <c r="E228" s="192">
        <v>80111600</v>
      </c>
      <c r="F228" s="191" t="s">
        <v>201</v>
      </c>
      <c r="G228" s="193">
        <v>44986</v>
      </c>
      <c r="H228" s="193">
        <v>45016</v>
      </c>
      <c r="I228" s="191">
        <v>7</v>
      </c>
      <c r="J228" s="191" t="s">
        <v>20</v>
      </c>
      <c r="K228" s="195" t="s">
        <v>21</v>
      </c>
      <c r="L228" s="191" t="s">
        <v>27</v>
      </c>
      <c r="M228" s="214">
        <v>25200000</v>
      </c>
      <c r="N228" s="192" t="s">
        <v>28</v>
      </c>
      <c r="O228" s="192" t="s">
        <v>29</v>
      </c>
      <c r="P228" s="192" t="s">
        <v>24</v>
      </c>
    </row>
    <row r="229" spans="1:16" ht="90" x14ac:dyDescent="0.3">
      <c r="A229" s="2">
        <v>2023175</v>
      </c>
      <c r="B229" s="2">
        <v>7655</v>
      </c>
      <c r="C229" s="3" t="s">
        <v>25</v>
      </c>
      <c r="D229" s="191" t="s">
        <v>195</v>
      </c>
      <c r="E229" s="192">
        <v>80111600</v>
      </c>
      <c r="F229" s="191" t="s">
        <v>202</v>
      </c>
      <c r="G229" s="193">
        <v>44986</v>
      </c>
      <c r="H229" s="193">
        <v>45016</v>
      </c>
      <c r="I229" s="191">
        <v>8</v>
      </c>
      <c r="J229" s="191" t="s">
        <v>20</v>
      </c>
      <c r="K229" s="195" t="s">
        <v>21</v>
      </c>
      <c r="L229" s="191" t="s">
        <v>27</v>
      </c>
      <c r="M229" s="214">
        <v>48000000</v>
      </c>
      <c r="N229" s="192" t="s">
        <v>28</v>
      </c>
      <c r="O229" s="192" t="s">
        <v>29</v>
      </c>
      <c r="P229" s="192" t="s">
        <v>24</v>
      </c>
    </row>
    <row r="230" spans="1:16" ht="60" x14ac:dyDescent="0.3">
      <c r="A230" s="2">
        <v>2023176</v>
      </c>
      <c r="B230" s="2">
        <v>7655</v>
      </c>
      <c r="C230" s="3" t="s">
        <v>25</v>
      </c>
      <c r="D230" s="191" t="s">
        <v>195</v>
      </c>
      <c r="E230" s="192">
        <v>80111600</v>
      </c>
      <c r="F230" s="191" t="s">
        <v>203</v>
      </c>
      <c r="G230" s="193">
        <v>44986</v>
      </c>
      <c r="H230" s="193">
        <v>45016</v>
      </c>
      <c r="I230" s="191">
        <v>10</v>
      </c>
      <c r="J230" s="191" t="s">
        <v>20</v>
      </c>
      <c r="K230" s="195" t="s">
        <v>21</v>
      </c>
      <c r="L230" s="191" t="s">
        <v>27</v>
      </c>
      <c r="M230" s="214">
        <f>23000000+7000000</f>
        <v>30000000</v>
      </c>
      <c r="N230" s="192" t="s">
        <v>28</v>
      </c>
      <c r="O230" s="192" t="s">
        <v>29</v>
      </c>
      <c r="P230" s="192" t="s">
        <v>24</v>
      </c>
    </row>
    <row r="231" spans="1:16" ht="60" x14ac:dyDescent="0.3">
      <c r="A231" s="2">
        <v>2023178</v>
      </c>
      <c r="B231" s="2">
        <v>7655</v>
      </c>
      <c r="C231" s="3" t="s">
        <v>25</v>
      </c>
      <c r="D231" s="191" t="s">
        <v>204</v>
      </c>
      <c r="E231" s="192">
        <v>80111600</v>
      </c>
      <c r="F231" s="191" t="s">
        <v>698</v>
      </c>
      <c r="G231" s="193">
        <v>45122</v>
      </c>
      <c r="H231" s="193">
        <v>45139</v>
      </c>
      <c r="I231" s="191">
        <v>5</v>
      </c>
      <c r="J231" s="191" t="s">
        <v>20</v>
      </c>
      <c r="K231" s="195" t="s">
        <v>21</v>
      </c>
      <c r="L231" s="191" t="s">
        <v>27</v>
      </c>
      <c r="M231" s="214">
        <f>35479000-24500000-10979000+16560000+19561500+31311500+20700000+6205000+100000+1700000+6862000-10175000-5661480-13610000-22500000-13750000-13750000-3515000-2288520</f>
        <v>17750000</v>
      </c>
      <c r="N231" s="192" t="s">
        <v>28</v>
      </c>
      <c r="O231" s="192" t="s">
        <v>29</v>
      </c>
      <c r="P231" s="192" t="s">
        <v>24</v>
      </c>
    </row>
    <row r="232" spans="1:16" ht="75" x14ac:dyDescent="0.3">
      <c r="A232" s="2">
        <v>2023179</v>
      </c>
      <c r="B232" s="2">
        <v>7655</v>
      </c>
      <c r="C232" s="3" t="s">
        <v>25</v>
      </c>
      <c r="D232" s="191" t="s">
        <v>204</v>
      </c>
      <c r="E232" s="192">
        <v>80111600</v>
      </c>
      <c r="F232" s="191" t="s">
        <v>720</v>
      </c>
      <c r="G232" s="193">
        <v>45153</v>
      </c>
      <c r="H232" s="193">
        <v>45161</v>
      </c>
      <c r="I232" s="191">
        <v>2</v>
      </c>
      <c r="J232" s="191" t="s">
        <v>20</v>
      </c>
      <c r="K232" s="195" t="s">
        <v>21</v>
      </c>
      <c r="L232" s="191" t="s">
        <v>27</v>
      </c>
      <c r="M232" s="214">
        <f>117550000-3673600-7000000-28000000-36380000-10740000-14700000-9021000-8035400+14500000-3661480+5661480-14240000+2500000+2288520+62880+1000000+218200+1000000</f>
        <v>9329600</v>
      </c>
      <c r="N232" s="192" t="s">
        <v>28</v>
      </c>
      <c r="O232" s="192" t="s">
        <v>29</v>
      </c>
      <c r="P232" s="192" t="s">
        <v>24</v>
      </c>
    </row>
    <row r="233" spans="1:16" ht="75" x14ac:dyDescent="0.3">
      <c r="A233" s="2">
        <v>2023181</v>
      </c>
      <c r="B233" s="2">
        <v>7655</v>
      </c>
      <c r="C233" s="3" t="s">
        <v>25</v>
      </c>
      <c r="D233" s="191" t="s">
        <v>204</v>
      </c>
      <c r="E233" s="192">
        <v>80111600</v>
      </c>
      <c r="F233" s="191" t="s">
        <v>205</v>
      </c>
      <c r="G233" s="193">
        <v>44986</v>
      </c>
      <c r="H233" s="193">
        <v>45016</v>
      </c>
      <c r="I233" s="191">
        <v>8</v>
      </c>
      <c r="J233" s="191" t="s">
        <v>20</v>
      </c>
      <c r="K233" s="195" t="s">
        <v>21</v>
      </c>
      <c r="L233" s="191" t="s">
        <v>27</v>
      </c>
      <c r="M233" s="214">
        <f>72000000+2560000</f>
        <v>74560000</v>
      </c>
      <c r="N233" s="192" t="s">
        <v>28</v>
      </c>
      <c r="O233" s="192" t="s">
        <v>29</v>
      </c>
      <c r="P233" s="192" t="s">
        <v>24</v>
      </c>
    </row>
    <row r="234" spans="1:16" ht="60" x14ac:dyDescent="0.3">
      <c r="A234" s="2">
        <v>2023182</v>
      </c>
      <c r="B234" s="2">
        <v>7655</v>
      </c>
      <c r="C234" s="3" t="s">
        <v>25</v>
      </c>
      <c r="D234" s="191" t="s">
        <v>204</v>
      </c>
      <c r="E234" s="192">
        <v>80111600</v>
      </c>
      <c r="F234" s="191" t="s">
        <v>206</v>
      </c>
      <c r="G234" s="193">
        <v>44986</v>
      </c>
      <c r="H234" s="193">
        <v>45016</v>
      </c>
      <c r="I234" s="191">
        <v>8</v>
      </c>
      <c r="J234" s="191" t="s">
        <v>20</v>
      </c>
      <c r="K234" s="195" t="s">
        <v>21</v>
      </c>
      <c r="L234" s="191" t="s">
        <v>27</v>
      </c>
      <c r="M234" s="214">
        <v>69600000</v>
      </c>
      <c r="N234" s="192" t="s">
        <v>28</v>
      </c>
      <c r="O234" s="192" t="s">
        <v>29</v>
      </c>
      <c r="P234" s="192" t="s">
        <v>24</v>
      </c>
    </row>
    <row r="235" spans="1:16" ht="75" x14ac:dyDescent="0.3">
      <c r="A235" s="2">
        <v>2023183</v>
      </c>
      <c r="B235" s="2">
        <v>7655</v>
      </c>
      <c r="C235" s="3" t="s">
        <v>25</v>
      </c>
      <c r="D235" s="191" t="s">
        <v>204</v>
      </c>
      <c r="E235" s="192">
        <v>80111600</v>
      </c>
      <c r="F235" s="191" t="s">
        <v>207</v>
      </c>
      <c r="G235" s="193">
        <v>44986</v>
      </c>
      <c r="H235" s="193">
        <v>45016</v>
      </c>
      <c r="I235" s="191">
        <v>4</v>
      </c>
      <c r="J235" s="191" t="s">
        <v>20</v>
      </c>
      <c r="K235" s="195" t="s">
        <v>21</v>
      </c>
      <c r="L235" s="191" t="s">
        <v>27</v>
      </c>
      <c r="M235" s="214">
        <f>26000000-6000000</f>
        <v>20000000</v>
      </c>
      <c r="N235" s="192" t="s">
        <v>28</v>
      </c>
      <c r="O235" s="192" t="s">
        <v>29</v>
      </c>
      <c r="P235" s="192" t="s">
        <v>24</v>
      </c>
    </row>
    <row r="236" spans="1:16" ht="60" x14ac:dyDescent="0.3">
      <c r="A236" s="2">
        <v>2023184</v>
      </c>
      <c r="B236" s="2">
        <v>7655</v>
      </c>
      <c r="C236" s="3" t="s">
        <v>25</v>
      </c>
      <c r="D236" s="191" t="s">
        <v>204</v>
      </c>
      <c r="E236" s="192">
        <v>80111600</v>
      </c>
      <c r="F236" s="191" t="s">
        <v>208</v>
      </c>
      <c r="G236" s="193">
        <v>44986</v>
      </c>
      <c r="H236" s="193">
        <v>45016</v>
      </c>
      <c r="I236" s="191">
        <v>4</v>
      </c>
      <c r="J236" s="191" t="s">
        <v>20</v>
      </c>
      <c r="K236" s="195" t="s">
        <v>21</v>
      </c>
      <c r="L236" s="191" t="s">
        <v>27</v>
      </c>
      <c r="M236" s="214">
        <v>14200000</v>
      </c>
      <c r="N236" s="192" t="s">
        <v>28</v>
      </c>
      <c r="O236" s="192" t="s">
        <v>29</v>
      </c>
      <c r="P236" s="192" t="s">
        <v>24</v>
      </c>
    </row>
    <row r="237" spans="1:16" ht="75" x14ac:dyDescent="0.3">
      <c r="A237" s="2">
        <v>2023185</v>
      </c>
      <c r="B237" s="2">
        <v>7655</v>
      </c>
      <c r="C237" s="3" t="s">
        <v>25</v>
      </c>
      <c r="D237" s="191" t="s">
        <v>204</v>
      </c>
      <c r="E237" s="192">
        <v>80111600</v>
      </c>
      <c r="F237" s="191" t="s">
        <v>209</v>
      </c>
      <c r="G237" s="193">
        <v>44986</v>
      </c>
      <c r="H237" s="193">
        <v>45016</v>
      </c>
      <c r="I237" s="191">
        <v>4</v>
      </c>
      <c r="J237" s="191" t="s">
        <v>20</v>
      </c>
      <c r="K237" s="195" t="s">
        <v>21</v>
      </c>
      <c r="L237" s="191" t="s">
        <v>27</v>
      </c>
      <c r="M237" s="214">
        <v>14200000</v>
      </c>
      <c r="N237" s="192" t="s">
        <v>28</v>
      </c>
      <c r="O237" s="192" t="s">
        <v>29</v>
      </c>
      <c r="P237" s="192" t="s">
        <v>24</v>
      </c>
    </row>
    <row r="238" spans="1:16" ht="60" x14ac:dyDescent="0.3">
      <c r="A238" s="2">
        <v>2023187</v>
      </c>
      <c r="B238" s="2">
        <v>7655</v>
      </c>
      <c r="C238" s="3" t="s">
        <v>25</v>
      </c>
      <c r="D238" s="191" t="s">
        <v>204</v>
      </c>
      <c r="E238" s="192">
        <v>80111600</v>
      </c>
      <c r="F238" s="191" t="s">
        <v>211</v>
      </c>
      <c r="G238" s="193">
        <v>44986</v>
      </c>
      <c r="H238" s="193">
        <v>45016</v>
      </c>
      <c r="I238" s="191">
        <v>8</v>
      </c>
      <c r="J238" s="191" t="s">
        <v>20</v>
      </c>
      <c r="K238" s="195" t="s">
        <v>21</v>
      </c>
      <c r="L238" s="191" t="s">
        <v>27</v>
      </c>
      <c r="M238" s="214">
        <v>40000000</v>
      </c>
      <c r="N238" s="192" t="s">
        <v>28</v>
      </c>
      <c r="O238" s="192" t="s">
        <v>29</v>
      </c>
      <c r="P238" s="192" t="s">
        <v>24</v>
      </c>
    </row>
    <row r="239" spans="1:16" ht="90" x14ac:dyDescent="0.3">
      <c r="A239" s="2">
        <v>2023188</v>
      </c>
      <c r="B239" s="2">
        <v>7655</v>
      </c>
      <c r="C239" s="3" t="s">
        <v>25</v>
      </c>
      <c r="D239" s="191" t="s">
        <v>204</v>
      </c>
      <c r="E239" s="192">
        <v>80111600</v>
      </c>
      <c r="F239" s="191" t="s">
        <v>212</v>
      </c>
      <c r="G239" s="193">
        <v>44986</v>
      </c>
      <c r="H239" s="193">
        <v>45016</v>
      </c>
      <c r="I239" s="191">
        <v>8</v>
      </c>
      <c r="J239" s="191" t="s">
        <v>20</v>
      </c>
      <c r="K239" s="195" t="s">
        <v>21</v>
      </c>
      <c r="L239" s="191" t="s">
        <v>27</v>
      </c>
      <c r="M239" s="214">
        <f>28400000+35000000-133333-11266667</f>
        <v>52000000</v>
      </c>
      <c r="N239" s="192" t="s">
        <v>28</v>
      </c>
      <c r="O239" s="192" t="s">
        <v>29</v>
      </c>
      <c r="P239" s="192" t="s">
        <v>24</v>
      </c>
    </row>
    <row r="240" spans="1:16" ht="60" x14ac:dyDescent="0.3">
      <c r="A240" s="2">
        <v>2023189</v>
      </c>
      <c r="B240" s="2">
        <v>7655</v>
      </c>
      <c r="C240" s="3" t="s">
        <v>25</v>
      </c>
      <c r="D240" s="191" t="s">
        <v>204</v>
      </c>
      <c r="E240" s="192">
        <v>80111600</v>
      </c>
      <c r="F240" s="191" t="s">
        <v>213</v>
      </c>
      <c r="G240" s="193">
        <v>44986</v>
      </c>
      <c r="H240" s="193">
        <v>45016</v>
      </c>
      <c r="I240" s="191">
        <v>8</v>
      </c>
      <c r="J240" s="191" t="s">
        <v>20</v>
      </c>
      <c r="K240" s="195" t="s">
        <v>21</v>
      </c>
      <c r="L240" s="191" t="s">
        <v>27</v>
      </c>
      <c r="M240" s="214">
        <v>26800000</v>
      </c>
      <c r="N240" s="192" t="s">
        <v>28</v>
      </c>
      <c r="O240" s="192" t="s">
        <v>29</v>
      </c>
      <c r="P240" s="192" t="s">
        <v>24</v>
      </c>
    </row>
    <row r="241" spans="1:16" ht="60" x14ac:dyDescent="0.3">
      <c r="A241" s="2">
        <v>2023191</v>
      </c>
      <c r="B241" s="2">
        <v>7655</v>
      </c>
      <c r="C241" s="3" t="s">
        <v>25</v>
      </c>
      <c r="D241" s="191" t="s">
        <v>204</v>
      </c>
      <c r="E241" s="192">
        <v>80111600</v>
      </c>
      <c r="F241" s="191" t="s">
        <v>214</v>
      </c>
      <c r="G241" s="193">
        <v>44986</v>
      </c>
      <c r="H241" s="193">
        <v>45016</v>
      </c>
      <c r="I241" s="191">
        <v>7</v>
      </c>
      <c r="J241" s="191" t="s">
        <v>20</v>
      </c>
      <c r="K241" s="195" t="s">
        <v>21</v>
      </c>
      <c r="L241" s="191" t="s">
        <v>27</v>
      </c>
      <c r="M241" s="214">
        <f>22000000-1000000</f>
        <v>21000000</v>
      </c>
      <c r="N241" s="192" t="s">
        <v>28</v>
      </c>
      <c r="O241" s="192" t="s">
        <v>29</v>
      </c>
      <c r="P241" s="192" t="s">
        <v>24</v>
      </c>
    </row>
    <row r="242" spans="1:16" ht="60" x14ac:dyDescent="0.3">
      <c r="A242" s="2">
        <v>2023192</v>
      </c>
      <c r="B242" s="2">
        <v>7655</v>
      </c>
      <c r="C242" s="3" t="s">
        <v>25</v>
      </c>
      <c r="D242" s="191" t="s">
        <v>204</v>
      </c>
      <c r="E242" s="192">
        <v>80111600</v>
      </c>
      <c r="F242" s="191" t="s">
        <v>686</v>
      </c>
      <c r="G242" s="193">
        <v>44986</v>
      </c>
      <c r="H242" s="193">
        <v>45016</v>
      </c>
      <c r="I242" s="191">
        <v>3</v>
      </c>
      <c r="J242" s="191" t="s">
        <v>20</v>
      </c>
      <c r="K242" s="195" t="s">
        <v>21</v>
      </c>
      <c r="L242" s="191" t="s">
        <v>27</v>
      </c>
      <c r="M242" s="214">
        <f>8173000-2560000+133333+6000000-11746333+17590000+13610000-8400000-62880</f>
        <v>22737120</v>
      </c>
      <c r="N242" s="192" t="s">
        <v>28</v>
      </c>
      <c r="O242" s="192" t="s">
        <v>29</v>
      </c>
      <c r="P242" s="192" t="s">
        <v>24</v>
      </c>
    </row>
    <row r="243" spans="1:16" ht="90" x14ac:dyDescent="0.3">
      <c r="A243" s="2">
        <v>2023193</v>
      </c>
      <c r="B243" s="2">
        <v>7655</v>
      </c>
      <c r="C243" s="3" t="s">
        <v>25</v>
      </c>
      <c r="D243" s="191" t="s">
        <v>215</v>
      </c>
      <c r="E243" s="192">
        <v>80111600</v>
      </c>
      <c r="F243" s="191" t="s">
        <v>216</v>
      </c>
      <c r="G243" s="193">
        <v>44929</v>
      </c>
      <c r="H243" s="193">
        <v>45005</v>
      </c>
      <c r="I243" s="191">
        <v>9</v>
      </c>
      <c r="J243" s="191" t="s">
        <v>20</v>
      </c>
      <c r="K243" s="195" t="s">
        <v>21</v>
      </c>
      <c r="L243" s="191" t="s">
        <v>27</v>
      </c>
      <c r="M243" s="214">
        <v>65700000</v>
      </c>
      <c r="N243" s="192" t="s">
        <v>28</v>
      </c>
      <c r="O243" s="192" t="s">
        <v>29</v>
      </c>
      <c r="P243" s="192" t="s">
        <v>24</v>
      </c>
    </row>
    <row r="244" spans="1:16" ht="75" x14ac:dyDescent="0.3">
      <c r="A244" s="2">
        <v>2023194</v>
      </c>
      <c r="B244" s="2">
        <v>7655</v>
      </c>
      <c r="C244" s="3" t="s">
        <v>25</v>
      </c>
      <c r="D244" s="191" t="s">
        <v>215</v>
      </c>
      <c r="E244" s="192">
        <v>80111600</v>
      </c>
      <c r="F244" s="191" t="s">
        <v>217</v>
      </c>
      <c r="G244" s="193">
        <v>44929</v>
      </c>
      <c r="H244" s="193">
        <v>45049</v>
      </c>
      <c r="I244" s="191">
        <v>10</v>
      </c>
      <c r="J244" s="191" t="s">
        <v>20</v>
      </c>
      <c r="K244" s="195" t="s">
        <v>21</v>
      </c>
      <c r="L244" s="191" t="s">
        <v>27</v>
      </c>
      <c r="M244" s="214">
        <v>60000000</v>
      </c>
      <c r="N244" s="192" t="s">
        <v>28</v>
      </c>
      <c r="O244" s="192" t="s">
        <v>29</v>
      </c>
      <c r="P244" s="192" t="s">
        <v>24</v>
      </c>
    </row>
    <row r="245" spans="1:16" ht="60" x14ac:dyDescent="0.3">
      <c r="A245" s="2">
        <v>2023195</v>
      </c>
      <c r="B245" s="2">
        <v>7655</v>
      </c>
      <c r="C245" s="3" t="s">
        <v>25</v>
      </c>
      <c r="D245" s="191" t="s">
        <v>215</v>
      </c>
      <c r="E245" s="192">
        <v>80111600</v>
      </c>
      <c r="F245" s="191" t="s">
        <v>218</v>
      </c>
      <c r="G245" s="193">
        <v>44929</v>
      </c>
      <c r="H245" s="193">
        <v>45005</v>
      </c>
      <c r="I245" s="191">
        <v>9</v>
      </c>
      <c r="J245" s="191" t="s">
        <v>20</v>
      </c>
      <c r="K245" s="195" t="s">
        <v>21</v>
      </c>
      <c r="L245" s="191" t="s">
        <v>27</v>
      </c>
      <c r="M245" s="214">
        <f>49500000-11000000</f>
        <v>38500000</v>
      </c>
      <c r="N245" s="192" t="s">
        <v>28</v>
      </c>
      <c r="O245" s="192" t="s">
        <v>29</v>
      </c>
      <c r="P245" s="192" t="s">
        <v>24</v>
      </c>
    </row>
    <row r="246" spans="1:16" ht="60" x14ac:dyDescent="0.3">
      <c r="A246" s="2">
        <v>2023196</v>
      </c>
      <c r="B246" s="2">
        <v>7655</v>
      </c>
      <c r="C246" s="3" t="s">
        <v>25</v>
      </c>
      <c r="D246" s="191" t="s">
        <v>215</v>
      </c>
      <c r="E246" s="192">
        <v>80111600</v>
      </c>
      <c r="F246" s="191" t="s">
        <v>218</v>
      </c>
      <c r="G246" s="193">
        <v>44929</v>
      </c>
      <c r="H246" s="193">
        <v>45005</v>
      </c>
      <c r="I246" s="191">
        <v>9</v>
      </c>
      <c r="J246" s="191" t="s">
        <v>20</v>
      </c>
      <c r="K246" s="195" t="s">
        <v>21</v>
      </c>
      <c r="L246" s="191" t="s">
        <v>27</v>
      </c>
      <c r="M246" s="214">
        <f>49500000-11000000</f>
        <v>38500000</v>
      </c>
      <c r="N246" s="192" t="s">
        <v>28</v>
      </c>
      <c r="O246" s="192" t="s">
        <v>29</v>
      </c>
      <c r="P246" s="192" t="s">
        <v>24</v>
      </c>
    </row>
    <row r="247" spans="1:16" ht="60" x14ac:dyDescent="0.3">
      <c r="A247" s="2">
        <v>2023197</v>
      </c>
      <c r="B247" s="2">
        <v>7655</v>
      </c>
      <c r="C247" s="3" t="s">
        <v>25</v>
      </c>
      <c r="D247" s="191" t="s">
        <v>215</v>
      </c>
      <c r="E247" s="192">
        <v>80111600</v>
      </c>
      <c r="F247" s="191" t="s">
        <v>218</v>
      </c>
      <c r="G247" s="193">
        <v>44929</v>
      </c>
      <c r="H247" s="193">
        <v>45005</v>
      </c>
      <c r="I247" s="191">
        <v>7</v>
      </c>
      <c r="J247" s="191" t="s">
        <v>20</v>
      </c>
      <c r="K247" s="195" t="s">
        <v>21</v>
      </c>
      <c r="L247" s="191" t="s">
        <v>27</v>
      </c>
      <c r="M247" s="214">
        <v>38500000</v>
      </c>
      <c r="N247" s="192" t="s">
        <v>28</v>
      </c>
      <c r="O247" s="192" t="s">
        <v>29</v>
      </c>
      <c r="P247" s="192" t="s">
        <v>24</v>
      </c>
    </row>
    <row r="248" spans="1:16" ht="60" x14ac:dyDescent="0.3">
      <c r="A248" s="2">
        <v>2023198</v>
      </c>
      <c r="B248" s="2">
        <v>7655</v>
      </c>
      <c r="C248" s="3" t="s">
        <v>25</v>
      </c>
      <c r="D248" s="191" t="s">
        <v>215</v>
      </c>
      <c r="E248" s="192">
        <v>80111600</v>
      </c>
      <c r="F248" s="191" t="s">
        <v>218</v>
      </c>
      <c r="G248" s="193">
        <v>44929</v>
      </c>
      <c r="H248" s="193">
        <v>45005</v>
      </c>
      <c r="I248" s="191">
        <v>6</v>
      </c>
      <c r="J248" s="191" t="s">
        <v>20</v>
      </c>
      <c r="K248" s="195" t="s">
        <v>21</v>
      </c>
      <c r="L248" s="191" t="s">
        <v>27</v>
      </c>
      <c r="M248" s="214">
        <v>33000000</v>
      </c>
      <c r="N248" s="192" t="s">
        <v>28</v>
      </c>
      <c r="O248" s="192" t="s">
        <v>29</v>
      </c>
      <c r="P248" s="192" t="s">
        <v>24</v>
      </c>
    </row>
    <row r="249" spans="1:16" ht="75" x14ac:dyDescent="0.3">
      <c r="A249" s="2">
        <v>2023200</v>
      </c>
      <c r="B249" s="2">
        <v>7655</v>
      </c>
      <c r="C249" s="3" t="s">
        <v>25</v>
      </c>
      <c r="D249" s="191" t="s">
        <v>215</v>
      </c>
      <c r="E249" s="192">
        <v>80111600</v>
      </c>
      <c r="F249" s="192" t="s">
        <v>220</v>
      </c>
      <c r="G249" s="193">
        <v>44928</v>
      </c>
      <c r="H249" s="193">
        <v>44941</v>
      </c>
      <c r="I249" s="191">
        <v>9.5</v>
      </c>
      <c r="J249" s="191" t="s">
        <v>20</v>
      </c>
      <c r="K249" s="195" t="s">
        <v>21</v>
      </c>
      <c r="L249" s="191" t="s">
        <v>27</v>
      </c>
      <c r="M249" s="214">
        <v>31350000</v>
      </c>
      <c r="N249" s="192" t="s">
        <v>28</v>
      </c>
      <c r="O249" s="192" t="s">
        <v>29</v>
      </c>
      <c r="P249" s="192" t="s">
        <v>24</v>
      </c>
    </row>
    <row r="250" spans="1:16" ht="90" x14ac:dyDescent="0.3">
      <c r="A250" s="2">
        <v>2023201</v>
      </c>
      <c r="B250" s="2">
        <v>7658</v>
      </c>
      <c r="C250" s="3" t="s">
        <v>142</v>
      </c>
      <c r="D250" s="191" t="s">
        <v>221</v>
      </c>
      <c r="E250" s="192">
        <v>78181500</v>
      </c>
      <c r="F250" s="191" t="s">
        <v>222</v>
      </c>
      <c r="G250" s="193">
        <v>44986</v>
      </c>
      <c r="H250" s="193">
        <v>45031</v>
      </c>
      <c r="I250" s="191">
        <v>12</v>
      </c>
      <c r="J250" s="191" t="s">
        <v>159</v>
      </c>
      <c r="K250" s="195" t="s">
        <v>21</v>
      </c>
      <c r="L250" s="191" t="s">
        <v>223</v>
      </c>
      <c r="M250" s="188">
        <f>4010000000-310000000-150000000-550000000</f>
        <v>3000000000</v>
      </c>
      <c r="N250" s="192" t="s">
        <v>224</v>
      </c>
      <c r="O250" s="192" t="s">
        <v>163</v>
      </c>
      <c r="P250" s="192" t="s">
        <v>24</v>
      </c>
    </row>
    <row r="251" spans="1:16" ht="90" x14ac:dyDescent="0.3">
      <c r="A251" s="2">
        <v>2023202</v>
      </c>
      <c r="B251" s="2">
        <v>7658</v>
      </c>
      <c r="C251" s="3" t="s">
        <v>142</v>
      </c>
      <c r="D251" s="191" t="s">
        <v>221</v>
      </c>
      <c r="E251" s="192">
        <v>25172500</v>
      </c>
      <c r="F251" s="191" t="s">
        <v>225</v>
      </c>
      <c r="G251" s="193">
        <v>44958</v>
      </c>
      <c r="H251" s="193">
        <v>44977</v>
      </c>
      <c r="I251" s="191">
        <v>12</v>
      </c>
      <c r="J251" s="191" t="s">
        <v>101</v>
      </c>
      <c r="K251" s="195" t="s">
        <v>21</v>
      </c>
      <c r="L251" s="191" t="s">
        <v>161</v>
      </c>
      <c r="M251" s="188">
        <f>150000000-20000000</f>
        <v>130000000</v>
      </c>
      <c r="N251" s="192" t="s">
        <v>224</v>
      </c>
      <c r="O251" s="192" t="s">
        <v>163</v>
      </c>
      <c r="P251" s="192" t="s">
        <v>24</v>
      </c>
    </row>
    <row r="252" spans="1:16" ht="90" x14ac:dyDescent="0.3">
      <c r="A252" s="2">
        <v>2023203</v>
      </c>
      <c r="B252" s="2">
        <v>7658</v>
      </c>
      <c r="C252" s="3" t="s">
        <v>142</v>
      </c>
      <c r="D252" s="191" t="s">
        <v>221</v>
      </c>
      <c r="E252" s="192">
        <v>15101500</v>
      </c>
      <c r="F252" s="191" t="s">
        <v>226</v>
      </c>
      <c r="G252" s="193">
        <v>44958</v>
      </c>
      <c r="H252" s="193">
        <v>44972</v>
      </c>
      <c r="I252" s="191">
        <v>12</v>
      </c>
      <c r="J252" s="191" t="s">
        <v>66</v>
      </c>
      <c r="K252" s="195" t="s">
        <v>21</v>
      </c>
      <c r="L252" s="191" t="s">
        <v>227</v>
      </c>
      <c r="M252" s="188">
        <f>1100000000-100000000</f>
        <v>1000000000</v>
      </c>
      <c r="N252" s="192" t="s">
        <v>224</v>
      </c>
      <c r="O252" s="192" t="s">
        <v>163</v>
      </c>
      <c r="P252" s="192" t="s">
        <v>24</v>
      </c>
    </row>
    <row r="253" spans="1:16" ht="90" x14ac:dyDescent="0.3">
      <c r="A253" s="2">
        <v>2023207</v>
      </c>
      <c r="B253" s="2">
        <v>7658</v>
      </c>
      <c r="C253" s="3" t="s">
        <v>142</v>
      </c>
      <c r="D253" s="191" t="s">
        <v>221</v>
      </c>
      <c r="E253" s="192" t="s">
        <v>230</v>
      </c>
      <c r="F253" s="191" t="s">
        <v>231</v>
      </c>
      <c r="G253" s="193">
        <v>45031</v>
      </c>
      <c r="H253" s="193">
        <v>45036</v>
      </c>
      <c r="I253" s="191">
        <v>10</v>
      </c>
      <c r="J253" s="191" t="s">
        <v>20</v>
      </c>
      <c r="K253" s="195" t="s">
        <v>21</v>
      </c>
      <c r="L253" s="191" t="s">
        <v>161</v>
      </c>
      <c r="M253" s="188">
        <v>100000000</v>
      </c>
      <c r="N253" s="192" t="s">
        <v>224</v>
      </c>
      <c r="O253" s="192" t="s">
        <v>163</v>
      </c>
      <c r="P253" s="192" t="s">
        <v>24</v>
      </c>
    </row>
    <row r="254" spans="1:16" ht="90" x14ac:dyDescent="0.3">
      <c r="A254" s="2">
        <v>2023209</v>
      </c>
      <c r="B254" s="2">
        <v>7658</v>
      </c>
      <c r="C254" s="3" t="s">
        <v>142</v>
      </c>
      <c r="D254" s="191" t="s">
        <v>221</v>
      </c>
      <c r="E254" s="192" t="s">
        <v>703</v>
      </c>
      <c r="F254" s="191" t="s">
        <v>704</v>
      </c>
      <c r="G254" s="193">
        <v>45135</v>
      </c>
      <c r="H254" s="193">
        <v>45169</v>
      </c>
      <c r="I254" s="191">
        <v>6</v>
      </c>
      <c r="J254" s="191" t="s">
        <v>101</v>
      </c>
      <c r="K254" s="195" t="s">
        <v>21</v>
      </c>
      <c r="L254" s="191" t="s">
        <v>161</v>
      </c>
      <c r="M254" s="188">
        <f>200000000+20000000-25000000</f>
        <v>195000000</v>
      </c>
      <c r="N254" s="192" t="s">
        <v>224</v>
      </c>
      <c r="O254" s="192" t="s">
        <v>163</v>
      </c>
      <c r="P254" s="192" t="s">
        <v>24</v>
      </c>
    </row>
    <row r="255" spans="1:16" ht="90" x14ac:dyDescent="0.3">
      <c r="A255" s="2">
        <v>2023211</v>
      </c>
      <c r="B255" s="2">
        <v>7658</v>
      </c>
      <c r="C255" s="3" t="s">
        <v>142</v>
      </c>
      <c r="D255" s="191" t="s">
        <v>221</v>
      </c>
      <c r="E255" s="192" t="s">
        <v>232</v>
      </c>
      <c r="F255" s="191" t="s">
        <v>233</v>
      </c>
      <c r="G255" s="193">
        <v>45078</v>
      </c>
      <c r="H255" s="193">
        <v>45092</v>
      </c>
      <c r="I255" s="191">
        <v>10</v>
      </c>
      <c r="J255" s="191" t="s">
        <v>20</v>
      </c>
      <c r="K255" s="195" t="s">
        <v>21</v>
      </c>
      <c r="L255" s="191" t="s">
        <v>234</v>
      </c>
      <c r="M255" s="188">
        <f>60000000-10000000+20000000</f>
        <v>70000000</v>
      </c>
      <c r="N255" s="192" t="s">
        <v>224</v>
      </c>
      <c r="O255" s="192" t="s">
        <v>163</v>
      </c>
      <c r="P255" s="192" t="s">
        <v>24</v>
      </c>
    </row>
    <row r="256" spans="1:16" ht="90" x14ac:dyDescent="0.3">
      <c r="A256" s="2">
        <v>2023212</v>
      </c>
      <c r="B256" s="2">
        <v>7658</v>
      </c>
      <c r="C256" s="3" t="s">
        <v>142</v>
      </c>
      <c r="D256" s="191" t="s">
        <v>221</v>
      </c>
      <c r="E256" s="192" t="s">
        <v>230</v>
      </c>
      <c r="F256" s="191" t="s">
        <v>235</v>
      </c>
      <c r="G256" s="193">
        <v>45078</v>
      </c>
      <c r="H256" s="193">
        <v>45092</v>
      </c>
      <c r="I256" s="191">
        <v>7</v>
      </c>
      <c r="J256" s="191" t="s">
        <v>20</v>
      </c>
      <c r="K256" s="195" t="s">
        <v>21</v>
      </c>
      <c r="L256" s="191" t="s">
        <v>234</v>
      </c>
      <c r="M256" s="188">
        <f>70000000-20000000</f>
        <v>50000000</v>
      </c>
      <c r="N256" s="192" t="s">
        <v>224</v>
      </c>
      <c r="O256" s="192" t="s">
        <v>163</v>
      </c>
      <c r="P256" s="192" t="s">
        <v>24</v>
      </c>
    </row>
    <row r="257" spans="1:16" ht="90" x14ac:dyDescent="0.3">
      <c r="A257" s="2">
        <v>2023214</v>
      </c>
      <c r="B257" s="2">
        <v>7658</v>
      </c>
      <c r="C257" s="3" t="s">
        <v>142</v>
      </c>
      <c r="D257" s="191" t="s">
        <v>221</v>
      </c>
      <c r="E257" s="192" t="s">
        <v>236</v>
      </c>
      <c r="F257" s="191" t="s">
        <v>237</v>
      </c>
      <c r="G257" s="193">
        <v>44946</v>
      </c>
      <c r="H257" s="193">
        <v>44972</v>
      </c>
      <c r="I257" s="191">
        <v>7</v>
      </c>
      <c r="J257" s="191" t="s">
        <v>101</v>
      </c>
      <c r="K257" s="195" t="s">
        <v>21</v>
      </c>
      <c r="L257" s="191" t="s">
        <v>238</v>
      </c>
      <c r="M257" s="188">
        <f>80000000+20000000</f>
        <v>100000000</v>
      </c>
      <c r="N257" s="192" t="s">
        <v>229</v>
      </c>
      <c r="O257" s="192" t="s">
        <v>163</v>
      </c>
      <c r="P257" s="192" t="s">
        <v>24</v>
      </c>
    </row>
    <row r="258" spans="1:16" ht="90" x14ac:dyDescent="0.3">
      <c r="A258" s="2">
        <v>2023215</v>
      </c>
      <c r="B258" s="2">
        <v>7658</v>
      </c>
      <c r="C258" s="3" t="s">
        <v>142</v>
      </c>
      <c r="D258" s="191" t="s">
        <v>221</v>
      </c>
      <c r="E258" s="192">
        <v>42172101</v>
      </c>
      <c r="F258" s="191" t="s">
        <v>812</v>
      </c>
      <c r="G258" s="193">
        <v>45184</v>
      </c>
      <c r="H258" s="193">
        <v>45214</v>
      </c>
      <c r="I258" s="191">
        <v>1</v>
      </c>
      <c r="J258" s="191" t="s">
        <v>118</v>
      </c>
      <c r="K258" s="195" t="s">
        <v>21</v>
      </c>
      <c r="L258" s="191" t="s">
        <v>240</v>
      </c>
      <c r="M258" s="188">
        <f>50000000-22000000</f>
        <v>28000000</v>
      </c>
      <c r="N258" s="192" t="s">
        <v>229</v>
      </c>
      <c r="O258" s="192" t="s">
        <v>163</v>
      </c>
      <c r="P258" s="192" t="s">
        <v>24</v>
      </c>
    </row>
    <row r="259" spans="1:16" ht="150" x14ac:dyDescent="0.3">
      <c r="A259" s="2">
        <v>2023216</v>
      </c>
      <c r="B259" s="2">
        <v>7658</v>
      </c>
      <c r="C259" s="3" t="s">
        <v>142</v>
      </c>
      <c r="D259" s="191" t="s">
        <v>221</v>
      </c>
      <c r="E259" s="192" t="s">
        <v>241</v>
      </c>
      <c r="F259" s="191" t="s">
        <v>242</v>
      </c>
      <c r="G259" s="193">
        <v>45031</v>
      </c>
      <c r="H259" s="193">
        <v>45036</v>
      </c>
      <c r="I259" s="191">
        <v>10</v>
      </c>
      <c r="J259" s="191" t="s">
        <v>101</v>
      </c>
      <c r="K259" s="195" t="s">
        <v>21</v>
      </c>
      <c r="L259" s="191" t="s">
        <v>243</v>
      </c>
      <c r="M259" s="188">
        <f>250000000-10000000</f>
        <v>240000000</v>
      </c>
      <c r="N259" s="192" t="s">
        <v>229</v>
      </c>
      <c r="O259" s="192" t="s">
        <v>163</v>
      </c>
      <c r="P259" s="192" t="s">
        <v>24</v>
      </c>
    </row>
    <row r="260" spans="1:16" ht="90" x14ac:dyDescent="0.3">
      <c r="A260" s="2">
        <v>2023217</v>
      </c>
      <c r="B260" s="2">
        <v>7658</v>
      </c>
      <c r="C260" s="3" t="s">
        <v>142</v>
      </c>
      <c r="D260" s="191" t="s">
        <v>221</v>
      </c>
      <c r="E260" s="192">
        <v>80111600</v>
      </c>
      <c r="F260" s="191" t="s">
        <v>244</v>
      </c>
      <c r="G260" s="193">
        <v>44931</v>
      </c>
      <c r="H260" s="193">
        <v>44942</v>
      </c>
      <c r="I260" s="191">
        <v>10.5</v>
      </c>
      <c r="J260" s="191" t="s">
        <v>20</v>
      </c>
      <c r="K260" s="195" t="s">
        <v>21</v>
      </c>
      <c r="L260" s="191" t="s">
        <v>27</v>
      </c>
      <c r="M260" s="188">
        <f>74750000-11750000</f>
        <v>63000000</v>
      </c>
      <c r="N260" s="192" t="s">
        <v>229</v>
      </c>
      <c r="O260" s="192" t="s">
        <v>163</v>
      </c>
      <c r="P260" s="192" t="s">
        <v>24</v>
      </c>
    </row>
    <row r="261" spans="1:16" ht="90" x14ac:dyDescent="0.3">
      <c r="A261" s="2">
        <v>2023218</v>
      </c>
      <c r="B261" s="2">
        <v>7658</v>
      </c>
      <c r="C261" s="3" t="s">
        <v>142</v>
      </c>
      <c r="D261" s="191" t="s">
        <v>221</v>
      </c>
      <c r="E261" s="192">
        <v>80111600</v>
      </c>
      <c r="F261" s="191" t="s">
        <v>245</v>
      </c>
      <c r="G261" s="193">
        <v>44931</v>
      </c>
      <c r="H261" s="193">
        <v>44942</v>
      </c>
      <c r="I261" s="191">
        <v>11.5</v>
      </c>
      <c r="J261" s="191" t="s">
        <v>20</v>
      </c>
      <c r="K261" s="195" t="s">
        <v>21</v>
      </c>
      <c r="L261" s="191" t="s">
        <v>27</v>
      </c>
      <c r="M261" s="188">
        <f>46000000-30000000</f>
        <v>16000000</v>
      </c>
      <c r="N261" s="192" t="s">
        <v>224</v>
      </c>
      <c r="O261" s="192" t="s">
        <v>163</v>
      </c>
      <c r="P261" s="192" t="s">
        <v>24</v>
      </c>
    </row>
    <row r="262" spans="1:16" ht="90" x14ac:dyDescent="0.3">
      <c r="A262" s="2">
        <v>2023220</v>
      </c>
      <c r="B262" s="2">
        <v>7658</v>
      </c>
      <c r="C262" s="3" t="s">
        <v>142</v>
      </c>
      <c r="D262" s="191" t="s">
        <v>221</v>
      </c>
      <c r="E262" s="192">
        <v>80111600</v>
      </c>
      <c r="F262" s="191" t="s">
        <v>246</v>
      </c>
      <c r="G262" s="193">
        <v>44931</v>
      </c>
      <c r="H262" s="193">
        <v>44942</v>
      </c>
      <c r="I262" s="191">
        <v>11</v>
      </c>
      <c r="J262" s="191" t="s">
        <v>20</v>
      </c>
      <c r="K262" s="195" t="s">
        <v>21</v>
      </c>
      <c r="L262" s="191" t="s">
        <v>27</v>
      </c>
      <c r="M262" s="188">
        <f>92950000-4225000-54925000</f>
        <v>33800000</v>
      </c>
      <c r="N262" s="192" t="s">
        <v>224</v>
      </c>
      <c r="O262" s="192" t="s">
        <v>163</v>
      </c>
      <c r="P262" s="192" t="s">
        <v>24</v>
      </c>
    </row>
    <row r="263" spans="1:16" ht="90" x14ac:dyDescent="0.3">
      <c r="A263" s="2">
        <v>2023221</v>
      </c>
      <c r="B263" s="2">
        <v>7658</v>
      </c>
      <c r="C263" s="3" t="s">
        <v>142</v>
      </c>
      <c r="D263" s="191" t="s">
        <v>221</v>
      </c>
      <c r="E263" s="192">
        <v>80111600</v>
      </c>
      <c r="F263" s="191" t="s">
        <v>247</v>
      </c>
      <c r="G263" s="193">
        <v>44931</v>
      </c>
      <c r="H263" s="193">
        <v>44942</v>
      </c>
      <c r="I263" s="191">
        <v>11</v>
      </c>
      <c r="J263" s="191" t="s">
        <v>20</v>
      </c>
      <c r="K263" s="195" t="s">
        <v>21</v>
      </c>
      <c r="L263" s="191" t="s">
        <v>50</v>
      </c>
      <c r="M263" s="188">
        <v>99000000</v>
      </c>
      <c r="N263" s="192" t="s">
        <v>224</v>
      </c>
      <c r="O263" s="192" t="s">
        <v>163</v>
      </c>
      <c r="P263" s="192" t="s">
        <v>24</v>
      </c>
    </row>
    <row r="264" spans="1:16" ht="90" x14ac:dyDescent="0.3">
      <c r="A264" s="2">
        <v>2023222</v>
      </c>
      <c r="B264" s="2">
        <v>7658</v>
      </c>
      <c r="C264" s="3" t="s">
        <v>142</v>
      </c>
      <c r="D264" s="191" t="s">
        <v>221</v>
      </c>
      <c r="E264" s="192">
        <v>80111600</v>
      </c>
      <c r="F264" s="191" t="s">
        <v>248</v>
      </c>
      <c r="G264" s="193">
        <v>44931</v>
      </c>
      <c r="H264" s="193">
        <v>44942</v>
      </c>
      <c r="I264" s="191">
        <v>10.5</v>
      </c>
      <c r="J264" s="191" t="s">
        <v>20</v>
      </c>
      <c r="K264" s="195" t="s">
        <v>21</v>
      </c>
      <c r="L264" s="191" t="s">
        <v>27</v>
      </c>
      <c r="M264" s="188">
        <f>94760000-4120000-4120000-53560000</f>
        <v>32960000</v>
      </c>
      <c r="N264" s="192" t="s">
        <v>229</v>
      </c>
      <c r="O264" s="192" t="s">
        <v>163</v>
      </c>
      <c r="P264" s="192" t="s">
        <v>24</v>
      </c>
    </row>
    <row r="265" spans="1:16" ht="90" x14ac:dyDescent="0.3">
      <c r="A265" s="2">
        <v>2023223</v>
      </c>
      <c r="B265" s="2">
        <v>7658</v>
      </c>
      <c r="C265" s="3" t="s">
        <v>142</v>
      </c>
      <c r="D265" s="191" t="s">
        <v>221</v>
      </c>
      <c r="E265" s="192">
        <v>80111600</v>
      </c>
      <c r="F265" s="191" t="s">
        <v>249</v>
      </c>
      <c r="G265" s="193">
        <v>44931</v>
      </c>
      <c r="H265" s="193">
        <v>44942</v>
      </c>
      <c r="I265" s="191">
        <v>11</v>
      </c>
      <c r="J265" s="191" t="s">
        <v>20</v>
      </c>
      <c r="K265" s="195" t="s">
        <v>21</v>
      </c>
      <c r="L265" s="191" t="s">
        <v>27</v>
      </c>
      <c r="M265" s="188">
        <f>92950000+8500000-2450000</f>
        <v>99000000</v>
      </c>
      <c r="N265" s="192" t="s">
        <v>229</v>
      </c>
      <c r="O265" s="192" t="s">
        <v>163</v>
      </c>
      <c r="P265" s="192" t="s">
        <v>24</v>
      </c>
    </row>
    <row r="266" spans="1:16" ht="120" x14ac:dyDescent="0.3">
      <c r="A266" s="2">
        <v>2023224</v>
      </c>
      <c r="B266" s="2">
        <v>7658</v>
      </c>
      <c r="C266" s="3" t="s">
        <v>142</v>
      </c>
      <c r="D266" s="191" t="s">
        <v>221</v>
      </c>
      <c r="E266" s="192">
        <v>80111600</v>
      </c>
      <c r="F266" s="191" t="s">
        <v>250</v>
      </c>
      <c r="G266" s="193">
        <v>44931</v>
      </c>
      <c r="H266" s="193">
        <v>44942</v>
      </c>
      <c r="I266" s="191">
        <v>10.5</v>
      </c>
      <c r="J266" s="191" t="s">
        <v>20</v>
      </c>
      <c r="K266" s="195" t="s">
        <v>21</v>
      </c>
      <c r="L266" s="191" t="s">
        <v>27</v>
      </c>
      <c r="M266" s="188">
        <f>45655000-1985000-1985000-25805000</f>
        <v>15880000</v>
      </c>
      <c r="N266" s="192" t="s">
        <v>229</v>
      </c>
      <c r="O266" s="192" t="s">
        <v>163</v>
      </c>
      <c r="P266" s="192" t="s">
        <v>24</v>
      </c>
    </row>
    <row r="267" spans="1:16" ht="90" x14ac:dyDescent="0.3">
      <c r="A267" s="2">
        <v>2023225</v>
      </c>
      <c r="B267" s="2">
        <v>7658</v>
      </c>
      <c r="C267" s="3" t="s">
        <v>142</v>
      </c>
      <c r="D267" s="191" t="s">
        <v>221</v>
      </c>
      <c r="E267" s="192">
        <v>80111600</v>
      </c>
      <c r="F267" s="191" t="s">
        <v>251</v>
      </c>
      <c r="G267" s="193">
        <v>44931</v>
      </c>
      <c r="H267" s="193">
        <v>44942</v>
      </c>
      <c r="I267" s="191">
        <v>10.5</v>
      </c>
      <c r="J267" s="191" t="s">
        <v>20</v>
      </c>
      <c r="K267" s="195" t="s">
        <v>21</v>
      </c>
      <c r="L267" s="191" t="s">
        <v>27</v>
      </c>
      <c r="M267" s="188">
        <f>78200000-5800000-1000000-44200000</f>
        <v>27200000</v>
      </c>
      <c r="N267" s="192" t="s">
        <v>224</v>
      </c>
      <c r="O267" s="192" t="s">
        <v>163</v>
      </c>
      <c r="P267" s="192" t="s">
        <v>24</v>
      </c>
    </row>
    <row r="268" spans="1:16" ht="120" x14ac:dyDescent="0.3">
      <c r="A268" s="2">
        <v>2023226</v>
      </c>
      <c r="B268" s="2">
        <v>7658</v>
      </c>
      <c r="C268" s="3" t="s">
        <v>142</v>
      </c>
      <c r="D268" s="191" t="s">
        <v>221</v>
      </c>
      <c r="E268" s="192">
        <v>80111600</v>
      </c>
      <c r="F268" s="191" t="s">
        <v>252</v>
      </c>
      <c r="G268" s="193">
        <v>44931</v>
      </c>
      <c r="H268" s="193">
        <v>44942</v>
      </c>
      <c r="I268" s="191">
        <v>10.5</v>
      </c>
      <c r="J268" s="191" t="s">
        <v>20</v>
      </c>
      <c r="K268" s="195" t="s">
        <v>21</v>
      </c>
      <c r="L268" s="191" t="s">
        <v>27</v>
      </c>
      <c r="M268" s="188">
        <f>45655000-1985000-1985000-25805000</f>
        <v>15880000</v>
      </c>
      <c r="N268" s="192" t="s">
        <v>229</v>
      </c>
      <c r="O268" s="192" t="s">
        <v>163</v>
      </c>
      <c r="P268" s="192" t="s">
        <v>24</v>
      </c>
    </row>
    <row r="269" spans="1:16" ht="90" x14ac:dyDescent="0.3">
      <c r="A269" s="2">
        <v>2023227</v>
      </c>
      <c r="B269" s="2">
        <v>7658</v>
      </c>
      <c r="C269" s="3" t="s">
        <v>142</v>
      </c>
      <c r="D269" s="191" t="s">
        <v>221</v>
      </c>
      <c r="E269" s="192">
        <v>80111600</v>
      </c>
      <c r="F269" s="191" t="s">
        <v>253</v>
      </c>
      <c r="G269" s="193">
        <v>44931</v>
      </c>
      <c r="H269" s="193">
        <v>44942</v>
      </c>
      <c r="I269" s="191">
        <v>10</v>
      </c>
      <c r="J269" s="191" t="s">
        <v>20</v>
      </c>
      <c r="K269" s="195" t="s">
        <v>21</v>
      </c>
      <c r="L269" s="191" t="s">
        <v>27</v>
      </c>
      <c r="M269" s="188">
        <f>36685000-4785000-4000000</f>
        <v>27900000</v>
      </c>
      <c r="N269" s="192" t="s">
        <v>224</v>
      </c>
      <c r="O269" s="192" t="s">
        <v>163</v>
      </c>
      <c r="P269" s="192" t="s">
        <v>24</v>
      </c>
    </row>
    <row r="270" spans="1:16" ht="90" x14ac:dyDescent="0.3">
      <c r="A270" s="2">
        <v>2023228</v>
      </c>
      <c r="B270" s="2">
        <v>7658</v>
      </c>
      <c r="C270" s="3" t="s">
        <v>142</v>
      </c>
      <c r="D270" s="191" t="s">
        <v>221</v>
      </c>
      <c r="E270" s="192">
        <v>80111600</v>
      </c>
      <c r="F270" s="191" t="s">
        <v>254</v>
      </c>
      <c r="G270" s="193">
        <v>44931</v>
      </c>
      <c r="H270" s="193">
        <v>44942</v>
      </c>
      <c r="I270" s="191">
        <v>11</v>
      </c>
      <c r="J270" s="191" t="s">
        <v>20</v>
      </c>
      <c r="K270" s="195" t="s">
        <v>21</v>
      </c>
      <c r="L270" s="191" t="s">
        <v>27</v>
      </c>
      <c r="M270" s="188">
        <f>36685000-1595000-22330000</f>
        <v>12760000</v>
      </c>
      <c r="N270" s="192" t="s">
        <v>229</v>
      </c>
      <c r="O270" s="192" t="s">
        <v>163</v>
      </c>
      <c r="P270" s="192" t="s">
        <v>24</v>
      </c>
    </row>
    <row r="271" spans="1:16" ht="90" x14ac:dyDescent="0.3">
      <c r="A271" s="2">
        <v>2023229</v>
      </c>
      <c r="B271" s="2">
        <v>7658</v>
      </c>
      <c r="C271" s="3" t="s">
        <v>142</v>
      </c>
      <c r="D271" s="191" t="s">
        <v>221</v>
      </c>
      <c r="E271" s="192">
        <v>80111600</v>
      </c>
      <c r="F271" s="191" t="s">
        <v>255</v>
      </c>
      <c r="G271" s="193">
        <v>44931</v>
      </c>
      <c r="H271" s="193">
        <v>44942</v>
      </c>
      <c r="I271" s="191">
        <v>10.5</v>
      </c>
      <c r="J271" s="191" t="s">
        <v>20</v>
      </c>
      <c r="K271" s="195" t="s">
        <v>21</v>
      </c>
      <c r="L271" s="191" t="s">
        <v>27</v>
      </c>
      <c r="M271" s="188">
        <f>36685000-1595000-1595000-20735000</f>
        <v>12760000</v>
      </c>
      <c r="N271" s="192" t="s">
        <v>224</v>
      </c>
      <c r="O271" s="192" t="s">
        <v>163</v>
      </c>
      <c r="P271" s="192" t="s">
        <v>24</v>
      </c>
    </row>
    <row r="272" spans="1:16" ht="105" x14ac:dyDescent="0.3">
      <c r="A272" s="2">
        <v>2023230</v>
      </c>
      <c r="B272" s="2">
        <v>7658</v>
      </c>
      <c r="C272" s="3" t="s">
        <v>142</v>
      </c>
      <c r="D272" s="191" t="s">
        <v>221</v>
      </c>
      <c r="E272" s="192">
        <v>80111600</v>
      </c>
      <c r="F272" s="191" t="s">
        <v>256</v>
      </c>
      <c r="G272" s="193">
        <v>44931</v>
      </c>
      <c r="H272" s="193">
        <v>44942</v>
      </c>
      <c r="I272" s="191">
        <v>10.5</v>
      </c>
      <c r="J272" s="191" t="s">
        <v>20</v>
      </c>
      <c r="K272" s="195" t="s">
        <v>21</v>
      </c>
      <c r="L272" s="191" t="s">
        <v>27</v>
      </c>
      <c r="M272" s="188">
        <f>54050000-2350000-2350000-30550000</f>
        <v>18800000</v>
      </c>
      <c r="N272" s="192" t="s">
        <v>224</v>
      </c>
      <c r="O272" s="192" t="s">
        <v>163</v>
      </c>
      <c r="P272" s="192" t="s">
        <v>24</v>
      </c>
    </row>
    <row r="273" spans="1:16" ht="90" x14ac:dyDescent="0.3">
      <c r="A273" s="2">
        <v>2023231</v>
      </c>
      <c r="B273" s="2">
        <v>7658</v>
      </c>
      <c r="C273" s="3" t="s">
        <v>142</v>
      </c>
      <c r="D273" s="191" t="s">
        <v>221</v>
      </c>
      <c r="E273" s="192">
        <v>80111600</v>
      </c>
      <c r="F273" s="191" t="s">
        <v>257</v>
      </c>
      <c r="G273" s="193">
        <v>44931</v>
      </c>
      <c r="H273" s="193">
        <v>44942</v>
      </c>
      <c r="I273" s="191">
        <v>10.5</v>
      </c>
      <c r="J273" s="191" t="s">
        <v>20</v>
      </c>
      <c r="K273" s="195" t="s">
        <v>21</v>
      </c>
      <c r="L273" s="191" t="s">
        <v>27</v>
      </c>
      <c r="M273" s="188">
        <f>54050000+5800000+150000</f>
        <v>60000000</v>
      </c>
      <c r="N273" s="192" t="s">
        <v>229</v>
      </c>
      <c r="O273" s="192" t="s">
        <v>163</v>
      </c>
      <c r="P273" s="192" t="s">
        <v>24</v>
      </c>
    </row>
    <row r="274" spans="1:16" ht="105" x14ac:dyDescent="0.3">
      <c r="A274" s="2">
        <v>2023232</v>
      </c>
      <c r="B274" s="2">
        <v>7658</v>
      </c>
      <c r="C274" s="3" t="s">
        <v>142</v>
      </c>
      <c r="D274" s="191" t="s">
        <v>221</v>
      </c>
      <c r="E274" s="192">
        <v>80111600</v>
      </c>
      <c r="F274" s="191" t="s">
        <v>258</v>
      </c>
      <c r="G274" s="193">
        <v>44931</v>
      </c>
      <c r="H274" s="193">
        <v>44942</v>
      </c>
      <c r="I274" s="191">
        <v>10.5</v>
      </c>
      <c r="J274" s="191" t="s">
        <v>20</v>
      </c>
      <c r="K274" s="195" t="s">
        <v>21</v>
      </c>
      <c r="L274" s="191" t="s">
        <v>27</v>
      </c>
      <c r="M274" s="188">
        <f>51750000-4500000-29250000</f>
        <v>18000000</v>
      </c>
      <c r="N274" s="192" t="s">
        <v>224</v>
      </c>
      <c r="O274" s="192" t="s">
        <v>163</v>
      </c>
      <c r="P274" s="192" t="s">
        <v>24</v>
      </c>
    </row>
    <row r="275" spans="1:16" ht="90" x14ac:dyDescent="0.3">
      <c r="A275" s="2">
        <v>2023233</v>
      </c>
      <c r="B275" s="2">
        <v>7658</v>
      </c>
      <c r="C275" s="3" t="s">
        <v>142</v>
      </c>
      <c r="D275" s="191" t="s">
        <v>221</v>
      </c>
      <c r="E275" s="192">
        <v>80111600</v>
      </c>
      <c r="F275" s="191" t="s">
        <v>259</v>
      </c>
      <c r="G275" s="193">
        <v>44931</v>
      </c>
      <c r="H275" s="193">
        <v>44942</v>
      </c>
      <c r="I275" s="191">
        <v>10.5</v>
      </c>
      <c r="J275" s="191" t="s">
        <v>20</v>
      </c>
      <c r="K275" s="195" t="s">
        <v>21</v>
      </c>
      <c r="L275" s="191" t="s">
        <v>27</v>
      </c>
      <c r="M275" s="188">
        <f>45655000-1985000-1985000-25805000</f>
        <v>15880000</v>
      </c>
      <c r="N275" s="192" t="s">
        <v>224</v>
      </c>
      <c r="O275" s="192" t="s">
        <v>163</v>
      </c>
      <c r="P275" s="192" t="s">
        <v>24</v>
      </c>
    </row>
    <row r="276" spans="1:16" ht="90" x14ac:dyDescent="0.3">
      <c r="A276" s="2">
        <v>2023234</v>
      </c>
      <c r="B276" s="2">
        <v>7658</v>
      </c>
      <c r="C276" s="3" t="s">
        <v>142</v>
      </c>
      <c r="D276" s="191" t="s">
        <v>221</v>
      </c>
      <c r="E276" s="192">
        <v>80111600</v>
      </c>
      <c r="F276" s="191" t="s">
        <v>260</v>
      </c>
      <c r="G276" s="193">
        <v>44931</v>
      </c>
      <c r="H276" s="193">
        <v>44942</v>
      </c>
      <c r="I276" s="191">
        <v>11</v>
      </c>
      <c r="J276" s="191" t="s">
        <v>20</v>
      </c>
      <c r="K276" s="195" t="s">
        <v>21</v>
      </c>
      <c r="L276" s="191" t="s">
        <v>27</v>
      </c>
      <c r="M276" s="188">
        <f>97175000-4225000</f>
        <v>92950000</v>
      </c>
      <c r="N276" s="192" t="s">
        <v>224</v>
      </c>
      <c r="O276" s="192" t="s">
        <v>163</v>
      </c>
      <c r="P276" s="192" t="s">
        <v>24</v>
      </c>
    </row>
    <row r="277" spans="1:16" ht="90" x14ac:dyDescent="0.3">
      <c r="A277" s="2">
        <v>2023236</v>
      </c>
      <c r="B277" s="2">
        <v>7658</v>
      </c>
      <c r="C277" s="3" t="s">
        <v>142</v>
      </c>
      <c r="D277" s="191" t="s">
        <v>221</v>
      </c>
      <c r="E277" s="192">
        <v>80111600</v>
      </c>
      <c r="F277" s="191" t="s">
        <v>261</v>
      </c>
      <c r="G277" s="193">
        <v>44931</v>
      </c>
      <c r="H277" s="193">
        <v>44942</v>
      </c>
      <c r="I277" s="191">
        <v>10.5</v>
      </c>
      <c r="J277" s="191" t="s">
        <v>20</v>
      </c>
      <c r="K277" s="195" t="s">
        <v>21</v>
      </c>
      <c r="L277" s="191" t="s">
        <v>27</v>
      </c>
      <c r="M277" s="188">
        <f>36685000-1595000-1595000-20735000</f>
        <v>12760000</v>
      </c>
      <c r="N277" s="192" t="s">
        <v>224</v>
      </c>
      <c r="O277" s="192" t="s">
        <v>163</v>
      </c>
      <c r="P277" s="192" t="s">
        <v>24</v>
      </c>
    </row>
    <row r="278" spans="1:16" ht="90" x14ac:dyDescent="0.3">
      <c r="A278" s="2">
        <v>2023237</v>
      </c>
      <c r="B278" s="2">
        <v>7658</v>
      </c>
      <c r="C278" s="3" t="s">
        <v>142</v>
      </c>
      <c r="D278" s="191" t="s">
        <v>221</v>
      </c>
      <c r="E278" s="192">
        <v>80111600</v>
      </c>
      <c r="F278" s="191" t="s">
        <v>262</v>
      </c>
      <c r="G278" s="193">
        <v>45036</v>
      </c>
      <c r="H278" s="193">
        <v>45036</v>
      </c>
      <c r="I278" s="191">
        <v>9</v>
      </c>
      <c r="J278" s="191" t="s">
        <v>20</v>
      </c>
      <c r="K278" s="195" t="s">
        <v>21</v>
      </c>
      <c r="L278" s="191" t="s">
        <v>27</v>
      </c>
      <c r="M278" s="188">
        <f>54050000-2315000-4345000-150000-240000-18500000-600000</f>
        <v>27900000</v>
      </c>
      <c r="N278" s="192" t="s">
        <v>224</v>
      </c>
      <c r="O278" s="192" t="s">
        <v>163</v>
      </c>
      <c r="P278" s="192" t="s">
        <v>24</v>
      </c>
    </row>
    <row r="279" spans="1:16" ht="105" x14ac:dyDescent="0.3">
      <c r="A279" s="2">
        <v>2023238</v>
      </c>
      <c r="B279" s="2">
        <v>7658</v>
      </c>
      <c r="C279" s="3" t="s">
        <v>142</v>
      </c>
      <c r="D279" s="191" t="s">
        <v>221</v>
      </c>
      <c r="E279" s="192">
        <v>80111600</v>
      </c>
      <c r="F279" s="191" t="s">
        <v>263</v>
      </c>
      <c r="G279" s="193">
        <v>44931</v>
      </c>
      <c r="H279" s="193">
        <v>44942</v>
      </c>
      <c r="I279" s="191">
        <v>10.5</v>
      </c>
      <c r="J279" s="191" t="s">
        <v>20</v>
      </c>
      <c r="K279" s="195" t="s">
        <v>21</v>
      </c>
      <c r="L279" s="191" t="s">
        <v>27</v>
      </c>
      <c r="M279" s="188">
        <f>28175000-1225000-1225000-15925000</f>
        <v>9800000</v>
      </c>
      <c r="N279" s="192" t="s">
        <v>224</v>
      </c>
      <c r="O279" s="192" t="s">
        <v>163</v>
      </c>
      <c r="P279" s="192" t="s">
        <v>24</v>
      </c>
    </row>
    <row r="280" spans="1:16" ht="90" x14ac:dyDescent="0.3">
      <c r="A280" s="2">
        <v>2023239</v>
      </c>
      <c r="B280" s="2">
        <v>7658</v>
      </c>
      <c r="C280" s="3" t="s">
        <v>142</v>
      </c>
      <c r="D280" s="191" t="s">
        <v>221</v>
      </c>
      <c r="E280" s="192">
        <v>80111600</v>
      </c>
      <c r="F280" s="191" t="s">
        <v>264</v>
      </c>
      <c r="G280" s="193">
        <v>44931</v>
      </c>
      <c r="H280" s="193">
        <v>44942</v>
      </c>
      <c r="I280" s="191">
        <v>10.5</v>
      </c>
      <c r="J280" s="191" t="s">
        <v>20</v>
      </c>
      <c r="K280" s="195" t="s">
        <v>21</v>
      </c>
      <c r="L280" s="191" t="s">
        <v>27</v>
      </c>
      <c r="M280" s="188">
        <f>32775000+2315000-1595000-20735000</f>
        <v>12760000</v>
      </c>
      <c r="N280" s="192" t="s">
        <v>224</v>
      </c>
      <c r="O280" s="192" t="s">
        <v>163</v>
      </c>
      <c r="P280" s="192" t="s">
        <v>24</v>
      </c>
    </row>
    <row r="281" spans="1:16" ht="90" x14ac:dyDescent="0.3">
      <c r="A281" s="2">
        <v>2023240</v>
      </c>
      <c r="B281" s="2">
        <v>7658</v>
      </c>
      <c r="C281" s="3" t="s">
        <v>142</v>
      </c>
      <c r="D281" s="191" t="s">
        <v>221</v>
      </c>
      <c r="E281" s="192">
        <v>80111600</v>
      </c>
      <c r="F281" s="191" t="s">
        <v>265</v>
      </c>
      <c r="G281" s="193">
        <v>44931</v>
      </c>
      <c r="H281" s="193">
        <v>44942</v>
      </c>
      <c r="I281" s="191">
        <v>10.5</v>
      </c>
      <c r="J281" s="191" t="s">
        <v>20</v>
      </c>
      <c r="K281" s="195" t="s">
        <v>21</v>
      </c>
      <c r="L281" s="191" t="s">
        <v>27</v>
      </c>
      <c r="M281" s="188">
        <f>51750000-50000-2350000-30550000</f>
        <v>18800000</v>
      </c>
      <c r="N281" s="192" t="s">
        <v>224</v>
      </c>
      <c r="O281" s="192" t="s">
        <v>163</v>
      </c>
      <c r="P281" s="192" t="s">
        <v>24</v>
      </c>
    </row>
    <row r="282" spans="1:16" ht="90" x14ac:dyDescent="0.3">
      <c r="A282" s="2">
        <v>2023241</v>
      </c>
      <c r="B282" s="2">
        <v>7658</v>
      </c>
      <c r="C282" s="3" t="s">
        <v>142</v>
      </c>
      <c r="D282" s="191" t="s">
        <v>221</v>
      </c>
      <c r="E282" s="192">
        <v>80111600</v>
      </c>
      <c r="F282" s="191" t="s">
        <v>266</v>
      </c>
      <c r="G282" s="193">
        <v>44931</v>
      </c>
      <c r="H282" s="193">
        <v>44942</v>
      </c>
      <c r="I282" s="191">
        <v>11</v>
      </c>
      <c r="J282" s="191" t="s">
        <v>20</v>
      </c>
      <c r="K282" s="195" t="s">
        <v>21</v>
      </c>
      <c r="L282" s="191" t="s">
        <v>27</v>
      </c>
      <c r="M282" s="188">
        <f>82915000-3605000</f>
        <v>79310000</v>
      </c>
      <c r="N282" s="192" t="s">
        <v>224</v>
      </c>
      <c r="O282" s="192" t="s">
        <v>163</v>
      </c>
      <c r="P282" s="192" t="s">
        <v>24</v>
      </c>
    </row>
    <row r="283" spans="1:16" ht="90" x14ac:dyDescent="0.3">
      <c r="A283" s="2">
        <v>2023242</v>
      </c>
      <c r="B283" s="2">
        <v>7658</v>
      </c>
      <c r="C283" s="3" t="s">
        <v>142</v>
      </c>
      <c r="D283" s="191" t="s">
        <v>221</v>
      </c>
      <c r="E283" s="192">
        <v>80111600</v>
      </c>
      <c r="F283" s="191" t="s">
        <v>267</v>
      </c>
      <c r="G283" s="193">
        <v>45036</v>
      </c>
      <c r="H283" s="193">
        <v>45036</v>
      </c>
      <c r="I283" s="191">
        <v>9</v>
      </c>
      <c r="J283" s="191" t="s">
        <v>20</v>
      </c>
      <c r="K283" s="195" t="s">
        <v>21</v>
      </c>
      <c r="L283" s="191" t="s">
        <v>27</v>
      </c>
      <c r="M283" s="188">
        <f>45655000+4345000+20000000-22500000-2500000-4435000-16565000</f>
        <v>24000000</v>
      </c>
      <c r="N283" s="192" t="s">
        <v>229</v>
      </c>
      <c r="O283" s="192" t="s">
        <v>163</v>
      </c>
      <c r="P283" s="192" t="s">
        <v>24</v>
      </c>
    </row>
    <row r="284" spans="1:16" ht="105" x14ac:dyDescent="0.3">
      <c r="A284" s="2">
        <v>2023243</v>
      </c>
      <c r="B284" s="2">
        <v>7658</v>
      </c>
      <c r="C284" s="3" t="s">
        <v>142</v>
      </c>
      <c r="D284" s="191" t="s">
        <v>221</v>
      </c>
      <c r="E284" s="192">
        <v>80111600</v>
      </c>
      <c r="F284" s="191" t="s">
        <v>268</v>
      </c>
      <c r="G284" s="193">
        <v>44931</v>
      </c>
      <c r="H284" s="193">
        <v>44942</v>
      </c>
      <c r="I284" s="191">
        <v>10.5</v>
      </c>
      <c r="J284" s="191" t="s">
        <v>20</v>
      </c>
      <c r="K284" s="195" t="s">
        <v>21</v>
      </c>
      <c r="L284" s="191" t="s">
        <v>27</v>
      </c>
      <c r="M284" s="188">
        <f>54050000-2350000-2350000-30550000</f>
        <v>18800000</v>
      </c>
      <c r="N284" s="192" t="s">
        <v>229</v>
      </c>
      <c r="O284" s="192" t="s">
        <v>163</v>
      </c>
      <c r="P284" s="192" t="s">
        <v>24</v>
      </c>
    </row>
    <row r="285" spans="1:16" ht="90" x14ac:dyDescent="0.3">
      <c r="A285" s="2">
        <v>2023244</v>
      </c>
      <c r="B285" s="2">
        <v>7658</v>
      </c>
      <c r="C285" s="3" t="s">
        <v>142</v>
      </c>
      <c r="D285" s="191" t="s">
        <v>221</v>
      </c>
      <c r="E285" s="192">
        <v>80111600</v>
      </c>
      <c r="F285" s="191" t="s">
        <v>269</v>
      </c>
      <c r="G285" s="193">
        <v>44931</v>
      </c>
      <c r="H285" s="193">
        <v>44942</v>
      </c>
      <c r="I285" s="191">
        <v>10</v>
      </c>
      <c r="J285" s="191" t="s">
        <v>20</v>
      </c>
      <c r="K285" s="195" t="s">
        <v>21</v>
      </c>
      <c r="L285" s="191" t="s">
        <v>50</v>
      </c>
      <c r="M285" s="188">
        <f>95450000-9800000-13400000-2940960-3000000-309000-6000000</f>
        <v>60000040</v>
      </c>
      <c r="N285" s="192" t="s">
        <v>224</v>
      </c>
      <c r="O285" s="192" t="s">
        <v>163</v>
      </c>
      <c r="P285" s="192" t="s">
        <v>24</v>
      </c>
    </row>
    <row r="286" spans="1:16" ht="90" x14ac:dyDescent="0.3">
      <c r="A286" s="2">
        <v>2023245</v>
      </c>
      <c r="B286" s="2">
        <v>7658</v>
      </c>
      <c r="C286" s="3" t="s">
        <v>142</v>
      </c>
      <c r="D286" s="191" t="s">
        <v>221</v>
      </c>
      <c r="E286" s="192">
        <v>80111600</v>
      </c>
      <c r="F286" s="191" t="s">
        <v>270</v>
      </c>
      <c r="G286" s="193">
        <v>44931</v>
      </c>
      <c r="H286" s="193">
        <v>44942</v>
      </c>
      <c r="I286" s="191">
        <v>10.5</v>
      </c>
      <c r="J286" s="191" t="s">
        <v>20</v>
      </c>
      <c r="K286" s="195" t="s">
        <v>21</v>
      </c>
      <c r="L286" s="191" t="s">
        <v>27</v>
      </c>
      <c r="M286" s="188">
        <f>51750000-2250000-2830000-29250000</f>
        <v>17420000</v>
      </c>
      <c r="N286" s="192" t="s">
        <v>224</v>
      </c>
      <c r="O286" s="192" t="s">
        <v>163</v>
      </c>
      <c r="P286" s="192" t="s">
        <v>24</v>
      </c>
    </row>
    <row r="287" spans="1:16" ht="90" x14ac:dyDescent="0.3">
      <c r="A287" s="2">
        <v>2023246</v>
      </c>
      <c r="B287" s="2">
        <v>7658</v>
      </c>
      <c r="C287" s="3" t="s">
        <v>142</v>
      </c>
      <c r="D287" s="191" t="s">
        <v>221</v>
      </c>
      <c r="E287" s="192">
        <v>80111600</v>
      </c>
      <c r="F287" s="191" t="s">
        <v>271</v>
      </c>
      <c r="G287" s="193">
        <v>44931</v>
      </c>
      <c r="H287" s="193">
        <v>44942</v>
      </c>
      <c r="I287" s="191">
        <v>10.5</v>
      </c>
      <c r="J287" s="191" t="s">
        <v>20</v>
      </c>
      <c r="K287" s="195" t="s">
        <v>21</v>
      </c>
      <c r="L287" s="191" t="s">
        <v>27</v>
      </c>
      <c r="M287" s="188">
        <f>51750000-2250000-2250000-29250000</f>
        <v>18000000</v>
      </c>
      <c r="N287" s="192" t="s">
        <v>224</v>
      </c>
      <c r="O287" s="192" t="s">
        <v>163</v>
      </c>
      <c r="P287" s="192" t="s">
        <v>24</v>
      </c>
    </row>
    <row r="288" spans="1:16" ht="90" x14ac:dyDescent="0.3">
      <c r="A288" s="2">
        <v>2023247</v>
      </c>
      <c r="B288" s="2">
        <v>7658</v>
      </c>
      <c r="C288" s="3" t="s">
        <v>142</v>
      </c>
      <c r="D288" s="191" t="s">
        <v>221</v>
      </c>
      <c r="E288" s="192">
        <v>80111600</v>
      </c>
      <c r="F288" s="191" t="s">
        <v>272</v>
      </c>
      <c r="G288" s="193">
        <v>44931</v>
      </c>
      <c r="H288" s="193">
        <v>44942</v>
      </c>
      <c r="I288" s="191">
        <v>10</v>
      </c>
      <c r="J288" s="191" t="s">
        <v>20</v>
      </c>
      <c r="K288" s="195" t="s">
        <v>21</v>
      </c>
      <c r="L288" s="191" t="s">
        <v>27</v>
      </c>
      <c r="M288" s="188">
        <f>69000000-31900000+11750000+150000+1000000+7750000-8250000</f>
        <v>49500000</v>
      </c>
      <c r="N288" s="192" t="s">
        <v>224</v>
      </c>
      <c r="O288" s="192" t="s">
        <v>163</v>
      </c>
      <c r="P288" s="192" t="s">
        <v>24</v>
      </c>
    </row>
    <row r="289" spans="1:16" ht="90" x14ac:dyDescent="0.3">
      <c r="A289" s="2">
        <v>2023248</v>
      </c>
      <c r="B289" s="2">
        <v>7658</v>
      </c>
      <c r="C289" s="3" t="s">
        <v>142</v>
      </c>
      <c r="D289" s="191" t="s">
        <v>221</v>
      </c>
      <c r="E289" s="192">
        <v>80111600</v>
      </c>
      <c r="F289" s="191" t="s">
        <v>273</v>
      </c>
      <c r="G289" s="193">
        <v>44931</v>
      </c>
      <c r="H289" s="193">
        <v>44942</v>
      </c>
      <c r="I289" s="191">
        <v>10.5</v>
      </c>
      <c r="J289" s="191" t="s">
        <v>20</v>
      </c>
      <c r="K289" s="195" t="s">
        <v>21</v>
      </c>
      <c r="L289" s="191" t="s">
        <v>27</v>
      </c>
      <c r="M289" s="188">
        <f>36800000-1600000-1600000-20800000</f>
        <v>12800000</v>
      </c>
      <c r="N289" s="192" t="s">
        <v>224</v>
      </c>
      <c r="O289" s="192" t="s">
        <v>163</v>
      </c>
      <c r="P289" s="192" t="s">
        <v>24</v>
      </c>
    </row>
    <row r="290" spans="1:16" ht="90" x14ac:dyDescent="0.3">
      <c r="A290" s="2">
        <v>2023249</v>
      </c>
      <c r="B290" s="2">
        <v>7658</v>
      </c>
      <c r="C290" s="3" t="s">
        <v>142</v>
      </c>
      <c r="D290" s="191" t="s">
        <v>221</v>
      </c>
      <c r="E290" s="192">
        <v>80111600</v>
      </c>
      <c r="F290" s="191" t="s">
        <v>274</v>
      </c>
      <c r="G290" s="193">
        <v>44931</v>
      </c>
      <c r="H290" s="193">
        <v>44942</v>
      </c>
      <c r="I290" s="191">
        <v>11.5</v>
      </c>
      <c r="J290" s="191" t="s">
        <v>20</v>
      </c>
      <c r="K290" s="195" t="s">
        <v>21</v>
      </c>
      <c r="L290" s="191" t="s">
        <v>27</v>
      </c>
      <c r="M290" s="188">
        <f>39916500-4826500-22330000</f>
        <v>12760000</v>
      </c>
      <c r="N290" s="192" t="s">
        <v>224</v>
      </c>
      <c r="O290" s="192" t="s">
        <v>163</v>
      </c>
      <c r="P290" s="192" t="s">
        <v>24</v>
      </c>
    </row>
    <row r="291" spans="1:16" ht="90" x14ac:dyDescent="0.3">
      <c r="A291" s="2">
        <v>2023250</v>
      </c>
      <c r="B291" s="2">
        <v>7658</v>
      </c>
      <c r="C291" s="3" t="s">
        <v>142</v>
      </c>
      <c r="D291" s="191" t="s">
        <v>221</v>
      </c>
      <c r="E291" s="192">
        <v>80111600</v>
      </c>
      <c r="F291" s="191" t="s">
        <v>275</v>
      </c>
      <c r="G291" s="193">
        <v>44931</v>
      </c>
      <c r="H291" s="193">
        <v>44942</v>
      </c>
      <c r="I291" s="191">
        <v>10</v>
      </c>
      <c r="J291" s="191" t="s">
        <v>20</v>
      </c>
      <c r="K291" s="195" t="s">
        <v>21</v>
      </c>
      <c r="L291" s="191" t="s">
        <v>27</v>
      </c>
      <c r="M291" s="188">
        <f>31625000-1625000-18000000</f>
        <v>12000000</v>
      </c>
      <c r="N291" s="192" t="s">
        <v>224</v>
      </c>
      <c r="O291" s="192" t="s">
        <v>163</v>
      </c>
      <c r="P291" s="192" t="s">
        <v>24</v>
      </c>
    </row>
    <row r="292" spans="1:16" ht="90" x14ac:dyDescent="0.3">
      <c r="A292" s="2">
        <v>2023251</v>
      </c>
      <c r="B292" s="2">
        <v>7658</v>
      </c>
      <c r="C292" s="3" t="s">
        <v>142</v>
      </c>
      <c r="D292" s="191" t="s">
        <v>221</v>
      </c>
      <c r="E292" s="192">
        <v>80111600</v>
      </c>
      <c r="F292" s="191" t="s">
        <v>276</v>
      </c>
      <c r="G292" s="193">
        <v>45005</v>
      </c>
      <c r="H292" s="193">
        <v>45005</v>
      </c>
      <c r="I292" s="191">
        <v>10</v>
      </c>
      <c r="J292" s="191" t="s">
        <v>20</v>
      </c>
      <c r="K292" s="195" t="s">
        <v>21</v>
      </c>
      <c r="L292" s="191" t="s">
        <v>27</v>
      </c>
      <c r="M292" s="188">
        <f>35750000-3750000-25600000</f>
        <v>6400000</v>
      </c>
      <c r="N292" s="192" t="s">
        <v>229</v>
      </c>
      <c r="O292" s="192" t="s">
        <v>163</v>
      </c>
      <c r="P292" s="192" t="s">
        <v>24</v>
      </c>
    </row>
    <row r="293" spans="1:16" ht="135" x14ac:dyDescent="0.3">
      <c r="A293" s="2">
        <v>2023252</v>
      </c>
      <c r="B293" s="2">
        <v>7658</v>
      </c>
      <c r="C293" s="3" t="s">
        <v>142</v>
      </c>
      <c r="D293" s="191" t="s">
        <v>221</v>
      </c>
      <c r="E293" s="192">
        <v>80111600</v>
      </c>
      <c r="F293" s="191" t="s">
        <v>277</v>
      </c>
      <c r="G293" s="193">
        <v>44931</v>
      </c>
      <c r="H293" s="193">
        <v>44942</v>
      </c>
      <c r="I293" s="191">
        <v>10</v>
      </c>
      <c r="J293" s="191" t="s">
        <v>20</v>
      </c>
      <c r="K293" s="195" t="s">
        <v>21</v>
      </c>
      <c r="L293" s="191" t="s">
        <v>27</v>
      </c>
      <c r="M293" s="188">
        <f>69000000-8500000+14010000+309000-150000-14669000-36000000</f>
        <v>24000000</v>
      </c>
      <c r="N293" s="192" t="s">
        <v>229</v>
      </c>
      <c r="O293" s="192" t="s">
        <v>163</v>
      </c>
      <c r="P293" s="192" t="s">
        <v>24</v>
      </c>
    </row>
    <row r="294" spans="1:16" ht="135" x14ac:dyDescent="0.3">
      <c r="A294" s="2">
        <v>2023253</v>
      </c>
      <c r="B294" s="2">
        <v>7658</v>
      </c>
      <c r="C294" s="3" t="s">
        <v>142</v>
      </c>
      <c r="D294" s="191" t="s">
        <v>221</v>
      </c>
      <c r="E294" s="192">
        <v>80111600</v>
      </c>
      <c r="F294" s="191" t="s">
        <v>278</v>
      </c>
      <c r="G294" s="193">
        <v>44931</v>
      </c>
      <c r="H294" s="193">
        <v>44942</v>
      </c>
      <c r="I294" s="191">
        <v>10.5</v>
      </c>
      <c r="J294" s="191" t="s">
        <v>20</v>
      </c>
      <c r="K294" s="195" t="s">
        <v>21</v>
      </c>
      <c r="L294" s="191" t="s">
        <v>27</v>
      </c>
      <c r="M294" s="188">
        <f>42350000-1925000-25025000</f>
        <v>15400000</v>
      </c>
      <c r="N294" s="192" t="s">
        <v>229</v>
      </c>
      <c r="O294" s="192" t="s">
        <v>163</v>
      </c>
      <c r="P294" s="192" t="s">
        <v>24</v>
      </c>
    </row>
    <row r="295" spans="1:16" ht="150" x14ac:dyDescent="0.3">
      <c r="A295" s="2">
        <v>2023254</v>
      </c>
      <c r="B295" s="2">
        <v>7658</v>
      </c>
      <c r="C295" s="3" t="s">
        <v>142</v>
      </c>
      <c r="D295" s="191" t="s">
        <v>221</v>
      </c>
      <c r="E295" s="192">
        <v>80111600</v>
      </c>
      <c r="F295" s="191" t="s">
        <v>279</v>
      </c>
      <c r="G295" s="193">
        <v>44931</v>
      </c>
      <c r="H295" s="193">
        <v>44942</v>
      </c>
      <c r="I295" s="191">
        <v>11</v>
      </c>
      <c r="J295" s="191" t="s">
        <v>20</v>
      </c>
      <c r="K295" s="195" t="s">
        <v>21</v>
      </c>
      <c r="L295" s="191" t="s">
        <v>27</v>
      </c>
      <c r="M295" s="188">
        <f>72150000-650000</f>
        <v>71500000</v>
      </c>
      <c r="N295" s="192" t="s">
        <v>229</v>
      </c>
      <c r="O295" s="192" t="s">
        <v>163</v>
      </c>
      <c r="P295" s="192" t="s">
        <v>24</v>
      </c>
    </row>
    <row r="296" spans="1:16" ht="105" x14ac:dyDescent="0.3">
      <c r="A296" s="2">
        <v>2023255</v>
      </c>
      <c r="B296" s="2">
        <v>7658</v>
      </c>
      <c r="C296" s="3" t="s">
        <v>142</v>
      </c>
      <c r="D296" s="191" t="s">
        <v>221</v>
      </c>
      <c r="E296" s="192">
        <v>80111600</v>
      </c>
      <c r="F296" s="191" t="s">
        <v>280</v>
      </c>
      <c r="G296" s="193">
        <v>44931</v>
      </c>
      <c r="H296" s="193">
        <v>44942</v>
      </c>
      <c r="I296" s="191">
        <v>11.5</v>
      </c>
      <c r="J296" s="191" t="s">
        <v>20</v>
      </c>
      <c r="K296" s="195" t="s">
        <v>21</v>
      </c>
      <c r="L296" s="191" t="s">
        <v>27</v>
      </c>
      <c r="M296" s="188">
        <f>30659000-22059000</f>
        <v>8600000</v>
      </c>
      <c r="N296" s="192" t="s">
        <v>224</v>
      </c>
      <c r="O296" s="192" t="s">
        <v>163</v>
      </c>
      <c r="P296" s="192" t="s">
        <v>24</v>
      </c>
    </row>
    <row r="297" spans="1:16" ht="60" x14ac:dyDescent="0.3">
      <c r="A297" s="2">
        <v>2023256</v>
      </c>
      <c r="B297" s="2">
        <v>7655</v>
      </c>
      <c r="C297" s="3" t="s">
        <v>25</v>
      </c>
      <c r="D297" s="191" t="s">
        <v>281</v>
      </c>
      <c r="E297" s="192">
        <v>80111600</v>
      </c>
      <c r="F297" s="191" t="s">
        <v>282</v>
      </c>
      <c r="G297" s="193">
        <v>45031</v>
      </c>
      <c r="H297" s="193">
        <v>45031</v>
      </c>
      <c r="I297" s="191">
        <v>8</v>
      </c>
      <c r="J297" s="191" t="s">
        <v>20</v>
      </c>
      <c r="K297" s="195" t="s">
        <v>21</v>
      </c>
      <c r="L297" s="191" t="s">
        <v>27</v>
      </c>
      <c r="M297" s="214">
        <f>124514000-28594000-30000000-29938667</f>
        <v>35981333</v>
      </c>
      <c r="N297" s="192" t="s">
        <v>28</v>
      </c>
      <c r="O297" s="192" t="s">
        <v>29</v>
      </c>
      <c r="P297" s="192" t="s">
        <v>24</v>
      </c>
    </row>
    <row r="298" spans="1:16" ht="90" x14ac:dyDescent="0.3">
      <c r="A298" s="2">
        <v>2023257</v>
      </c>
      <c r="B298" s="2">
        <v>7658</v>
      </c>
      <c r="C298" s="3" t="s">
        <v>142</v>
      </c>
      <c r="D298" s="191" t="s">
        <v>281</v>
      </c>
      <c r="E298" s="192" t="s">
        <v>283</v>
      </c>
      <c r="F298" s="191" t="s">
        <v>284</v>
      </c>
      <c r="G298" s="193">
        <v>44941</v>
      </c>
      <c r="H298" s="193">
        <v>45000</v>
      </c>
      <c r="I298" s="191">
        <v>8</v>
      </c>
      <c r="J298" s="191" t="s">
        <v>159</v>
      </c>
      <c r="K298" s="195" t="s">
        <v>21</v>
      </c>
      <c r="L298" s="191" t="s">
        <v>27</v>
      </c>
      <c r="M298" s="188">
        <f>682792000+12600000+1400000+2000000+400000-229931285+100000000+9114285+2800000+11200000+2800000+11200000+2500000+1400000+1400000+1400000+1400000+1400000+1400000+1400000+1400000+1400000+1400000+1400000+9800000+7000000+16800000+3000000+14000000+14000000+7500000+3900000+9800000+11200000+14000000+18000000+15400000+17325000</f>
        <v>786000000</v>
      </c>
      <c r="N298" s="192" t="s">
        <v>285</v>
      </c>
      <c r="O298" s="192" t="s">
        <v>286</v>
      </c>
      <c r="P298" s="192" t="s">
        <v>24</v>
      </c>
    </row>
    <row r="299" spans="1:16" ht="90" x14ac:dyDescent="0.3">
      <c r="A299" s="2">
        <v>2023258</v>
      </c>
      <c r="B299" s="2">
        <v>7658</v>
      </c>
      <c r="C299" s="3" t="s">
        <v>142</v>
      </c>
      <c r="D299" s="191" t="s">
        <v>281</v>
      </c>
      <c r="E299" s="192" t="s">
        <v>287</v>
      </c>
      <c r="F299" s="191" t="s">
        <v>288</v>
      </c>
      <c r="G299" s="193">
        <v>45022</v>
      </c>
      <c r="H299" s="193">
        <v>45078</v>
      </c>
      <c r="I299" s="191">
        <v>6</v>
      </c>
      <c r="J299" s="191" t="s">
        <v>154</v>
      </c>
      <c r="K299" s="195" t="s">
        <v>21</v>
      </c>
      <c r="L299" s="191" t="s">
        <v>27</v>
      </c>
      <c r="M299" s="188">
        <f>20000000-11000000-9000000</f>
        <v>0</v>
      </c>
      <c r="N299" s="192" t="s">
        <v>285</v>
      </c>
      <c r="O299" s="192" t="s">
        <v>286</v>
      </c>
      <c r="P299" s="192" t="s">
        <v>24</v>
      </c>
    </row>
    <row r="300" spans="1:16" ht="120" x14ac:dyDescent="0.3">
      <c r="A300" s="2">
        <v>2023259</v>
      </c>
      <c r="B300" s="2">
        <v>7658</v>
      </c>
      <c r="C300" s="3" t="s">
        <v>142</v>
      </c>
      <c r="D300" s="191" t="s">
        <v>281</v>
      </c>
      <c r="E300" s="192" t="s">
        <v>289</v>
      </c>
      <c r="F300" s="191" t="s">
        <v>290</v>
      </c>
      <c r="G300" s="193">
        <v>44946</v>
      </c>
      <c r="H300" s="193">
        <v>45077</v>
      </c>
      <c r="I300" s="191">
        <v>8</v>
      </c>
      <c r="J300" s="191" t="s">
        <v>154</v>
      </c>
      <c r="K300" s="195" t="s">
        <v>21</v>
      </c>
      <c r="L300" s="191" t="s">
        <v>27</v>
      </c>
      <c r="M300" s="188">
        <f>120000000-83128962+55419308+10000000+2709654</f>
        <v>105000000</v>
      </c>
      <c r="N300" s="192" t="s">
        <v>285</v>
      </c>
      <c r="O300" s="192" t="s">
        <v>286</v>
      </c>
      <c r="P300" s="192" t="s">
        <v>24</v>
      </c>
    </row>
    <row r="301" spans="1:16" ht="105" x14ac:dyDescent="0.3">
      <c r="A301" s="2">
        <v>2023260</v>
      </c>
      <c r="B301" s="2">
        <v>7658</v>
      </c>
      <c r="C301" s="3" t="s">
        <v>142</v>
      </c>
      <c r="D301" s="191" t="s">
        <v>281</v>
      </c>
      <c r="E301" s="192" t="s">
        <v>291</v>
      </c>
      <c r="F301" s="191" t="s">
        <v>292</v>
      </c>
      <c r="G301" s="193">
        <v>45047</v>
      </c>
      <c r="H301" s="193">
        <v>45078</v>
      </c>
      <c r="I301" s="191">
        <v>10</v>
      </c>
      <c r="J301" s="191" t="s">
        <v>118</v>
      </c>
      <c r="K301" s="195" t="s">
        <v>21</v>
      </c>
      <c r="L301" s="191" t="s">
        <v>27</v>
      </c>
      <c r="M301" s="188">
        <f>10000000-10000000</f>
        <v>0</v>
      </c>
      <c r="N301" s="192" t="s">
        <v>285</v>
      </c>
      <c r="O301" s="192" t="s">
        <v>286</v>
      </c>
      <c r="P301" s="192" t="s">
        <v>24</v>
      </c>
    </row>
    <row r="302" spans="1:16" ht="105" x14ac:dyDescent="0.3">
      <c r="A302" s="2">
        <v>2023261</v>
      </c>
      <c r="B302" s="2">
        <v>7658</v>
      </c>
      <c r="C302" s="3" t="s">
        <v>142</v>
      </c>
      <c r="D302" s="191" t="s">
        <v>281</v>
      </c>
      <c r="E302" s="192" t="s">
        <v>293</v>
      </c>
      <c r="F302" s="191" t="s">
        <v>294</v>
      </c>
      <c r="G302" s="193">
        <v>45118</v>
      </c>
      <c r="H302" s="193">
        <v>45139</v>
      </c>
      <c r="I302" s="191">
        <v>2</v>
      </c>
      <c r="J302" s="191" t="s">
        <v>118</v>
      </c>
      <c r="K302" s="195" t="s">
        <v>21</v>
      </c>
      <c r="L302" s="191" t="s">
        <v>27</v>
      </c>
      <c r="M302" s="188">
        <f>20000000+11000000</f>
        <v>31000000</v>
      </c>
      <c r="N302" s="192" t="s">
        <v>285</v>
      </c>
      <c r="O302" s="192" t="s">
        <v>286</v>
      </c>
      <c r="P302" s="192" t="s">
        <v>24</v>
      </c>
    </row>
    <row r="303" spans="1:16" ht="75" x14ac:dyDescent="0.3">
      <c r="A303" s="2">
        <v>2023262</v>
      </c>
      <c r="B303" s="2">
        <v>7658</v>
      </c>
      <c r="C303" s="3" t="s">
        <v>142</v>
      </c>
      <c r="D303" s="191" t="s">
        <v>281</v>
      </c>
      <c r="E303" s="192">
        <v>80111600</v>
      </c>
      <c r="F303" s="191" t="s">
        <v>295</v>
      </c>
      <c r="G303" s="193">
        <v>44986</v>
      </c>
      <c r="H303" s="193">
        <v>44986</v>
      </c>
      <c r="I303" s="191">
        <v>6</v>
      </c>
      <c r="J303" s="191" t="s">
        <v>20</v>
      </c>
      <c r="K303" s="195" t="s">
        <v>21</v>
      </c>
      <c r="L303" s="191" t="s">
        <v>27</v>
      </c>
      <c r="M303" s="188">
        <f>45000000-45000000+2000000+1400000+2950000+2950000+2800000+2800000+3000000+2500000+2700000+6900000</f>
        <v>30000000</v>
      </c>
      <c r="N303" s="192" t="s">
        <v>285</v>
      </c>
      <c r="O303" s="192" t="s">
        <v>286</v>
      </c>
      <c r="P303" s="192" t="s">
        <v>24</v>
      </c>
    </row>
    <row r="304" spans="1:16" ht="75" x14ac:dyDescent="0.3">
      <c r="A304" s="2">
        <v>2023263</v>
      </c>
      <c r="B304" s="2">
        <v>7658</v>
      </c>
      <c r="C304" s="3" t="s">
        <v>142</v>
      </c>
      <c r="D304" s="191" t="s">
        <v>281</v>
      </c>
      <c r="E304" s="192">
        <v>80111600</v>
      </c>
      <c r="F304" s="191" t="s">
        <v>296</v>
      </c>
      <c r="G304" s="193">
        <v>44942</v>
      </c>
      <c r="H304" s="193">
        <v>44942</v>
      </c>
      <c r="I304" s="191">
        <v>1</v>
      </c>
      <c r="J304" s="191" t="s">
        <v>20</v>
      </c>
      <c r="K304" s="195" t="s">
        <v>21</v>
      </c>
      <c r="L304" s="191" t="s">
        <v>27</v>
      </c>
      <c r="M304" s="188">
        <f>82400000-18000000-9114285-4200000-2850000-2800000-2800000-2800000-2800000-1400000-3000000-2500000-2500000-2500000-2500000-4850000-4850000-4850000-2750000-4850000-485715</f>
        <v>0</v>
      </c>
      <c r="N304" s="192" t="s">
        <v>285</v>
      </c>
      <c r="O304" s="192" t="s">
        <v>286</v>
      </c>
      <c r="P304" s="192" t="s">
        <v>24</v>
      </c>
    </row>
    <row r="305" spans="1:16" ht="75" x14ac:dyDescent="0.3">
      <c r="A305" s="2">
        <v>2023264</v>
      </c>
      <c r="B305" s="2">
        <v>7658</v>
      </c>
      <c r="C305" s="3" t="s">
        <v>142</v>
      </c>
      <c r="D305" s="191" t="s">
        <v>281</v>
      </c>
      <c r="E305" s="192">
        <v>80111600</v>
      </c>
      <c r="F305" s="191" t="s">
        <v>297</v>
      </c>
      <c r="G305" s="193">
        <v>44942</v>
      </c>
      <c r="H305" s="193">
        <v>44942</v>
      </c>
      <c r="I305" s="191">
        <v>10</v>
      </c>
      <c r="J305" s="191" t="s">
        <v>20</v>
      </c>
      <c r="K305" s="195" t="s">
        <v>21</v>
      </c>
      <c r="L305" s="191" t="s">
        <v>27</v>
      </c>
      <c r="M305" s="188">
        <v>80000000</v>
      </c>
      <c r="N305" s="192" t="s">
        <v>285</v>
      </c>
      <c r="O305" s="192" t="s">
        <v>286</v>
      </c>
      <c r="P305" s="192" t="s">
        <v>24</v>
      </c>
    </row>
    <row r="306" spans="1:16" ht="75" x14ac:dyDescent="0.3">
      <c r="A306" s="2">
        <v>2023265</v>
      </c>
      <c r="B306" s="2">
        <v>7658</v>
      </c>
      <c r="C306" s="3" t="s">
        <v>142</v>
      </c>
      <c r="D306" s="191" t="s">
        <v>281</v>
      </c>
      <c r="E306" s="192">
        <v>80111600</v>
      </c>
      <c r="F306" s="191" t="s">
        <v>298</v>
      </c>
      <c r="G306" s="193">
        <v>44942</v>
      </c>
      <c r="H306" s="193">
        <v>44942</v>
      </c>
      <c r="I306" s="191">
        <v>10</v>
      </c>
      <c r="J306" s="191" t="s">
        <v>20</v>
      </c>
      <c r="K306" s="195" t="s">
        <v>21</v>
      </c>
      <c r="L306" s="191" t="s">
        <v>27</v>
      </c>
      <c r="M306" s="188">
        <f>75000000-11200000-14000000-18000000-18000000-13800000</f>
        <v>0</v>
      </c>
      <c r="N306" s="192" t="s">
        <v>285</v>
      </c>
      <c r="O306" s="192" t="s">
        <v>286</v>
      </c>
      <c r="P306" s="192" t="s">
        <v>24</v>
      </c>
    </row>
    <row r="307" spans="1:16" ht="75" x14ac:dyDescent="0.3">
      <c r="A307" s="2">
        <v>2023266</v>
      </c>
      <c r="B307" s="2">
        <v>7658</v>
      </c>
      <c r="C307" s="3" t="s">
        <v>142</v>
      </c>
      <c r="D307" s="191" t="s">
        <v>281</v>
      </c>
      <c r="E307" s="192">
        <v>80111600</v>
      </c>
      <c r="F307" s="191" t="s">
        <v>299</v>
      </c>
      <c r="G307" s="193">
        <v>44942</v>
      </c>
      <c r="H307" s="193">
        <v>44942</v>
      </c>
      <c r="I307" s="191">
        <v>10</v>
      </c>
      <c r="J307" s="191" t="s">
        <v>20</v>
      </c>
      <c r="K307" s="195" t="s">
        <v>21</v>
      </c>
      <c r="L307" s="191" t="s">
        <v>27</v>
      </c>
      <c r="M307" s="188">
        <f>42000000-25200000</f>
        <v>16800000</v>
      </c>
      <c r="N307" s="192" t="s">
        <v>285</v>
      </c>
      <c r="O307" s="192" t="s">
        <v>286</v>
      </c>
      <c r="P307" s="192" t="s">
        <v>24</v>
      </c>
    </row>
    <row r="308" spans="1:16" ht="75" x14ac:dyDescent="0.3">
      <c r="A308" s="2">
        <v>2023267</v>
      </c>
      <c r="B308" s="2">
        <v>7658</v>
      </c>
      <c r="C308" s="3" t="s">
        <v>142</v>
      </c>
      <c r="D308" s="191" t="s">
        <v>281</v>
      </c>
      <c r="E308" s="192">
        <v>80111600</v>
      </c>
      <c r="F308" s="191" t="s">
        <v>300</v>
      </c>
      <c r="G308" s="193">
        <v>44942</v>
      </c>
      <c r="H308" s="193">
        <v>44942</v>
      </c>
      <c r="I308" s="191">
        <v>4</v>
      </c>
      <c r="J308" s="191" t="s">
        <v>20</v>
      </c>
      <c r="K308" s="195" t="s">
        <v>21</v>
      </c>
      <c r="L308" s="191" t="s">
        <v>27</v>
      </c>
      <c r="M308" s="188">
        <f>28000000-12600000-2000000</f>
        <v>13400000</v>
      </c>
      <c r="N308" s="192" t="s">
        <v>285</v>
      </c>
      <c r="O308" s="192" t="s">
        <v>286</v>
      </c>
      <c r="P308" s="192" t="s">
        <v>24</v>
      </c>
    </row>
    <row r="309" spans="1:16" ht="75" x14ac:dyDescent="0.3">
      <c r="A309" s="2">
        <v>2023268</v>
      </c>
      <c r="B309" s="2">
        <v>7658</v>
      </c>
      <c r="C309" s="3" t="s">
        <v>142</v>
      </c>
      <c r="D309" s="191" t="s">
        <v>281</v>
      </c>
      <c r="E309" s="192">
        <v>80111600</v>
      </c>
      <c r="F309" s="191" t="s">
        <v>301</v>
      </c>
      <c r="G309" s="193">
        <v>44942</v>
      </c>
      <c r="H309" s="193">
        <v>44942</v>
      </c>
      <c r="I309" s="191">
        <v>4</v>
      </c>
      <c r="J309" s="191" t="s">
        <v>20</v>
      </c>
      <c r="K309" s="195" t="s">
        <v>21</v>
      </c>
      <c r="L309" s="191" t="s">
        <v>27</v>
      </c>
      <c r="M309" s="188">
        <v>16800000</v>
      </c>
      <c r="N309" s="192" t="s">
        <v>285</v>
      </c>
      <c r="O309" s="192" t="s">
        <v>286</v>
      </c>
      <c r="P309" s="192" t="s">
        <v>24</v>
      </c>
    </row>
    <row r="310" spans="1:16" ht="75" x14ac:dyDescent="0.3">
      <c r="A310" s="2">
        <v>2023269</v>
      </c>
      <c r="B310" s="2">
        <v>7658</v>
      </c>
      <c r="C310" s="3" t="s">
        <v>142</v>
      </c>
      <c r="D310" s="191" t="s">
        <v>281</v>
      </c>
      <c r="E310" s="192">
        <v>80111600</v>
      </c>
      <c r="F310" s="191" t="s">
        <v>302</v>
      </c>
      <c r="G310" s="193">
        <v>44942</v>
      </c>
      <c r="H310" s="193">
        <v>44942</v>
      </c>
      <c r="I310" s="191">
        <v>4</v>
      </c>
      <c r="J310" s="191" t="s">
        <v>20</v>
      </c>
      <c r="K310" s="195" t="s">
        <v>21</v>
      </c>
      <c r="L310" s="191" t="s">
        <v>27</v>
      </c>
      <c r="M310" s="188">
        <f>11400000</f>
        <v>11400000</v>
      </c>
      <c r="N310" s="192" t="s">
        <v>285</v>
      </c>
      <c r="O310" s="192" t="s">
        <v>286</v>
      </c>
      <c r="P310" s="192" t="s">
        <v>24</v>
      </c>
    </row>
    <row r="311" spans="1:16" ht="75" x14ac:dyDescent="0.3">
      <c r="A311" s="2">
        <v>2023270</v>
      </c>
      <c r="B311" s="2">
        <v>7658</v>
      </c>
      <c r="C311" s="3" t="s">
        <v>142</v>
      </c>
      <c r="D311" s="191" t="s">
        <v>281</v>
      </c>
      <c r="E311" s="192">
        <v>80111600</v>
      </c>
      <c r="F311" s="191" t="s">
        <v>303</v>
      </c>
      <c r="G311" s="193">
        <v>44942</v>
      </c>
      <c r="H311" s="193">
        <v>44942</v>
      </c>
      <c r="I311" s="191">
        <v>10</v>
      </c>
      <c r="J311" s="191" t="s">
        <v>20</v>
      </c>
      <c r="K311" s="195" t="s">
        <v>21</v>
      </c>
      <c r="L311" s="191" t="s">
        <v>27</v>
      </c>
      <c r="M311" s="188">
        <f>38500000-23100000</f>
        <v>15400000</v>
      </c>
      <c r="N311" s="192" t="s">
        <v>285</v>
      </c>
      <c r="O311" s="192" t="s">
        <v>286</v>
      </c>
      <c r="P311" s="192" t="s">
        <v>24</v>
      </c>
    </row>
    <row r="312" spans="1:16" ht="75" x14ac:dyDescent="0.3">
      <c r="A312" s="2">
        <v>2023271</v>
      </c>
      <c r="B312" s="2">
        <v>7658</v>
      </c>
      <c r="C312" s="3" t="s">
        <v>142</v>
      </c>
      <c r="D312" s="191" t="s">
        <v>281</v>
      </c>
      <c r="E312" s="192">
        <v>80111600</v>
      </c>
      <c r="F312" s="191" t="s">
        <v>304</v>
      </c>
      <c r="G312" s="193">
        <v>44942</v>
      </c>
      <c r="H312" s="193">
        <v>44942</v>
      </c>
      <c r="I312" s="191">
        <v>4</v>
      </c>
      <c r="J312" s="191" t="s">
        <v>20</v>
      </c>
      <c r="K312" s="195" t="s">
        <v>21</v>
      </c>
      <c r="L312" s="191" t="s">
        <v>27</v>
      </c>
      <c r="M312" s="188">
        <v>11200000</v>
      </c>
      <c r="N312" s="192" t="s">
        <v>285</v>
      </c>
      <c r="O312" s="192" t="s">
        <v>286</v>
      </c>
      <c r="P312" s="192" t="s">
        <v>24</v>
      </c>
    </row>
    <row r="313" spans="1:16" ht="75" x14ac:dyDescent="0.3">
      <c r="A313" s="2">
        <v>2023272</v>
      </c>
      <c r="B313" s="2">
        <v>7658</v>
      </c>
      <c r="C313" s="3" t="s">
        <v>142</v>
      </c>
      <c r="D313" s="191" t="s">
        <v>281</v>
      </c>
      <c r="E313" s="192">
        <v>80111600</v>
      </c>
      <c r="F313" s="191" t="s">
        <v>304</v>
      </c>
      <c r="G313" s="193">
        <v>44942</v>
      </c>
      <c r="H313" s="193">
        <v>44942</v>
      </c>
      <c r="I313" s="191">
        <v>3</v>
      </c>
      <c r="J313" s="191" t="s">
        <v>20</v>
      </c>
      <c r="K313" s="195" t="s">
        <v>21</v>
      </c>
      <c r="L313" s="191" t="s">
        <v>27</v>
      </c>
      <c r="M313" s="188">
        <f>11200000-1400000-1400000</f>
        <v>8400000</v>
      </c>
      <c r="N313" s="192" t="s">
        <v>285</v>
      </c>
      <c r="O313" s="192" t="s">
        <v>286</v>
      </c>
      <c r="P313" s="192" t="s">
        <v>24</v>
      </c>
    </row>
    <row r="314" spans="1:16" ht="75" x14ac:dyDescent="0.3">
      <c r="A314" s="2">
        <v>2023273</v>
      </c>
      <c r="B314" s="2">
        <v>7658</v>
      </c>
      <c r="C314" s="3" t="s">
        <v>142</v>
      </c>
      <c r="D314" s="191" t="s">
        <v>281</v>
      </c>
      <c r="E314" s="192">
        <v>80111600</v>
      </c>
      <c r="F314" s="191" t="s">
        <v>304</v>
      </c>
      <c r="G314" s="193">
        <v>44942</v>
      </c>
      <c r="H314" s="193">
        <v>44942</v>
      </c>
      <c r="I314" s="191">
        <v>3</v>
      </c>
      <c r="J314" s="191" t="s">
        <v>20</v>
      </c>
      <c r="K314" s="195" t="s">
        <v>21</v>
      </c>
      <c r="L314" s="191" t="s">
        <v>27</v>
      </c>
      <c r="M314" s="188">
        <f>11200000-2950000</f>
        <v>8250000</v>
      </c>
      <c r="N314" s="192" t="s">
        <v>285</v>
      </c>
      <c r="O314" s="192" t="s">
        <v>286</v>
      </c>
      <c r="P314" s="192" t="s">
        <v>24</v>
      </c>
    </row>
    <row r="315" spans="1:16" ht="75" x14ac:dyDescent="0.3">
      <c r="A315" s="2">
        <v>2023274</v>
      </c>
      <c r="B315" s="2">
        <v>7658</v>
      </c>
      <c r="C315" s="3" t="s">
        <v>142</v>
      </c>
      <c r="D315" s="191" t="s">
        <v>281</v>
      </c>
      <c r="E315" s="192">
        <v>80111600</v>
      </c>
      <c r="F315" s="191" t="s">
        <v>304</v>
      </c>
      <c r="G315" s="193">
        <v>44942</v>
      </c>
      <c r="H315" s="193">
        <v>44942</v>
      </c>
      <c r="I315" s="191">
        <v>3</v>
      </c>
      <c r="J315" s="191" t="s">
        <v>20</v>
      </c>
      <c r="K315" s="195" t="s">
        <v>21</v>
      </c>
      <c r="L315" s="191" t="s">
        <v>27</v>
      </c>
      <c r="M315" s="188">
        <f>11200000-2950000</f>
        <v>8250000</v>
      </c>
      <c r="N315" s="192" t="s">
        <v>285</v>
      </c>
      <c r="O315" s="192" t="s">
        <v>286</v>
      </c>
      <c r="P315" s="192" t="s">
        <v>24</v>
      </c>
    </row>
    <row r="316" spans="1:16" ht="75" x14ac:dyDescent="0.3">
      <c r="A316" s="2">
        <v>2023275</v>
      </c>
      <c r="B316" s="2">
        <v>7658</v>
      </c>
      <c r="C316" s="3" t="s">
        <v>142</v>
      </c>
      <c r="D316" s="191" t="s">
        <v>281</v>
      </c>
      <c r="E316" s="192">
        <v>80111600</v>
      </c>
      <c r="F316" s="191" t="s">
        <v>304</v>
      </c>
      <c r="G316" s="193">
        <v>44942</v>
      </c>
      <c r="H316" s="193">
        <v>44942</v>
      </c>
      <c r="I316" s="191">
        <v>2</v>
      </c>
      <c r="J316" s="191" t="s">
        <v>20</v>
      </c>
      <c r="K316" s="195" t="s">
        <v>21</v>
      </c>
      <c r="L316" s="191" t="s">
        <v>27</v>
      </c>
      <c r="M316" s="188">
        <f>11200000-2800000-2800000</f>
        <v>5600000</v>
      </c>
      <c r="N316" s="192" t="s">
        <v>285</v>
      </c>
      <c r="O316" s="192" t="s">
        <v>286</v>
      </c>
      <c r="P316" s="192" t="s">
        <v>24</v>
      </c>
    </row>
    <row r="317" spans="1:16" ht="75" x14ac:dyDescent="0.3">
      <c r="A317" s="2">
        <v>2023276</v>
      </c>
      <c r="B317" s="2">
        <v>7658</v>
      </c>
      <c r="C317" s="3" t="s">
        <v>142</v>
      </c>
      <c r="D317" s="191" t="s">
        <v>281</v>
      </c>
      <c r="E317" s="192">
        <v>80111600</v>
      </c>
      <c r="F317" s="191" t="s">
        <v>304</v>
      </c>
      <c r="G317" s="193">
        <v>44942</v>
      </c>
      <c r="H317" s="193">
        <v>44942</v>
      </c>
      <c r="I317" s="191">
        <v>4</v>
      </c>
      <c r="J317" s="191" t="s">
        <v>20</v>
      </c>
      <c r="K317" s="195" t="s">
        <v>21</v>
      </c>
      <c r="L317" s="191" t="s">
        <v>27</v>
      </c>
      <c r="M317" s="188">
        <f>11200000-11200000</f>
        <v>0</v>
      </c>
      <c r="N317" s="192" t="s">
        <v>285</v>
      </c>
      <c r="O317" s="192" t="s">
        <v>286</v>
      </c>
      <c r="P317" s="192" t="s">
        <v>24</v>
      </c>
    </row>
    <row r="318" spans="1:16" ht="75" x14ac:dyDescent="0.3">
      <c r="A318" s="2">
        <v>2023277</v>
      </c>
      <c r="B318" s="2">
        <v>7658</v>
      </c>
      <c r="C318" s="3" t="s">
        <v>142</v>
      </c>
      <c r="D318" s="191" t="s">
        <v>281</v>
      </c>
      <c r="E318" s="192">
        <v>80111600</v>
      </c>
      <c r="F318" s="191" t="s">
        <v>304</v>
      </c>
      <c r="G318" s="193">
        <v>44942</v>
      </c>
      <c r="H318" s="193">
        <v>44942</v>
      </c>
      <c r="I318" s="191">
        <v>8</v>
      </c>
      <c r="J318" s="191" t="s">
        <v>20</v>
      </c>
      <c r="K318" s="195" t="s">
        <v>21</v>
      </c>
      <c r="L318" s="191" t="s">
        <v>27</v>
      </c>
      <c r="M318" s="188">
        <f>11200000-2800000-2800000</f>
        <v>5600000</v>
      </c>
      <c r="N318" s="192" t="s">
        <v>285</v>
      </c>
      <c r="O318" s="192" t="s">
        <v>286</v>
      </c>
      <c r="P318" s="192" t="s">
        <v>24</v>
      </c>
    </row>
    <row r="319" spans="1:16" ht="75" x14ac:dyDescent="0.3">
      <c r="A319" s="2">
        <v>2023278</v>
      </c>
      <c r="B319" s="2">
        <v>7658</v>
      </c>
      <c r="C319" s="3" t="s">
        <v>142</v>
      </c>
      <c r="D319" s="191" t="s">
        <v>281</v>
      </c>
      <c r="E319" s="192">
        <v>80111600</v>
      </c>
      <c r="F319" s="191" t="s">
        <v>305</v>
      </c>
      <c r="G319" s="193">
        <v>44942</v>
      </c>
      <c r="H319" s="193">
        <v>44942</v>
      </c>
      <c r="I319" s="191">
        <v>4</v>
      </c>
      <c r="J319" s="191" t="s">
        <v>20</v>
      </c>
      <c r="K319" s="195" t="s">
        <v>21</v>
      </c>
      <c r="L319" s="191" t="s">
        <v>27</v>
      </c>
      <c r="M319" s="188">
        <f>11200000-11200000</f>
        <v>0</v>
      </c>
      <c r="N319" s="192" t="s">
        <v>285</v>
      </c>
      <c r="O319" s="192" t="s">
        <v>286</v>
      </c>
      <c r="P319" s="192" t="s">
        <v>24</v>
      </c>
    </row>
    <row r="320" spans="1:16" ht="75" x14ac:dyDescent="0.3">
      <c r="A320" s="2">
        <v>2023279</v>
      </c>
      <c r="B320" s="2">
        <v>7658</v>
      </c>
      <c r="C320" s="3" t="s">
        <v>142</v>
      </c>
      <c r="D320" s="191" t="s">
        <v>281</v>
      </c>
      <c r="E320" s="192">
        <v>80111600</v>
      </c>
      <c r="F320" s="191" t="s">
        <v>306</v>
      </c>
      <c r="G320" s="193">
        <v>44942</v>
      </c>
      <c r="H320" s="193">
        <v>44942</v>
      </c>
      <c r="I320" s="191">
        <v>3</v>
      </c>
      <c r="J320" s="191" t="s">
        <v>20</v>
      </c>
      <c r="K320" s="195" t="s">
        <v>21</v>
      </c>
      <c r="L320" s="191" t="s">
        <v>27</v>
      </c>
      <c r="M320" s="188">
        <f>12000000-3000000</f>
        <v>9000000</v>
      </c>
      <c r="N320" s="192" t="s">
        <v>285</v>
      </c>
      <c r="O320" s="192" t="s">
        <v>286</v>
      </c>
      <c r="P320" s="192" t="s">
        <v>24</v>
      </c>
    </row>
    <row r="321" spans="1:16" ht="75" x14ac:dyDescent="0.3">
      <c r="A321" s="2">
        <v>2023280</v>
      </c>
      <c r="B321" s="2">
        <v>7658</v>
      </c>
      <c r="C321" s="3" t="s">
        <v>142</v>
      </c>
      <c r="D321" s="191" t="s">
        <v>281</v>
      </c>
      <c r="E321" s="192">
        <v>80111600</v>
      </c>
      <c r="F321" s="191" t="s">
        <v>307</v>
      </c>
      <c r="G321" s="193">
        <v>44942</v>
      </c>
      <c r="H321" s="193">
        <v>44942</v>
      </c>
      <c r="I321" s="191">
        <v>3</v>
      </c>
      <c r="J321" s="191" t="s">
        <v>20</v>
      </c>
      <c r="K321" s="195" t="s">
        <v>21</v>
      </c>
      <c r="L321" s="191" t="s">
        <v>27</v>
      </c>
      <c r="M321" s="188">
        <f>12000000-2000000-2500000</f>
        <v>7500000</v>
      </c>
      <c r="N321" s="192" t="s">
        <v>285</v>
      </c>
      <c r="O321" s="192" t="s">
        <v>286</v>
      </c>
      <c r="P321" s="192" t="s">
        <v>24</v>
      </c>
    </row>
    <row r="322" spans="1:16" ht="75" x14ac:dyDescent="0.3">
      <c r="A322" s="2">
        <v>2023281</v>
      </c>
      <c r="B322" s="2">
        <v>7658</v>
      </c>
      <c r="C322" s="3" t="s">
        <v>142</v>
      </c>
      <c r="D322" s="191" t="s">
        <v>281</v>
      </c>
      <c r="E322" s="192">
        <v>80111600</v>
      </c>
      <c r="F322" s="191" t="s">
        <v>307</v>
      </c>
      <c r="G322" s="193">
        <v>44942</v>
      </c>
      <c r="H322" s="193">
        <v>44942</v>
      </c>
      <c r="I322" s="191">
        <v>4</v>
      </c>
      <c r="J322" s="191" t="s">
        <v>20</v>
      </c>
      <c r="K322" s="195" t="s">
        <v>21</v>
      </c>
      <c r="L322" s="191" t="s">
        <v>27</v>
      </c>
      <c r="M322" s="188">
        <v>10000000</v>
      </c>
      <c r="N322" s="192" t="s">
        <v>285</v>
      </c>
      <c r="O322" s="192" t="s">
        <v>286</v>
      </c>
      <c r="P322" s="192" t="s">
        <v>24</v>
      </c>
    </row>
    <row r="323" spans="1:16" ht="75" x14ac:dyDescent="0.3">
      <c r="A323" s="2">
        <v>2023282</v>
      </c>
      <c r="B323" s="2">
        <v>7658</v>
      </c>
      <c r="C323" s="3" t="s">
        <v>142</v>
      </c>
      <c r="D323" s="191" t="s">
        <v>281</v>
      </c>
      <c r="E323" s="192">
        <v>80111600</v>
      </c>
      <c r="F323" s="191" t="s">
        <v>307</v>
      </c>
      <c r="G323" s="193">
        <v>44942</v>
      </c>
      <c r="H323" s="193">
        <v>44942</v>
      </c>
      <c r="I323" s="191">
        <v>4</v>
      </c>
      <c r="J323" s="191" t="s">
        <v>20</v>
      </c>
      <c r="K323" s="195" t="s">
        <v>21</v>
      </c>
      <c r="L323" s="191" t="s">
        <v>27</v>
      </c>
      <c r="M323" s="188">
        <v>10000000</v>
      </c>
      <c r="N323" s="192" t="s">
        <v>285</v>
      </c>
      <c r="O323" s="192" t="s">
        <v>286</v>
      </c>
      <c r="P323" s="192" t="s">
        <v>24</v>
      </c>
    </row>
    <row r="324" spans="1:16" ht="75" x14ac:dyDescent="0.3">
      <c r="A324" s="2">
        <v>2023283</v>
      </c>
      <c r="B324" s="2">
        <v>7658</v>
      </c>
      <c r="C324" s="3" t="s">
        <v>142</v>
      </c>
      <c r="D324" s="191" t="s">
        <v>281</v>
      </c>
      <c r="E324" s="192">
        <v>80111600</v>
      </c>
      <c r="F324" s="191" t="s">
        <v>307</v>
      </c>
      <c r="G324" s="193">
        <v>44942</v>
      </c>
      <c r="H324" s="193">
        <v>44942</v>
      </c>
      <c r="I324" s="191">
        <v>4</v>
      </c>
      <c r="J324" s="191" t="s">
        <v>20</v>
      </c>
      <c r="K324" s="195" t="s">
        <v>21</v>
      </c>
      <c r="L324" s="191" t="s">
        <v>27</v>
      </c>
      <c r="M324" s="188">
        <v>10000000</v>
      </c>
      <c r="N324" s="192" t="s">
        <v>285</v>
      </c>
      <c r="O324" s="192" t="s">
        <v>286</v>
      </c>
      <c r="P324" s="192" t="s">
        <v>24</v>
      </c>
    </row>
    <row r="325" spans="1:16" ht="75" x14ac:dyDescent="0.3">
      <c r="A325" s="2">
        <v>2023284</v>
      </c>
      <c r="B325" s="2">
        <v>7658</v>
      </c>
      <c r="C325" s="3" t="s">
        <v>142</v>
      </c>
      <c r="D325" s="191" t="s">
        <v>281</v>
      </c>
      <c r="E325" s="192">
        <v>80111600</v>
      </c>
      <c r="F325" s="191" t="s">
        <v>307</v>
      </c>
      <c r="G325" s="193">
        <v>44942</v>
      </c>
      <c r="H325" s="193">
        <v>44942</v>
      </c>
      <c r="I325" s="191">
        <v>4</v>
      </c>
      <c r="J325" s="191" t="s">
        <v>20</v>
      </c>
      <c r="K325" s="195" t="s">
        <v>21</v>
      </c>
      <c r="L325" s="191" t="s">
        <v>27</v>
      </c>
      <c r="M325" s="188">
        <v>10000000</v>
      </c>
      <c r="N325" s="192" t="s">
        <v>285</v>
      </c>
      <c r="O325" s="192" t="s">
        <v>286</v>
      </c>
      <c r="P325" s="192" t="s">
        <v>24</v>
      </c>
    </row>
    <row r="326" spans="1:16" ht="75" x14ac:dyDescent="0.3">
      <c r="A326" s="2">
        <v>2023285</v>
      </c>
      <c r="B326" s="2">
        <v>7658</v>
      </c>
      <c r="C326" s="3" t="s">
        <v>142</v>
      </c>
      <c r="D326" s="191" t="s">
        <v>281</v>
      </c>
      <c r="E326" s="192">
        <v>80111600</v>
      </c>
      <c r="F326" s="191" t="s">
        <v>307</v>
      </c>
      <c r="G326" s="193">
        <v>44942</v>
      </c>
      <c r="H326" s="193">
        <v>44942</v>
      </c>
      <c r="I326" s="191">
        <v>4</v>
      </c>
      <c r="J326" s="191" t="s">
        <v>20</v>
      </c>
      <c r="K326" s="195" t="s">
        <v>21</v>
      </c>
      <c r="L326" s="191" t="s">
        <v>27</v>
      </c>
      <c r="M326" s="188">
        <f>10000000-2500000</f>
        <v>7500000</v>
      </c>
      <c r="N326" s="192" t="s">
        <v>285</v>
      </c>
      <c r="O326" s="192" t="s">
        <v>286</v>
      </c>
      <c r="P326" s="192" t="s">
        <v>24</v>
      </c>
    </row>
    <row r="327" spans="1:16" ht="75" x14ac:dyDescent="0.3">
      <c r="A327" s="2">
        <v>2023286</v>
      </c>
      <c r="B327" s="2">
        <v>7658</v>
      </c>
      <c r="C327" s="3" t="s">
        <v>142</v>
      </c>
      <c r="D327" s="191" t="s">
        <v>281</v>
      </c>
      <c r="E327" s="192">
        <v>80111600</v>
      </c>
      <c r="F327" s="191" t="s">
        <v>307</v>
      </c>
      <c r="G327" s="193">
        <v>44942</v>
      </c>
      <c r="H327" s="193">
        <v>44942</v>
      </c>
      <c r="I327" s="191">
        <v>4</v>
      </c>
      <c r="J327" s="191" t="s">
        <v>20</v>
      </c>
      <c r="K327" s="195" t="s">
        <v>21</v>
      </c>
      <c r="L327" s="191" t="s">
        <v>27</v>
      </c>
      <c r="M327" s="188">
        <f>10000000-3750000-2700000-3550000+10000000</f>
        <v>10000000</v>
      </c>
      <c r="N327" s="192" t="s">
        <v>285</v>
      </c>
      <c r="O327" s="192" t="s">
        <v>286</v>
      </c>
      <c r="P327" s="192" t="s">
        <v>24</v>
      </c>
    </row>
    <row r="328" spans="1:16" ht="75" x14ac:dyDescent="0.3">
      <c r="A328" s="2">
        <v>2023287</v>
      </c>
      <c r="B328" s="2">
        <v>7658</v>
      </c>
      <c r="C328" s="3" t="s">
        <v>142</v>
      </c>
      <c r="D328" s="191" t="s">
        <v>281</v>
      </c>
      <c r="E328" s="192">
        <v>80111600</v>
      </c>
      <c r="F328" s="191" t="s">
        <v>308</v>
      </c>
      <c r="G328" s="193">
        <v>44942</v>
      </c>
      <c r="H328" s="193">
        <v>44942</v>
      </c>
      <c r="I328" s="191">
        <v>4</v>
      </c>
      <c r="J328" s="191" t="s">
        <v>20</v>
      </c>
      <c r="K328" s="195" t="s">
        <v>21</v>
      </c>
      <c r="L328" s="191" t="s">
        <v>27</v>
      </c>
      <c r="M328" s="188">
        <v>18000000</v>
      </c>
      <c r="N328" s="192" t="s">
        <v>285</v>
      </c>
      <c r="O328" s="192" t="s">
        <v>286</v>
      </c>
      <c r="P328" s="192" t="s">
        <v>24</v>
      </c>
    </row>
    <row r="329" spans="1:16" ht="75" x14ac:dyDescent="0.3">
      <c r="A329" s="2">
        <v>2023288</v>
      </c>
      <c r="B329" s="2">
        <v>7658</v>
      </c>
      <c r="C329" s="3" t="s">
        <v>142</v>
      </c>
      <c r="D329" s="191" t="s">
        <v>281</v>
      </c>
      <c r="E329" s="192">
        <v>80111600</v>
      </c>
      <c r="F329" s="191" t="s">
        <v>309</v>
      </c>
      <c r="G329" s="193">
        <v>44942</v>
      </c>
      <c r="H329" s="193">
        <v>44942</v>
      </c>
      <c r="I329" s="191">
        <v>4</v>
      </c>
      <c r="J329" s="191" t="s">
        <v>20</v>
      </c>
      <c r="K329" s="195" t="s">
        <v>21</v>
      </c>
      <c r="L329" s="191" t="s">
        <v>27</v>
      </c>
      <c r="M329" s="188">
        <v>18000000</v>
      </c>
      <c r="N329" s="192" t="s">
        <v>285</v>
      </c>
      <c r="O329" s="192" t="s">
        <v>286</v>
      </c>
      <c r="P329" s="192" t="s">
        <v>24</v>
      </c>
    </row>
    <row r="330" spans="1:16" ht="75" x14ac:dyDescent="0.3">
      <c r="A330" s="2">
        <v>2023289</v>
      </c>
      <c r="B330" s="2">
        <v>7658</v>
      </c>
      <c r="C330" s="3" t="s">
        <v>142</v>
      </c>
      <c r="D330" s="191" t="s">
        <v>281</v>
      </c>
      <c r="E330" s="192">
        <v>80111600</v>
      </c>
      <c r="F330" s="191" t="s">
        <v>310</v>
      </c>
      <c r="G330" s="193">
        <v>44942</v>
      </c>
      <c r="H330" s="193">
        <v>44942</v>
      </c>
      <c r="I330" s="191">
        <v>4</v>
      </c>
      <c r="J330" s="191" t="s">
        <v>20</v>
      </c>
      <c r="K330" s="195" t="s">
        <v>21</v>
      </c>
      <c r="L330" s="191" t="s">
        <v>27</v>
      </c>
      <c r="M330" s="188">
        <v>19400000</v>
      </c>
      <c r="N330" s="192" t="s">
        <v>285</v>
      </c>
      <c r="O330" s="192" t="s">
        <v>286</v>
      </c>
      <c r="P330" s="192" t="s">
        <v>24</v>
      </c>
    </row>
    <row r="331" spans="1:16" ht="75" x14ac:dyDescent="0.3">
      <c r="A331" s="2">
        <v>2023290</v>
      </c>
      <c r="B331" s="2">
        <v>7658</v>
      </c>
      <c r="C331" s="3" t="s">
        <v>142</v>
      </c>
      <c r="D331" s="191" t="s">
        <v>281</v>
      </c>
      <c r="E331" s="192">
        <v>80111600</v>
      </c>
      <c r="F331" s="191" t="s">
        <v>310</v>
      </c>
      <c r="G331" s="193">
        <v>44942</v>
      </c>
      <c r="H331" s="193">
        <v>44942</v>
      </c>
      <c r="I331" s="191">
        <v>4</v>
      </c>
      <c r="J331" s="191" t="s">
        <v>20</v>
      </c>
      <c r="K331" s="195" t="s">
        <v>21</v>
      </c>
      <c r="L331" s="191" t="s">
        <v>27</v>
      </c>
      <c r="M331" s="188">
        <v>19400000</v>
      </c>
      <c r="N331" s="192" t="s">
        <v>285</v>
      </c>
      <c r="O331" s="192" t="s">
        <v>286</v>
      </c>
      <c r="P331" s="192" t="s">
        <v>24</v>
      </c>
    </row>
    <row r="332" spans="1:16" s="207" customFormat="1" ht="75" x14ac:dyDescent="0.3">
      <c r="A332" s="2">
        <v>2023291</v>
      </c>
      <c r="B332" s="2">
        <v>7658</v>
      </c>
      <c r="C332" s="3" t="s">
        <v>142</v>
      </c>
      <c r="D332" s="191" t="s">
        <v>281</v>
      </c>
      <c r="E332" s="192">
        <v>80111600</v>
      </c>
      <c r="F332" s="191" t="s">
        <v>310</v>
      </c>
      <c r="G332" s="193">
        <v>44942</v>
      </c>
      <c r="H332" s="193">
        <v>44942</v>
      </c>
      <c r="I332" s="191">
        <v>3</v>
      </c>
      <c r="J332" s="191" t="s">
        <v>20</v>
      </c>
      <c r="K332" s="195" t="s">
        <v>21</v>
      </c>
      <c r="L332" s="191" t="s">
        <v>27</v>
      </c>
      <c r="M332" s="188">
        <f>19400000-4850000</f>
        <v>14550000</v>
      </c>
      <c r="N332" s="192" t="s">
        <v>285</v>
      </c>
      <c r="O332" s="192" t="s">
        <v>286</v>
      </c>
      <c r="P332" s="192" t="s">
        <v>24</v>
      </c>
    </row>
    <row r="333" spans="1:16" ht="75" x14ac:dyDescent="0.3">
      <c r="A333" s="2">
        <v>2023292</v>
      </c>
      <c r="B333" s="2">
        <v>7658</v>
      </c>
      <c r="C333" s="3" t="s">
        <v>142</v>
      </c>
      <c r="D333" s="191" t="s">
        <v>281</v>
      </c>
      <c r="E333" s="192">
        <v>80111600</v>
      </c>
      <c r="F333" s="191" t="s">
        <v>311</v>
      </c>
      <c r="G333" s="193">
        <v>44942</v>
      </c>
      <c r="H333" s="193">
        <v>44942</v>
      </c>
      <c r="I333" s="191">
        <v>3</v>
      </c>
      <c r="J333" s="191" t="s">
        <v>20</v>
      </c>
      <c r="K333" s="195" t="s">
        <v>21</v>
      </c>
      <c r="L333" s="191" t="s">
        <v>27</v>
      </c>
      <c r="M333" s="188">
        <f>60000000-36000000-6000000</f>
        <v>18000000</v>
      </c>
      <c r="N333" s="192" t="s">
        <v>285</v>
      </c>
      <c r="O333" s="192" t="s">
        <v>286</v>
      </c>
      <c r="P333" s="192" t="s">
        <v>24</v>
      </c>
    </row>
    <row r="334" spans="1:16" ht="75" x14ac:dyDescent="0.3">
      <c r="A334" s="2">
        <v>2023293</v>
      </c>
      <c r="B334" s="2">
        <v>7658</v>
      </c>
      <c r="C334" s="3" t="s">
        <v>142</v>
      </c>
      <c r="D334" s="191" t="s">
        <v>281</v>
      </c>
      <c r="E334" s="192">
        <v>80111600</v>
      </c>
      <c r="F334" s="191" t="s">
        <v>311</v>
      </c>
      <c r="G334" s="193">
        <v>44942</v>
      </c>
      <c r="H334" s="193">
        <v>44942</v>
      </c>
      <c r="I334" s="191">
        <v>3</v>
      </c>
      <c r="J334" s="191" t="s">
        <v>20</v>
      </c>
      <c r="K334" s="195" t="s">
        <v>21</v>
      </c>
      <c r="L334" s="191" t="s">
        <v>27</v>
      </c>
      <c r="M334" s="188">
        <f>22000000-5500000</f>
        <v>16500000</v>
      </c>
      <c r="N334" s="192" t="s">
        <v>285</v>
      </c>
      <c r="O334" s="192" t="s">
        <v>286</v>
      </c>
      <c r="P334" s="192" t="s">
        <v>24</v>
      </c>
    </row>
    <row r="335" spans="1:16" ht="75" x14ac:dyDescent="0.3">
      <c r="A335" s="2">
        <v>2023294</v>
      </c>
      <c r="B335" s="2">
        <v>7658</v>
      </c>
      <c r="C335" s="3" t="s">
        <v>142</v>
      </c>
      <c r="D335" s="191" t="s">
        <v>281</v>
      </c>
      <c r="E335" s="192">
        <v>80111600</v>
      </c>
      <c r="F335" s="191" t="s">
        <v>311</v>
      </c>
      <c r="G335" s="193">
        <v>44942</v>
      </c>
      <c r="H335" s="193">
        <v>44942</v>
      </c>
      <c r="I335" s="191">
        <v>3</v>
      </c>
      <c r="J335" s="191" t="s">
        <v>20</v>
      </c>
      <c r="K335" s="195" t="s">
        <v>21</v>
      </c>
      <c r="L335" s="191" t="s">
        <v>27</v>
      </c>
      <c r="M335" s="188">
        <f>22000000-5500000</f>
        <v>16500000</v>
      </c>
      <c r="N335" s="192" t="s">
        <v>285</v>
      </c>
      <c r="O335" s="192" t="s">
        <v>286</v>
      </c>
      <c r="P335" s="192" t="s">
        <v>24</v>
      </c>
    </row>
    <row r="336" spans="1:16" ht="75" x14ac:dyDescent="0.3">
      <c r="A336" s="2">
        <v>2023295</v>
      </c>
      <c r="B336" s="2">
        <v>7658</v>
      </c>
      <c r="C336" s="3" t="s">
        <v>142</v>
      </c>
      <c r="D336" s="191" t="s">
        <v>281</v>
      </c>
      <c r="E336" s="192">
        <v>80111600</v>
      </c>
      <c r="F336" s="191" t="s">
        <v>304</v>
      </c>
      <c r="G336" s="193">
        <v>44942</v>
      </c>
      <c r="H336" s="193">
        <v>44942</v>
      </c>
      <c r="I336" s="191">
        <v>4</v>
      </c>
      <c r="J336" s="191" t="s">
        <v>20</v>
      </c>
      <c r="K336" s="195" t="s">
        <v>21</v>
      </c>
      <c r="L336" s="191" t="s">
        <v>27</v>
      </c>
      <c r="M336" s="188">
        <f>9800000-9800000+2500000+8700000-2800000</f>
        <v>8400000</v>
      </c>
      <c r="N336" s="192" t="s">
        <v>285</v>
      </c>
      <c r="O336" s="192" t="s">
        <v>286</v>
      </c>
      <c r="P336" s="192" t="s">
        <v>24</v>
      </c>
    </row>
    <row r="337" spans="1:16" ht="75" x14ac:dyDescent="0.3">
      <c r="A337" s="2">
        <v>2023296</v>
      </c>
      <c r="B337" s="2">
        <v>7658</v>
      </c>
      <c r="C337" s="3" t="s">
        <v>142</v>
      </c>
      <c r="D337" s="191" t="s">
        <v>281</v>
      </c>
      <c r="E337" s="192">
        <v>80111600</v>
      </c>
      <c r="F337" s="191" t="s">
        <v>312</v>
      </c>
      <c r="G337" s="193">
        <v>44942</v>
      </c>
      <c r="H337" s="193">
        <v>44942</v>
      </c>
      <c r="I337" s="191">
        <v>4</v>
      </c>
      <c r="J337" s="191" t="s">
        <v>20</v>
      </c>
      <c r="K337" s="195" t="s">
        <v>21</v>
      </c>
      <c r="L337" s="191" t="s">
        <v>27</v>
      </c>
      <c r="M337" s="188">
        <f>9800000-1400000</f>
        <v>8400000</v>
      </c>
      <c r="N337" s="192" t="s">
        <v>285</v>
      </c>
      <c r="O337" s="192" t="s">
        <v>286</v>
      </c>
      <c r="P337" s="192" t="s">
        <v>24</v>
      </c>
    </row>
    <row r="338" spans="1:16" s="207" customFormat="1" ht="75" x14ac:dyDescent="0.3">
      <c r="A338" s="2">
        <v>2023297</v>
      </c>
      <c r="B338" s="2">
        <v>7658</v>
      </c>
      <c r="C338" s="3" t="s">
        <v>142</v>
      </c>
      <c r="D338" s="191" t="s">
        <v>281</v>
      </c>
      <c r="E338" s="192">
        <v>80111600</v>
      </c>
      <c r="F338" s="191" t="s">
        <v>312</v>
      </c>
      <c r="G338" s="193">
        <v>44942</v>
      </c>
      <c r="H338" s="193">
        <v>44942</v>
      </c>
      <c r="I338" s="191">
        <v>4</v>
      </c>
      <c r="J338" s="191" t="s">
        <v>20</v>
      </c>
      <c r="K338" s="195" t="s">
        <v>21</v>
      </c>
      <c r="L338" s="191" t="s">
        <v>27</v>
      </c>
      <c r="M338" s="188">
        <f>9800000-1400000</f>
        <v>8400000</v>
      </c>
      <c r="N338" s="192" t="s">
        <v>285</v>
      </c>
      <c r="O338" s="192" t="s">
        <v>286</v>
      </c>
      <c r="P338" s="192" t="s">
        <v>24</v>
      </c>
    </row>
    <row r="339" spans="1:16" s="207" customFormat="1" ht="75" x14ac:dyDescent="0.3">
      <c r="A339" s="2">
        <v>2023298</v>
      </c>
      <c r="B339" s="2">
        <v>7658</v>
      </c>
      <c r="C339" s="3" t="s">
        <v>142</v>
      </c>
      <c r="D339" s="191" t="s">
        <v>281</v>
      </c>
      <c r="E339" s="192">
        <v>80111600</v>
      </c>
      <c r="F339" s="191" t="s">
        <v>312</v>
      </c>
      <c r="G339" s="193">
        <v>44942</v>
      </c>
      <c r="H339" s="193">
        <v>44942</v>
      </c>
      <c r="I339" s="191">
        <v>4</v>
      </c>
      <c r="J339" s="191" t="s">
        <v>20</v>
      </c>
      <c r="K339" s="195" t="s">
        <v>21</v>
      </c>
      <c r="L339" s="191" t="s">
        <v>27</v>
      </c>
      <c r="M339" s="188">
        <f>9800000-1400000</f>
        <v>8400000</v>
      </c>
      <c r="N339" s="192" t="s">
        <v>285</v>
      </c>
      <c r="O339" s="192" t="s">
        <v>286</v>
      </c>
      <c r="P339" s="192" t="s">
        <v>24</v>
      </c>
    </row>
    <row r="340" spans="1:16" s="207" customFormat="1" ht="75" x14ac:dyDescent="0.3">
      <c r="A340" s="2">
        <v>2023299</v>
      </c>
      <c r="B340" s="2">
        <v>7658</v>
      </c>
      <c r="C340" s="3" t="s">
        <v>142</v>
      </c>
      <c r="D340" s="191" t="s">
        <v>281</v>
      </c>
      <c r="E340" s="192">
        <v>80111600</v>
      </c>
      <c r="F340" s="191" t="s">
        <v>312</v>
      </c>
      <c r="G340" s="193">
        <v>44942</v>
      </c>
      <c r="H340" s="193">
        <v>44942</v>
      </c>
      <c r="I340" s="191">
        <v>4</v>
      </c>
      <c r="J340" s="191" t="s">
        <v>20</v>
      </c>
      <c r="K340" s="195" t="s">
        <v>21</v>
      </c>
      <c r="L340" s="191" t="s">
        <v>27</v>
      </c>
      <c r="M340" s="188">
        <f>9800000-1400000</f>
        <v>8400000</v>
      </c>
      <c r="N340" s="192" t="s">
        <v>285</v>
      </c>
      <c r="O340" s="192" t="s">
        <v>286</v>
      </c>
      <c r="P340" s="192" t="s">
        <v>24</v>
      </c>
    </row>
    <row r="341" spans="1:16" s="207" customFormat="1" ht="75" x14ac:dyDescent="0.3">
      <c r="A341" s="2">
        <v>2023300</v>
      </c>
      <c r="B341" s="2">
        <v>7658</v>
      </c>
      <c r="C341" s="3" t="s">
        <v>142</v>
      </c>
      <c r="D341" s="191" t="s">
        <v>281</v>
      </c>
      <c r="E341" s="192">
        <v>80111600</v>
      </c>
      <c r="F341" s="191" t="s">
        <v>312</v>
      </c>
      <c r="G341" s="193">
        <v>44942</v>
      </c>
      <c r="H341" s="193">
        <v>44942</v>
      </c>
      <c r="I341" s="191">
        <v>3</v>
      </c>
      <c r="J341" s="191" t="s">
        <v>20</v>
      </c>
      <c r="K341" s="195" t="s">
        <v>21</v>
      </c>
      <c r="L341" s="191" t="s">
        <v>27</v>
      </c>
      <c r="M341" s="188">
        <f>9800000-1400000-8400000+8400000</f>
        <v>8400000</v>
      </c>
      <c r="N341" s="192" t="s">
        <v>285</v>
      </c>
      <c r="O341" s="192" t="s">
        <v>286</v>
      </c>
      <c r="P341" s="192" t="s">
        <v>24</v>
      </c>
    </row>
    <row r="342" spans="1:16" s="207" customFormat="1" ht="75" x14ac:dyDescent="0.3">
      <c r="A342" s="2">
        <v>2023301</v>
      </c>
      <c r="B342" s="2">
        <v>7658</v>
      </c>
      <c r="C342" s="3" t="s">
        <v>142</v>
      </c>
      <c r="D342" s="191" t="s">
        <v>281</v>
      </c>
      <c r="E342" s="192">
        <v>80111600</v>
      </c>
      <c r="F342" s="191" t="s">
        <v>312</v>
      </c>
      <c r="G342" s="193">
        <v>44942</v>
      </c>
      <c r="H342" s="193">
        <v>44942</v>
      </c>
      <c r="I342" s="191">
        <v>4</v>
      </c>
      <c r="J342" s="191" t="s">
        <v>20</v>
      </c>
      <c r="K342" s="195" t="s">
        <v>21</v>
      </c>
      <c r="L342" s="191" t="s">
        <v>27</v>
      </c>
      <c r="M342" s="188">
        <f>9800000-1400000</f>
        <v>8400000</v>
      </c>
      <c r="N342" s="192" t="s">
        <v>285</v>
      </c>
      <c r="O342" s="192" t="s">
        <v>286</v>
      </c>
      <c r="P342" s="192" t="s">
        <v>24</v>
      </c>
    </row>
    <row r="343" spans="1:16" ht="75" x14ac:dyDescent="0.3">
      <c r="A343" s="2">
        <v>2023302</v>
      </c>
      <c r="B343" s="2">
        <v>7658</v>
      </c>
      <c r="C343" s="3" t="s">
        <v>142</v>
      </c>
      <c r="D343" s="191" t="s">
        <v>281</v>
      </c>
      <c r="E343" s="192">
        <v>80111600</v>
      </c>
      <c r="F343" s="191" t="s">
        <v>312</v>
      </c>
      <c r="G343" s="193">
        <v>44942</v>
      </c>
      <c r="H343" s="193">
        <v>44942</v>
      </c>
      <c r="I343" s="191">
        <v>4</v>
      </c>
      <c r="J343" s="191" t="s">
        <v>20</v>
      </c>
      <c r="K343" s="195" t="s">
        <v>21</v>
      </c>
      <c r="L343" s="191" t="s">
        <v>27</v>
      </c>
      <c r="M343" s="188">
        <f>9800000-1400000</f>
        <v>8400000</v>
      </c>
      <c r="N343" s="192" t="s">
        <v>285</v>
      </c>
      <c r="O343" s="192" t="s">
        <v>286</v>
      </c>
      <c r="P343" s="192" t="s">
        <v>24</v>
      </c>
    </row>
    <row r="344" spans="1:16" ht="75" x14ac:dyDescent="0.3">
      <c r="A344" s="2">
        <v>2023303</v>
      </c>
      <c r="B344" s="2">
        <v>7658</v>
      </c>
      <c r="C344" s="3" t="s">
        <v>142</v>
      </c>
      <c r="D344" s="191" t="s">
        <v>281</v>
      </c>
      <c r="E344" s="192">
        <v>80111600</v>
      </c>
      <c r="F344" s="191" t="s">
        <v>312</v>
      </c>
      <c r="G344" s="193">
        <v>44942</v>
      </c>
      <c r="H344" s="193">
        <v>44942</v>
      </c>
      <c r="I344" s="191">
        <v>4</v>
      </c>
      <c r="J344" s="191" t="s">
        <v>20</v>
      </c>
      <c r="K344" s="195" t="s">
        <v>21</v>
      </c>
      <c r="L344" s="191" t="s">
        <v>27</v>
      </c>
      <c r="M344" s="188">
        <f>9800000-1400000-8400000+11200000</f>
        <v>11200000</v>
      </c>
      <c r="N344" s="192" t="s">
        <v>285</v>
      </c>
      <c r="O344" s="192" t="s">
        <v>286</v>
      </c>
      <c r="P344" s="192" t="s">
        <v>24</v>
      </c>
    </row>
    <row r="345" spans="1:16" ht="75" x14ac:dyDescent="0.3">
      <c r="A345" s="2">
        <v>2023304</v>
      </c>
      <c r="B345" s="2">
        <v>7658</v>
      </c>
      <c r="C345" s="3" t="s">
        <v>142</v>
      </c>
      <c r="D345" s="191" t="s">
        <v>281</v>
      </c>
      <c r="E345" s="192">
        <v>80111600</v>
      </c>
      <c r="F345" s="191" t="s">
        <v>312</v>
      </c>
      <c r="G345" s="193">
        <v>44942</v>
      </c>
      <c r="H345" s="193">
        <v>44942</v>
      </c>
      <c r="I345" s="191">
        <v>4</v>
      </c>
      <c r="J345" s="191" t="s">
        <v>20</v>
      </c>
      <c r="K345" s="195" t="s">
        <v>21</v>
      </c>
      <c r="L345" s="191" t="s">
        <v>27</v>
      </c>
      <c r="M345" s="188">
        <f>9800000-1400000-8400000+10800000+400000-2800000</f>
        <v>8400000</v>
      </c>
      <c r="N345" s="192" t="s">
        <v>285</v>
      </c>
      <c r="O345" s="192" t="s">
        <v>286</v>
      </c>
      <c r="P345" s="192" t="s">
        <v>24</v>
      </c>
    </row>
    <row r="346" spans="1:16" ht="75" x14ac:dyDescent="0.3">
      <c r="A346" s="2">
        <v>2023305</v>
      </c>
      <c r="B346" s="2">
        <v>7658</v>
      </c>
      <c r="C346" s="3" t="s">
        <v>142</v>
      </c>
      <c r="D346" s="191" t="s">
        <v>281</v>
      </c>
      <c r="E346" s="192">
        <v>80111600</v>
      </c>
      <c r="F346" s="191" t="s">
        <v>312</v>
      </c>
      <c r="G346" s="193">
        <v>44942</v>
      </c>
      <c r="H346" s="193">
        <v>44942</v>
      </c>
      <c r="I346" s="191">
        <v>4</v>
      </c>
      <c r="J346" s="191" t="s">
        <v>20</v>
      </c>
      <c r="K346" s="195" t="s">
        <v>21</v>
      </c>
      <c r="L346" s="191" t="s">
        <v>27</v>
      </c>
      <c r="M346" s="188">
        <f>9800000-1400000</f>
        <v>8400000</v>
      </c>
      <c r="N346" s="192" t="s">
        <v>285</v>
      </c>
      <c r="O346" s="192" t="s">
        <v>286</v>
      </c>
      <c r="P346" s="192" t="s">
        <v>24</v>
      </c>
    </row>
    <row r="347" spans="1:16" ht="75" x14ac:dyDescent="0.3">
      <c r="A347" s="2">
        <v>2023306</v>
      </c>
      <c r="B347" s="2">
        <v>7658</v>
      </c>
      <c r="C347" s="3" t="s">
        <v>142</v>
      </c>
      <c r="D347" s="191" t="s">
        <v>281</v>
      </c>
      <c r="E347" s="192">
        <v>80111600</v>
      </c>
      <c r="F347" s="191" t="s">
        <v>312</v>
      </c>
      <c r="G347" s="193">
        <v>44942</v>
      </c>
      <c r="H347" s="193">
        <v>44942</v>
      </c>
      <c r="I347" s="191">
        <v>1</v>
      </c>
      <c r="J347" s="191" t="s">
        <v>20</v>
      </c>
      <c r="K347" s="195" t="s">
        <v>21</v>
      </c>
      <c r="L347" s="191" t="s">
        <v>27</v>
      </c>
      <c r="M347" s="188">
        <f>9800000-1400000-8400000</f>
        <v>0</v>
      </c>
      <c r="N347" s="192" t="s">
        <v>285</v>
      </c>
      <c r="O347" s="192" t="s">
        <v>286</v>
      </c>
      <c r="P347" s="192" t="s">
        <v>24</v>
      </c>
    </row>
    <row r="348" spans="1:16" ht="75" x14ac:dyDescent="0.3">
      <c r="A348" s="2">
        <v>2023307</v>
      </c>
      <c r="B348" s="2">
        <v>7658</v>
      </c>
      <c r="C348" s="3" t="s">
        <v>142</v>
      </c>
      <c r="D348" s="191" t="s">
        <v>281</v>
      </c>
      <c r="E348" s="192">
        <v>80111600</v>
      </c>
      <c r="F348" s="191" t="s">
        <v>312</v>
      </c>
      <c r="G348" s="193">
        <v>44942</v>
      </c>
      <c r="H348" s="193">
        <v>44942</v>
      </c>
      <c r="I348" s="191">
        <v>4</v>
      </c>
      <c r="J348" s="191" t="s">
        <v>20</v>
      </c>
      <c r="K348" s="195" t="s">
        <v>21</v>
      </c>
      <c r="L348" s="191" t="s">
        <v>27</v>
      </c>
      <c r="M348" s="188">
        <f>9800000-9800000+8400000</f>
        <v>8400000</v>
      </c>
      <c r="N348" s="192" t="s">
        <v>285</v>
      </c>
      <c r="O348" s="192" t="s">
        <v>286</v>
      </c>
      <c r="P348" s="192" t="s">
        <v>24</v>
      </c>
    </row>
    <row r="349" spans="1:16" ht="75" x14ac:dyDescent="0.3">
      <c r="A349" s="2">
        <v>2023308</v>
      </c>
      <c r="B349" s="2">
        <v>7658</v>
      </c>
      <c r="C349" s="3" t="s">
        <v>142</v>
      </c>
      <c r="D349" s="191" t="s">
        <v>281</v>
      </c>
      <c r="E349" s="192">
        <v>80111600</v>
      </c>
      <c r="F349" s="191" t="s">
        <v>313</v>
      </c>
      <c r="G349" s="193">
        <v>44942</v>
      </c>
      <c r="H349" s="193">
        <v>44942</v>
      </c>
      <c r="I349" s="191">
        <v>10</v>
      </c>
      <c r="J349" s="191" t="s">
        <v>20</v>
      </c>
      <c r="K349" s="195" t="s">
        <v>21</v>
      </c>
      <c r="L349" s="191" t="s">
        <v>27</v>
      </c>
      <c r="M349" s="188">
        <v>48500000</v>
      </c>
      <c r="N349" s="192" t="s">
        <v>285</v>
      </c>
      <c r="O349" s="192" t="s">
        <v>286</v>
      </c>
      <c r="P349" s="192" t="s">
        <v>24</v>
      </c>
    </row>
    <row r="350" spans="1:16" ht="75" x14ac:dyDescent="0.3">
      <c r="A350" s="2">
        <v>2023309</v>
      </c>
      <c r="B350" s="2">
        <v>7658</v>
      </c>
      <c r="C350" s="3" t="s">
        <v>142</v>
      </c>
      <c r="D350" s="191" t="s">
        <v>281</v>
      </c>
      <c r="E350" s="192">
        <v>80111600</v>
      </c>
      <c r="F350" s="191" t="s">
        <v>314</v>
      </c>
      <c r="G350" s="193">
        <v>44942</v>
      </c>
      <c r="H350" s="193">
        <v>44942</v>
      </c>
      <c r="I350" s="191">
        <v>10</v>
      </c>
      <c r="J350" s="191" t="s">
        <v>20</v>
      </c>
      <c r="K350" s="195" t="s">
        <v>21</v>
      </c>
      <c r="L350" s="191" t="s">
        <v>27</v>
      </c>
      <c r="M350" s="188">
        <v>33500000</v>
      </c>
      <c r="N350" s="192" t="s">
        <v>285</v>
      </c>
      <c r="O350" s="192" t="s">
        <v>286</v>
      </c>
      <c r="P350" s="192" t="s">
        <v>24</v>
      </c>
    </row>
    <row r="351" spans="1:16" ht="75" x14ac:dyDescent="0.3">
      <c r="A351" s="2">
        <v>2023310</v>
      </c>
      <c r="B351" s="2">
        <v>7658</v>
      </c>
      <c r="C351" s="3" t="s">
        <v>142</v>
      </c>
      <c r="D351" s="191" t="s">
        <v>281</v>
      </c>
      <c r="E351" s="192">
        <v>80111600</v>
      </c>
      <c r="F351" s="191" t="s">
        <v>315</v>
      </c>
      <c r="G351" s="193">
        <v>44942</v>
      </c>
      <c r="H351" s="193">
        <v>44942</v>
      </c>
      <c r="I351" s="191">
        <v>3</v>
      </c>
      <c r="J351" s="191" t="s">
        <v>20</v>
      </c>
      <c r="K351" s="195" t="s">
        <v>21</v>
      </c>
      <c r="L351" s="191" t="s">
        <v>27</v>
      </c>
      <c r="M351" s="188">
        <f>18000000-4500000</f>
        <v>13500000</v>
      </c>
      <c r="N351" s="192" t="s">
        <v>285</v>
      </c>
      <c r="O351" s="192" t="s">
        <v>286</v>
      </c>
      <c r="P351" s="192" t="s">
        <v>24</v>
      </c>
    </row>
    <row r="352" spans="1:16" ht="75" x14ac:dyDescent="0.3">
      <c r="A352" s="2">
        <v>2023311</v>
      </c>
      <c r="B352" s="2">
        <v>7658</v>
      </c>
      <c r="C352" s="3" t="s">
        <v>142</v>
      </c>
      <c r="D352" s="191" t="s">
        <v>281</v>
      </c>
      <c r="E352" s="192">
        <v>80111600</v>
      </c>
      <c r="F352" s="191" t="s">
        <v>315</v>
      </c>
      <c r="G352" s="193">
        <v>44942</v>
      </c>
      <c r="H352" s="193">
        <v>44942</v>
      </c>
      <c r="I352" s="191">
        <v>3</v>
      </c>
      <c r="J352" s="191" t="s">
        <v>20</v>
      </c>
      <c r="K352" s="195" t="s">
        <v>21</v>
      </c>
      <c r="L352" s="191" t="s">
        <v>27</v>
      </c>
      <c r="M352" s="188">
        <f>22000000-4000000-4500000</f>
        <v>13500000</v>
      </c>
      <c r="N352" s="192" t="s">
        <v>285</v>
      </c>
      <c r="O352" s="192" t="s">
        <v>286</v>
      </c>
      <c r="P352" s="192" t="s">
        <v>24</v>
      </c>
    </row>
    <row r="353" spans="1:16" ht="75" x14ac:dyDescent="0.3">
      <c r="A353" s="2">
        <v>2023312</v>
      </c>
      <c r="B353" s="2">
        <v>7658</v>
      </c>
      <c r="C353" s="3" t="s">
        <v>142</v>
      </c>
      <c r="D353" s="191" t="s">
        <v>281</v>
      </c>
      <c r="E353" s="192">
        <v>80111600</v>
      </c>
      <c r="F353" s="191" t="s">
        <v>315</v>
      </c>
      <c r="G353" s="193">
        <v>44942</v>
      </c>
      <c r="H353" s="193">
        <v>44942</v>
      </c>
      <c r="I353" s="191">
        <v>4</v>
      </c>
      <c r="J353" s="191" t="s">
        <v>20</v>
      </c>
      <c r="K353" s="195" t="s">
        <v>21</v>
      </c>
      <c r="L353" s="191" t="s">
        <v>27</v>
      </c>
      <c r="M353" s="188">
        <v>19400000</v>
      </c>
      <c r="N353" s="192" t="s">
        <v>285</v>
      </c>
      <c r="O353" s="192" t="s">
        <v>286</v>
      </c>
      <c r="P353" s="192" t="s">
        <v>24</v>
      </c>
    </row>
    <row r="354" spans="1:16" ht="75" x14ac:dyDescent="0.3">
      <c r="A354" s="2">
        <v>2023313</v>
      </c>
      <c r="B354" s="2">
        <v>7658</v>
      </c>
      <c r="C354" s="3" t="s">
        <v>142</v>
      </c>
      <c r="D354" s="191" t="s">
        <v>281</v>
      </c>
      <c r="E354" s="192">
        <v>80111600</v>
      </c>
      <c r="F354" s="191" t="s">
        <v>316</v>
      </c>
      <c r="G354" s="193">
        <v>44942</v>
      </c>
      <c r="H354" s="193">
        <v>44942</v>
      </c>
      <c r="I354" s="191">
        <v>8</v>
      </c>
      <c r="J354" s="191" t="s">
        <v>20</v>
      </c>
      <c r="K354" s="195" t="s">
        <v>21</v>
      </c>
      <c r="L354" s="191" t="s">
        <v>27</v>
      </c>
      <c r="M354" s="188">
        <f>72000000-43200000-14400000+7200000</f>
        <v>21600000</v>
      </c>
      <c r="N354" s="192" t="s">
        <v>285</v>
      </c>
      <c r="O354" s="192" t="s">
        <v>286</v>
      </c>
      <c r="P354" s="192" t="s">
        <v>24</v>
      </c>
    </row>
    <row r="355" spans="1:16" ht="75" x14ac:dyDescent="0.3">
      <c r="A355" s="2">
        <v>2023314</v>
      </c>
      <c r="B355" s="2">
        <v>7658</v>
      </c>
      <c r="C355" s="3" t="s">
        <v>142</v>
      </c>
      <c r="D355" s="191" t="s">
        <v>281</v>
      </c>
      <c r="E355" s="192">
        <v>80111600</v>
      </c>
      <c r="F355" s="191" t="s">
        <v>316</v>
      </c>
      <c r="G355" s="193">
        <v>44942</v>
      </c>
      <c r="H355" s="193">
        <v>44942</v>
      </c>
      <c r="I355" s="191">
        <v>10</v>
      </c>
      <c r="J355" s="191" t="s">
        <v>20</v>
      </c>
      <c r="K355" s="195" t="s">
        <v>21</v>
      </c>
      <c r="L355" s="191" t="s">
        <v>27</v>
      </c>
      <c r="M355" s="188">
        <f>52000000-31200000</f>
        <v>20800000</v>
      </c>
      <c r="N355" s="192" t="s">
        <v>285</v>
      </c>
      <c r="O355" s="192" t="s">
        <v>286</v>
      </c>
      <c r="P355" s="192" t="s">
        <v>24</v>
      </c>
    </row>
    <row r="356" spans="1:16" ht="75" x14ac:dyDescent="0.3">
      <c r="A356" s="2">
        <v>2023315</v>
      </c>
      <c r="B356" s="2">
        <v>7658</v>
      </c>
      <c r="C356" s="3" t="s">
        <v>142</v>
      </c>
      <c r="D356" s="191" t="s">
        <v>281</v>
      </c>
      <c r="E356" s="192">
        <v>80111600</v>
      </c>
      <c r="F356" s="191" t="s">
        <v>317</v>
      </c>
      <c r="G356" s="193">
        <v>44942</v>
      </c>
      <c r="H356" s="193">
        <v>44942</v>
      </c>
      <c r="I356" s="191">
        <v>3</v>
      </c>
      <c r="J356" s="191" t="s">
        <v>20</v>
      </c>
      <c r="K356" s="195" t="s">
        <v>21</v>
      </c>
      <c r="L356" s="191" t="s">
        <v>27</v>
      </c>
      <c r="M356" s="188">
        <f>55000000-27000000-7000000</f>
        <v>21000000</v>
      </c>
      <c r="N356" s="192" t="s">
        <v>285</v>
      </c>
      <c r="O356" s="192" t="s">
        <v>286</v>
      </c>
      <c r="P356" s="192" t="s">
        <v>24</v>
      </c>
    </row>
    <row r="357" spans="1:16" ht="75" x14ac:dyDescent="0.3">
      <c r="A357" s="2">
        <v>2023316</v>
      </c>
      <c r="B357" s="2">
        <v>7658</v>
      </c>
      <c r="C357" s="3" t="s">
        <v>142</v>
      </c>
      <c r="D357" s="191" t="s">
        <v>281</v>
      </c>
      <c r="E357" s="192">
        <v>80111600</v>
      </c>
      <c r="F357" s="191" t="s">
        <v>317</v>
      </c>
      <c r="G357" s="193">
        <v>44942</v>
      </c>
      <c r="H357" s="193">
        <v>44942</v>
      </c>
      <c r="I357" s="191">
        <v>4</v>
      </c>
      <c r="J357" s="191" t="s">
        <v>20</v>
      </c>
      <c r="K357" s="195" t="s">
        <v>21</v>
      </c>
      <c r="L357" s="191" t="s">
        <v>27</v>
      </c>
      <c r="M357" s="188">
        <f>18000000+10000000-7000000</f>
        <v>21000000</v>
      </c>
      <c r="N357" s="192" t="s">
        <v>285</v>
      </c>
      <c r="O357" s="192" t="s">
        <v>286</v>
      </c>
      <c r="P357" s="192" t="s">
        <v>24</v>
      </c>
    </row>
    <row r="358" spans="1:16" ht="75" x14ac:dyDescent="0.3">
      <c r="A358" s="2">
        <v>2023317</v>
      </c>
      <c r="B358" s="2">
        <v>7658</v>
      </c>
      <c r="C358" s="3" t="s">
        <v>142</v>
      </c>
      <c r="D358" s="191" t="s">
        <v>281</v>
      </c>
      <c r="E358" s="192">
        <v>80111600</v>
      </c>
      <c r="F358" s="191" t="s">
        <v>317</v>
      </c>
      <c r="G358" s="193">
        <v>44942</v>
      </c>
      <c r="H358" s="193">
        <v>44942</v>
      </c>
      <c r="I358" s="191">
        <v>4</v>
      </c>
      <c r="J358" s="191" t="s">
        <v>20</v>
      </c>
      <c r="K358" s="195" t="s">
        <v>21</v>
      </c>
      <c r="L358" s="191" t="s">
        <v>27</v>
      </c>
      <c r="M358" s="188">
        <f>18000000-18000000</f>
        <v>0</v>
      </c>
      <c r="N358" s="192" t="s">
        <v>285</v>
      </c>
      <c r="O358" s="192" t="s">
        <v>286</v>
      </c>
      <c r="P358" s="192" t="s">
        <v>24</v>
      </c>
    </row>
    <row r="359" spans="1:16" ht="75" x14ac:dyDescent="0.3">
      <c r="A359" s="2">
        <v>2023318</v>
      </c>
      <c r="B359" s="2">
        <v>7658</v>
      </c>
      <c r="C359" s="3" t="s">
        <v>142</v>
      </c>
      <c r="D359" s="191" t="s">
        <v>281</v>
      </c>
      <c r="E359" s="192">
        <v>80111600</v>
      </c>
      <c r="F359" s="191" t="s">
        <v>318</v>
      </c>
      <c r="G359" s="193">
        <v>45063</v>
      </c>
      <c r="H359" s="193">
        <v>45063</v>
      </c>
      <c r="I359" s="191">
        <v>2</v>
      </c>
      <c r="J359" s="191" t="s">
        <v>20</v>
      </c>
      <c r="K359" s="195" t="s">
        <v>21</v>
      </c>
      <c r="L359" s="191" t="s">
        <v>27</v>
      </c>
      <c r="M359" s="188">
        <f>42000000-18000000-575000-9425000</f>
        <v>14000000</v>
      </c>
      <c r="N359" s="192" t="s">
        <v>285</v>
      </c>
      <c r="O359" s="192" t="s">
        <v>286</v>
      </c>
      <c r="P359" s="192" t="s">
        <v>24</v>
      </c>
    </row>
    <row r="360" spans="1:16" ht="75" x14ac:dyDescent="0.3">
      <c r="A360" s="2">
        <v>2023319</v>
      </c>
      <c r="B360" s="2">
        <v>7658</v>
      </c>
      <c r="C360" s="3" t="s">
        <v>142</v>
      </c>
      <c r="D360" s="191" t="s">
        <v>281</v>
      </c>
      <c r="E360" s="192">
        <v>80111600</v>
      </c>
      <c r="F360" s="191" t="s">
        <v>301</v>
      </c>
      <c r="G360" s="193">
        <v>45063</v>
      </c>
      <c r="H360" s="193">
        <v>45063</v>
      </c>
      <c r="I360" s="191">
        <v>7</v>
      </c>
      <c r="J360" s="191" t="s">
        <v>20</v>
      </c>
      <c r="K360" s="195" t="s">
        <v>21</v>
      </c>
      <c r="L360" s="191" t="s">
        <v>27</v>
      </c>
      <c r="M360" s="188">
        <f>25200000+4200000</f>
        <v>29400000</v>
      </c>
      <c r="N360" s="192" t="s">
        <v>285</v>
      </c>
      <c r="O360" s="192" t="s">
        <v>286</v>
      </c>
      <c r="P360" s="192" t="s">
        <v>24</v>
      </c>
    </row>
    <row r="361" spans="1:16" ht="75" x14ac:dyDescent="0.3">
      <c r="A361" s="2">
        <v>2023320</v>
      </c>
      <c r="B361" s="2">
        <v>7658</v>
      </c>
      <c r="C361" s="3" t="s">
        <v>142</v>
      </c>
      <c r="D361" s="191" t="s">
        <v>281</v>
      </c>
      <c r="E361" s="192">
        <v>80111600</v>
      </c>
      <c r="F361" s="191" t="s">
        <v>302</v>
      </c>
      <c r="G361" s="193">
        <v>45063</v>
      </c>
      <c r="H361" s="193">
        <v>45063</v>
      </c>
      <c r="I361" s="191">
        <v>7</v>
      </c>
      <c r="J361" s="191" t="s">
        <v>20</v>
      </c>
      <c r="K361" s="195" t="s">
        <v>21</v>
      </c>
      <c r="L361" s="191" t="s">
        <v>27</v>
      </c>
      <c r="M361" s="188">
        <f>17100000+2850000</f>
        <v>19950000</v>
      </c>
      <c r="N361" s="192" t="s">
        <v>285</v>
      </c>
      <c r="O361" s="192" t="s">
        <v>286</v>
      </c>
      <c r="P361" s="192" t="s">
        <v>24</v>
      </c>
    </row>
    <row r="362" spans="1:16" ht="75" x14ac:dyDescent="0.3">
      <c r="A362" s="2">
        <v>2023321</v>
      </c>
      <c r="B362" s="2">
        <v>7658</v>
      </c>
      <c r="C362" s="3" t="s">
        <v>142</v>
      </c>
      <c r="D362" s="191" t="s">
        <v>281</v>
      </c>
      <c r="E362" s="192">
        <v>80111600</v>
      </c>
      <c r="F362" s="191" t="s">
        <v>304</v>
      </c>
      <c r="G362" s="193">
        <v>45063</v>
      </c>
      <c r="H362" s="193">
        <v>45063</v>
      </c>
      <c r="I362" s="191">
        <v>7</v>
      </c>
      <c r="J362" s="191" t="s">
        <v>20</v>
      </c>
      <c r="K362" s="195" t="s">
        <v>21</v>
      </c>
      <c r="L362" s="191" t="s">
        <v>27</v>
      </c>
      <c r="M362" s="188">
        <f>16800000+2800000</f>
        <v>19600000</v>
      </c>
      <c r="N362" s="192" t="s">
        <v>285</v>
      </c>
      <c r="O362" s="192" t="s">
        <v>286</v>
      </c>
      <c r="P362" s="192" t="s">
        <v>24</v>
      </c>
    </row>
    <row r="363" spans="1:16" ht="75" x14ac:dyDescent="0.3">
      <c r="A363" s="2">
        <v>2023322</v>
      </c>
      <c r="B363" s="2">
        <v>7658</v>
      </c>
      <c r="C363" s="3" t="s">
        <v>142</v>
      </c>
      <c r="D363" s="191" t="s">
        <v>281</v>
      </c>
      <c r="E363" s="192">
        <v>80111600</v>
      </c>
      <c r="F363" s="191" t="s">
        <v>304</v>
      </c>
      <c r="G363" s="193">
        <v>45063</v>
      </c>
      <c r="H363" s="193">
        <v>45063</v>
      </c>
      <c r="I363" s="191">
        <v>7</v>
      </c>
      <c r="J363" s="191" t="s">
        <v>20</v>
      </c>
      <c r="K363" s="195" t="s">
        <v>21</v>
      </c>
      <c r="L363" s="191" t="s">
        <v>27</v>
      </c>
      <c r="M363" s="188">
        <f>16800000+2800000</f>
        <v>19600000</v>
      </c>
      <c r="N363" s="192" t="s">
        <v>285</v>
      </c>
      <c r="O363" s="192" t="s">
        <v>286</v>
      </c>
      <c r="P363" s="192" t="s">
        <v>24</v>
      </c>
    </row>
    <row r="364" spans="1:16" ht="75" x14ac:dyDescent="0.3">
      <c r="A364" s="2">
        <v>2023323</v>
      </c>
      <c r="B364" s="2">
        <v>7658</v>
      </c>
      <c r="C364" s="3" t="s">
        <v>142</v>
      </c>
      <c r="D364" s="191" t="s">
        <v>281</v>
      </c>
      <c r="E364" s="192">
        <v>80111600</v>
      </c>
      <c r="F364" s="191" t="s">
        <v>304</v>
      </c>
      <c r="G364" s="193">
        <v>45063</v>
      </c>
      <c r="H364" s="193">
        <v>45063</v>
      </c>
      <c r="I364" s="191">
        <v>7</v>
      </c>
      <c r="J364" s="191" t="s">
        <v>20</v>
      </c>
      <c r="K364" s="195" t="s">
        <v>21</v>
      </c>
      <c r="L364" s="191" t="s">
        <v>27</v>
      </c>
      <c r="M364" s="188">
        <f>16800000+2800000</f>
        <v>19600000</v>
      </c>
      <c r="N364" s="192" t="s">
        <v>285</v>
      </c>
      <c r="O364" s="192" t="s">
        <v>286</v>
      </c>
      <c r="P364" s="192" t="s">
        <v>24</v>
      </c>
    </row>
    <row r="365" spans="1:16" ht="75" x14ac:dyDescent="0.3">
      <c r="A365" s="2">
        <v>2023324</v>
      </c>
      <c r="B365" s="2">
        <v>7658</v>
      </c>
      <c r="C365" s="3" t="s">
        <v>142</v>
      </c>
      <c r="D365" s="191" t="s">
        <v>281</v>
      </c>
      <c r="E365" s="192">
        <v>80111600</v>
      </c>
      <c r="F365" s="191" t="s">
        <v>304</v>
      </c>
      <c r="G365" s="193">
        <v>45063</v>
      </c>
      <c r="H365" s="193">
        <v>45063</v>
      </c>
      <c r="I365" s="191">
        <v>7</v>
      </c>
      <c r="J365" s="191" t="s">
        <v>20</v>
      </c>
      <c r="K365" s="195" t="s">
        <v>21</v>
      </c>
      <c r="L365" s="191" t="s">
        <v>27</v>
      </c>
      <c r="M365" s="188">
        <f>16800000+2800000</f>
        <v>19600000</v>
      </c>
      <c r="N365" s="192" t="s">
        <v>285</v>
      </c>
      <c r="O365" s="192" t="s">
        <v>286</v>
      </c>
      <c r="P365" s="192" t="s">
        <v>24</v>
      </c>
    </row>
    <row r="366" spans="1:16" ht="75" x14ac:dyDescent="0.3">
      <c r="A366" s="2">
        <v>2023325</v>
      </c>
      <c r="B366" s="2">
        <v>7658</v>
      </c>
      <c r="C366" s="3" t="s">
        <v>142</v>
      </c>
      <c r="D366" s="191" t="s">
        <v>281</v>
      </c>
      <c r="E366" s="192">
        <v>80111600</v>
      </c>
      <c r="F366" s="191" t="s">
        <v>304</v>
      </c>
      <c r="G366" s="193">
        <v>45063</v>
      </c>
      <c r="H366" s="193">
        <v>45063</v>
      </c>
      <c r="I366" s="191">
        <v>6.5</v>
      </c>
      <c r="J366" s="191" t="s">
        <v>20</v>
      </c>
      <c r="K366" s="195" t="s">
        <v>21</v>
      </c>
      <c r="L366" s="191" t="s">
        <v>27</v>
      </c>
      <c r="M366" s="188">
        <f>16800000+1400000</f>
        <v>18200000</v>
      </c>
      <c r="N366" s="192" t="s">
        <v>285</v>
      </c>
      <c r="O366" s="192" t="s">
        <v>286</v>
      </c>
      <c r="P366" s="192" t="s">
        <v>24</v>
      </c>
    </row>
    <row r="367" spans="1:16" ht="75" x14ac:dyDescent="0.3">
      <c r="A367" s="2">
        <v>2023326</v>
      </c>
      <c r="B367" s="2">
        <v>7658</v>
      </c>
      <c r="C367" s="3" t="s">
        <v>142</v>
      </c>
      <c r="D367" s="191" t="s">
        <v>281</v>
      </c>
      <c r="E367" s="192">
        <v>80111600</v>
      </c>
      <c r="F367" s="191" t="s">
        <v>304</v>
      </c>
      <c r="G367" s="193">
        <v>45063</v>
      </c>
      <c r="H367" s="193">
        <v>45063</v>
      </c>
      <c r="I367" s="191">
        <v>2</v>
      </c>
      <c r="J367" s="191" t="s">
        <v>20</v>
      </c>
      <c r="K367" s="195" t="s">
        <v>21</v>
      </c>
      <c r="L367" s="191" t="s">
        <v>27</v>
      </c>
      <c r="M367" s="188">
        <f>16800000-10200000-2709654+9000000+1075000+485715+700000+58080+750000</f>
        <v>15959141</v>
      </c>
      <c r="N367" s="192" t="s">
        <v>285</v>
      </c>
      <c r="O367" s="192" t="s">
        <v>286</v>
      </c>
      <c r="P367" s="192" t="s">
        <v>24</v>
      </c>
    </row>
    <row r="368" spans="1:16" ht="75" x14ac:dyDescent="0.3">
      <c r="A368" s="2">
        <v>2023327</v>
      </c>
      <c r="B368" s="2">
        <v>7658</v>
      </c>
      <c r="C368" s="3" t="s">
        <v>142</v>
      </c>
      <c r="D368" s="191" t="s">
        <v>281</v>
      </c>
      <c r="E368" s="192">
        <v>80111600</v>
      </c>
      <c r="F368" s="191" t="s">
        <v>304</v>
      </c>
      <c r="G368" s="193">
        <v>45063</v>
      </c>
      <c r="H368" s="193">
        <v>45063</v>
      </c>
      <c r="I368" s="191">
        <v>6</v>
      </c>
      <c r="J368" s="191" t="s">
        <v>20</v>
      </c>
      <c r="K368" s="195" t="s">
        <v>21</v>
      </c>
      <c r="L368" s="191" t="s">
        <v>27</v>
      </c>
      <c r="M368" s="188">
        <f>16800000-400000</f>
        <v>16400000</v>
      </c>
      <c r="N368" s="192" t="s">
        <v>285</v>
      </c>
      <c r="O368" s="192" t="s">
        <v>286</v>
      </c>
      <c r="P368" s="192" t="s">
        <v>24</v>
      </c>
    </row>
    <row r="369" spans="1:16" ht="75" x14ac:dyDescent="0.3">
      <c r="A369" s="2">
        <v>2023328</v>
      </c>
      <c r="B369" s="2">
        <v>7658</v>
      </c>
      <c r="C369" s="3" t="s">
        <v>142</v>
      </c>
      <c r="D369" s="191" t="s">
        <v>281</v>
      </c>
      <c r="E369" s="192">
        <v>80111600</v>
      </c>
      <c r="F369" s="191" t="s">
        <v>305</v>
      </c>
      <c r="G369" s="193">
        <v>45063</v>
      </c>
      <c r="H369" s="193">
        <v>45063</v>
      </c>
      <c r="I369" s="191">
        <v>6</v>
      </c>
      <c r="J369" s="191" t="s">
        <v>20</v>
      </c>
      <c r="K369" s="195" t="s">
        <v>21</v>
      </c>
      <c r="L369" s="191" t="s">
        <v>27</v>
      </c>
      <c r="M369" s="188">
        <f>16800000-16800000</f>
        <v>0</v>
      </c>
      <c r="N369" s="192" t="s">
        <v>285</v>
      </c>
      <c r="O369" s="192" t="s">
        <v>286</v>
      </c>
      <c r="P369" s="192" t="s">
        <v>24</v>
      </c>
    </row>
    <row r="370" spans="1:16" ht="75" x14ac:dyDescent="0.3">
      <c r="A370" s="2">
        <v>2023329</v>
      </c>
      <c r="B370" s="2">
        <v>7658</v>
      </c>
      <c r="C370" s="3" t="s">
        <v>142</v>
      </c>
      <c r="D370" s="191" t="s">
        <v>281</v>
      </c>
      <c r="E370" s="192">
        <v>80111600</v>
      </c>
      <c r="F370" s="191" t="s">
        <v>306</v>
      </c>
      <c r="G370" s="193">
        <v>45063</v>
      </c>
      <c r="H370" s="193">
        <v>45063</v>
      </c>
      <c r="I370" s="191">
        <v>7</v>
      </c>
      <c r="J370" s="191" t="s">
        <v>20</v>
      </c>
      <c r="K370" s="195" t="s">
        <v>21</v>
      </c>
      <c r="L370" s="191" t="s">
        <v>27</v>
      </c>
      <c r="M370" s="188">
        <f>18000000+3000000</f>
        <v>21000000</v>
      </c>
      <c r="N370" s="192" t="s">
        <v>285</v>
      </c>
      <c r="O370" s="192" t="s">
        <v>286</v>
      </c>
      <c r="P370" s="192" t="s">
        <v>24</v>
      </c>
    </row>
    <row r="371" spans="1:16" ht="75" x14ac:dyDescent="0.3">
      <c r="A371" s="2">
        <v>2023330</v>
      </c>
      <c r="B371" s="2">
        <v>7658</v>
      </c>
      <c r="C371" s="3" t="s">
        <v>142</v>
      </c>
      <c r="D371" s="191" t="s">
        <v>281</v>
      </c>
      <c r="E371" s="192">
        <v>80111600</v>
      </c>
      <c r="F371" s="191" t="s">
        <v>306</v>
      </c>
      <c r="G371" s="193">
        <v>45063</v>
      </c>
      <c r="H371" s="193">
        <v>45063</v>
      </c>
      <c r="I371" s="191">
        <v>1</v>
      </c>
      <c r="J371" s="191" t="s">
        <v>20</v>
      </c>
      <c r="K371" s="195" t="s">
        <v>21</v>
      </c>
      <c r="L371" s="191" t="s">
        <v>27</v>
      </c>
      <c r="M371" s="188">
        <f>18000000-3000000-15000000+10000000-2500000</f>
        <v>7500000</v>
      </c>
      <c r="N371" s="192" t="s">
        <v>285</v>
      </c>
      <c r="O371" s="192" t="s">
        <v>286</v>
      </c>
      <c r="P371" s="192" t="s">
        <v>24</v>
      </c>
    </row>
    <row r="372" spans="1:16" ht="75" x14ac:dyDescent="0.3">
      <c r="A372" s="2">
        <v>2023331</v>
      </c>
      <c r="B372" s="2">
        <v>7658</v>
      </c>
      <c r="C372" s="3" t="s">
        <v>142</v>
      </c>
      <c r="D372" s="191" t="s">
        <v>281</v>
      </c>
      <c r="E372" s="192">
        <v>80111600</v>
      </c>
      <c r="F372" s="191" t="s">
        <v>307</v>
      </c>
      <c r="G372" s="193">
        <v>45063</v>
      </c>
      <c r="H372" s="193">
        <v>45063</v>
      </c>
      <c r="I372" s="191">
        <v>7</v>
      </c>
      <c r="J372" s="191" t="s">
        <v>20</v>
      </c>
      <c r="K372" s="195" t="s">
        <v>21</v>
      </c>
      <c r="L372" s="191" t="s">
        <v>27</v>
      </c>
      <c r="M372" s="188">
        <f>15000000+2500000</f>
        <v>17500000</v>
      </c>
      <c r="N372" s="192" t="s">
        <v>285</v>
      </c>
      <c r="O372" s="192" t="s">
        <v>286</v>
      </c>
      <c r="P372" s="192" t="s">
        <v>24</v>
      </c>
    </row>
    <row r="373" spans="1:16" ht="75" x14ac:dyDescent="0.3">
      <c r="A373" s="2">
        <v>2023332</v>
      </c>
      <c r="B373" s="2">
        <v>7658</v>
      </c>
      <c r="C373" s="3" t="s">
        <v>142</v>
      </c>
      <c r="D373" s="191" t="s">
        <v>281</v>
      </c>
      <c r="E373" s="192">
        <v>80111600</v>
      </c>
      <c r="F373" s="191" t="s">
        <v>307</v>
      </c>
      <c r="G373" s="193">
        <v>45063</v>
      </c>
      <c r="H373" s="193">
        <v>45063</v>
      </c>
      <c r="I373" s="191">
        <v>7</v>
      </c>
      <c r="J373" s="191" t="s">
        <v>20</v>
      </c>
      <c r="K373" s="195" t="s">
        <v>21</v>
      </c>
      <c r="L373" s="191" t="s">
        <v>27</v>
      </c>
      <c r="M373" s="188">
        <f>15000000+2500000</f>
        <v>17500000</v>
      </c>
      <c r="N373" s="192" t="s">
        <v>285</v>
      </c>
      <c r="O373" s="192" t="s">
        <v>286</v>
      </c>
      <c r="P373" s="192" t="s">
        <v>24</v>
      </c>
    </row>
    <row r="374" spans="1:16" ht="75" x14ac:dyDescent="0.3">
      <c r="A374" s="2">
        <v>2023333</v>
      </c>
      <c r="B374" s="2">
        <v>7658</v>
      </c>
      <c r="C374" s="3" t="s">
        <v>142</v>
      </c>
      <c r="D374" s="191" t="s">
        <v>281</v>
      </c>
      <c r="E374" s="192">
        <v>80111600</v>
      </c>
      <c r="F374" s="191" t="s">
        <v>307</v>
      </c>
      <c r="G374" s="193">
        <v>45063</v>
      </c>
      <c r="H374" s="193">
        <v>45063</v>
      </c>
      <c r="I374" s="191">
        <v>7</v>
      </c>
      <c r="J374" s="191" t="s">
        <v>20</v>
      </c>
      <c r="K374" s="195" t="s">
        <v>21</v>
      </c>
      <c r="L374" s="191" t="s">
        <v>27</v>
      </c>
      <c r="M374" s="188">
        <f>15000000+2500000-2100000-5000000</f>
        <v>10400000</v>
      </c>
      <c r="N374" s="192" t="s">
        <v>285</v>
      </c>
      <c r="O374" s="192" t="s">
        <v>286</v>
      </c>
      <c r="P374" s="192" t="s">
        <v>24</v>
      </c>
    </row>
    <row r="375" spans="1:16" ht="75" x14ac:dyDescent="0.3">
      <c r="A375" s="2">
        <v>2023334</v>
      </c>
      <c r="B375" s="2">
        <v>7658</v>
      </c>
      <c r="C375" s="3" t="s">
        <v>142</v>
      </c>
      <c r="D375" s="191" t="s">
        <v>281</v>
      </c>
      <c r="E375" s="192">
        <v>80111600</v>
      </c>
      <c r="F375" s="191" t="s">
        <v>307</v>
      </c>
      <c r="G375" s="193">
        <v>45063</v>
      </c>
      <c r="H375" s="193">
        <v>45063</v>
      </c>
      <c r="I375" s="191">
        <v>7</v>
      </c>
      <c r="J375" s="191" t="s">
        <v>20</v>
      </c>
      <c r="K375" s="195" t="s">
        <v>21</v>
      </c>
      <c r="L375" s="191" t="s">
        <v>27</v>
      </c>
      <c r="M375" s="188">
        <f>15000000+2500000</f>
        <v>17500000</v>
      </c>
      <c r="N375" s="192" t="s">
        <v>285</v>
      </c>
      <c r="O375" s="192" t="s">
        <v>286</v>
      </c>
      <c r="P375" s="192" t="s">
        <v>24</v>
      </c>
    </row>
    <row r="376" spans="1:16" ht="75" x14ac:dyDescent="0.3">
      <c r="A376" s="2">
        <v>2023335</v>
      </c>
      <c r="B376" s="2">
        <v>7658</v>
      </c>
      <c r="C376" s="3" t="s">
        <v>142</v>
      </c>
      <c r="D376" s="191" t="s">
        <v>281</v>
      </c>
      <c r="E376" s="192">
        <v>80111600</v>
      </c>
      <c r="F376" s="191" t="s">
        <v>307</v>
      </c>
      <c r="G376" s="193">
        <v>45063</v>
      </c>
      <c r="H376" s="193">
        <v>45063</v>
      </c>
      <c r="I376" s="191">
        <v>6</v>
      </c>
      <c r="J376" s="191" t="s">
        <v>20</v>
      </c>
      <c r="K376" s="195" t="s">
        <v>21</v>
      </c>
      <c r="L376" s="191" t="s">
        <v>27</v>
      </c>
      <c r="M376" s="188">
        <f>15000000-2500000</f>
        <v>12500000</v>
      </c>
      <c r="N376" s="192" t="s">
        <v>285</v>
      </c>
      <c r="O376" s="192" t="s">
        <v>286</v>
      </c>
      <c r="P376" s="192" t="s">
        <v>24</v>
      </c>
    </row>
    <row r="377" spans="1:16" ht="75" x14ac:dyDescent="0.3">
      <c r="A377" s="2">
        <v>2023336</v>
      </c>
      <c r="B377" s="2">
        <v>7658</v>
      </c>
      <c r="C377" s="3" t="s">
        <v>142</v>
      </c>
      <c r="D377" s="191" t="s">
        <v>281</v>
      </c>
      <c r="E377" s="192">
        <v>80111600</v>
      </c>
      <c r="F377" s="191" t="s">
        <v>307</v>
      </c>
      <c r="G377" s="193">
        <v>45063</v>
      </c>
      <c r="H377" s="193">
        <v>45063</v>
      </c>
      <c r="I377" s="191">
        <v>5</v>
      </c>
      <c r="J377" s="191" t="s">
        <v>20</v>
      </c>
      <c r="K377" s="195" t="s">
        <v>21</v>
      </c>
      <c r="L377" s="191" t="s">
        <v>27</v>
      </c>
      <c r="M377" s="188">
        <f>15000000-2500000</f>
        <v>12500000</v>
      </c>
      <c r="N377" s="192" t="s">
        <v>285</v>
      </c>
      <c r="O377" s="192" t="s">
        <v>286</v>
      </c>
      <c r="P377" s="192" t="s">
        <v>24</v>
      </c>
    </row>
    <row r="378" spans="1:16" ht="75" x14ac:dyDescent="0.3">
      <c r="A378" s="2">
        <v>2023337</v>
      </c>
      <c r="B378" s="2">
        <v>7658</v>
      </c>
      <c r="C378" s="3" t="s">
        <v>142</v>
      </c>
      <c r="D378" s="191" t="s">
        <v>281</v>
      </c>
      <c r="E378" s="192">
        <v>80111600</v>
      </c>
      <c r="F378" s="191" t="s">
        <v>308</v>
      </c>
      <c r="G378" s="193">
        <v>45063</v>
      </c>
      <c r="H378" s="193">
        <v>45063</v>
      </c>
      <c r="I378" s="191">
        <v>6</v>
      </c>
      <c r="J378" s="191" t="s">
        <v>20</v>
      </c>
      <c r="K378" s="195" t="s">
        <v>21</v>
      </c>
      <c r="L378" s="191" t="s">
        <v>27</v>
      </c>
      <c r="M378" s="188">
        <v>27000000</v>
      </c>
      <c r="N378" s="192" t="s">
        <v>285</v>
      </c>
      <c r="O378" s="192" t="s">
        <v>286</v>
      </c>
      <c r="P378" s="192" t="s">
        <v>24</v>
      </c>
    </row>
    <row r="379" spans="1:16" ht="75" x14ac:dyDescent="0.3">
      <c r="A379" s="2">
        <v>2023338</v>
      </c>
      <c r="B379" s="2">
        <v>7658</v>
      </c>
      <c r="C379" s="3" t="s">
        <v>142</v>
      </c>
      <c r="D379" s="191" t="s">
        <v>281</v>
      </c>
      <c r="E379" s="192">
        <v>80111600</v>
      </c>
      <c r="F379" s="191" t="s">
        <v>309</v>
      </c>
      <c r="G379" s="193">
        <v>45063</v>
      </c>
      <c r="H379" s="193">
        <v>45063</v>
      </c>
      <c r="I379" s="191">
        <v>6</v>
      </c>
      <c r="J379" s="191" t="s">
        <v>20</v>
      </c>
      <c r="K379" s="195" t="s">
        <v>21</v>
      </c>
      <c r="L379" s="191" t="s">
        <v>27</v>
      </c>
      <c r="M379" s="188">
        <v>27000000</v>
      </c>
      <c r="N379" s="192" t="s">
        <v>285</v>
      </c>
      <c r="O379" s="192" t="s">
        <v>286</v>
      </c>
      <c r="P379" s="192" t="s">
        <v>24</v>
      </c>
    </row>
    <row r="380" spans="1:16" ht="75" x14ac:dyDescent="0.3">
      <c r="A380" s="2">
        <v>2023339</v>
      </c>
      <c r="B380" s="2">
        <v>7658</v>
      </c>
      <c r="C380" s="3" t="s">
        <v>142</v>
      </c>
      <c r="D380" s="191" t="s">
        <v>281</v>
      </c>
      <c r="E380" s="192">
        <v>80111600</v>
      </c>
      <c r="F380" s="191" t="s">
        <v>310</v>
      </c>
      <c r="G380" s="193">
        <v>45063</v>
      </c>
      <c r="H380" s="193">
        <v>45063</v>
      </c>
      <c r="I380" s="191">
        <v>7</v>
      </c>
      <c r="J380" s="191" t="s">
        <v>20</v>
      </c>
      <c r="K380" s="195" t="s">
        <v>21</v>
      </c>
      <c r="L380" s="191" t="s">
        <v>27</v>
      </c>
      <c r="M380" s="188">
        <f>29100000+4850000</f>
        <v>33950000</v>
      </c>
      <c r="N380" s="192" t="s">
        <v>285</v>
      </c>
      <c r="O380" s="192" t="s">
        <v>286</v>
      </c>
      <c r="P380" s="192" t="s">
        <v>24</v>
      </c>
    </row>
    <row r="381" spans="1:16" ht="75" x14ac:dyDescent="0.3">
      <c r="A381" s="2">
        <v>2023340</v>
      </c>
      <c r="B381" s="2">
        <v>7658</v>
      </c>
      <c r="C381" s="3" t="s">
        <v>142</v>
      </c>
      <c r="D381" s="191" t="s">
        <v>281</v>
      </c>
      <c r="E381" s="192">
        <v>80111600</v>
      </c>
      <c r="F381" s="191" t="s">
        <v>310</v>
      </c>
      <c r="G381" s="193">
        <v>45063</v>
      </c>
      <c r="H381" s="193">
        <v>45063</v>
      </c>
      <c r="I381" s="191">
        <v>7</v>
      </c>
      <c r="J381" s="191" t="s">
        <v>20</v>
      </c>
      <c r="K381" s="195" t="s">
        <v>21</v>
      </c>
      <c r="L381" s="191" t="s">
        <v>27</v>
      </c>
      <c r="M381" s="188">
        <f>29100000+4850000</f>
        <v>33950000</v>
      </c>
      <c r="N381" s="192" t="s">
        <v>285</v>
      </c>
      <c r="O381" s="192" t="s">
        <v>286</v>
      </c>
      <c r="P381" s="192" t="s">
        <v>24</v>
      </c>
    </row>
    <row r="382" spans="1:16" ht="75" x14ac:dyDescent="0.3">
      <c r="A382" s="2">
        <v>2023341</v>
      </c>
      <c r="B382" s="2">
        <v>7658</v>
      </c>
      <c r="C382" s="3" t="s">
        <v>142</v>
      </c>
      <c r="D382" s="191" t="s">
        <v>281</v>
      </c>
      <c r="E382" s="192">
        <v>80111600</v>
      </c>
      <c r="F382" s="191" t="s">
        <v>310</v>
      </c>
      <c r="G382" s="193">
        <v>45063</v>
      </c>
      <c r="H382" s="193">
        <v>45063</v>
      </c>
      <c r="I382" s="191">
        <v>7</v>
      </c>
      <c r="J382" s="191" t="s">
        <v>20</v>
      </c>
      <c r="K382" s="195" t="s">
        <v>21</v>
      </c>
      <c r="L382" s="191" t="s">
        <v>27</v>
      </c>
      <c r="M382" s="188">
        <f>29100000+4850000</f>
        <v>33950000</v>
      </c>
      <c r="N382" s="192" t="s">
        <v>285</v>
      </c>
      <c r="O382" s="192" t="s">
        <v>286</v>
      </c>
      <c r="P382" s="192" t="s">
        <v>24</v>
      </c>
    </row>
    <row r="383" spans="1:16" ht="75" x14ac:dyDescent="0.3">
      <c r="A383" s="2">
        <v>2023342</v>
      </c>
      <c r="B383" s="2">
        <v>7658</v>
      </c>
      <c r="C383" s="3" t="s">
        <v>142</v>
      </c>
      <c r="D383" s="191" t="s">
        <v>281</v>
      </c>
      <c r="E383" s="192">
        <v>80111600</v>
      </c>
      <c r="F383" s="191" t="s">
        <v>311</v>
      </c>
      <c r="G383" s="193">
        <v>45063</v>
      </c>
      <c r="H383" s="193">
        <v>45063</v>
      </c>
      <c r="I383" s="191">
        <v>6.5</v>
      </c>
      <c r="J383" s="191" t="s">
        <v>20</v>
      </c>
      <c r="K383" s="195" t="s">
        <v>21</v>
      </c>
      <c r="L383" s="191" t="s">
        <v>27</v>
      </c>
      <c r="M383" s="188">
        <f>33000000+2750000</f>
        <v>35750000</v>
      </c>
      <c r="N383" s="192" t="s">
        <v>285</v>
      </c>
      <c r="O383" s="192" t="s">
        <v>286</v>
      </c>
      <c r="P383" s="192" t="s">
        <v>24</v>
      </c>
    </row>
    <row r="384" spans="1:16" ht="75" x14ac:dyDescent="0.3">
      <c r="A384" s="2">
        <v>2023343</v>
      </c>
      <c r="B384" s="2">
        <v>7658</v>
      </c>
      <c r="C384" s="3" t="s">
        <v>142</v>
      </c>
      <c r="D384" s="191" t="s">
        <v>281</v>
      </c>
      <c r="E384" s="192">
        <v>80111600</v>
      </c>
      <c r="F384" s="191" t="s">
        <v>311</v>
      </c>
      <c r="G384" s="193">
        <v>45063</v>
      </c>
      <c r="H384" s="193">
        <v>45063</v>
      </c>
      <c r="I384" s="191">
        <v>7</v>
      </c>
      <c r="J384" s="191" t="s">
        <v>20</v>
      </c>
      <c r="K384" s="195" t="s">
        <v>21</v>
      </c>
      <c r="L384" s="191" t="s">
        <v>27</v>
      </c>
      <c r="M384" s="188">
        <f>33000000+5500000</f>
        <v>38500000</v>
      </c>
      <c r="N384" s="192" t="s">
        <v>285</v>
      </c>
      <c r="O384" s="192" t="s">
        <v>286</v>
      </c>
      <c r="P384" s="192" t="s">
        <v>24</v>
      </c>
    </row>
    <row r="385" spans="1:16" ht="75" x14ac:dyDescent="0.3">
      <c r="A385" s="2">
        <v>2023344</v>
      </c>
      <c r="B385" s="2">
        <v>7658</v>
      </c>
      <c r="C385" s="3" t="s">
        <v>142</v>
      </c>
      <c r="D385" s="191" t="s">
        <v>281</v>
      </c>
      <c r="E385" s="192">
        <v>80111600</v>
      </c>
      <c r="F385" s="191" t="s">
        <v>304</v>
      </c>
      <c r="G385" s="193">
        <v>45063</v>
      </c>
      <c r="H385" s="193">
        <v>45063</v>
      </c>
      <c r="I385" s="191">
        <v>6</v>
      </c>
      <c r="J385" s="191" t="s">
        <v>20</v>
      </c>
      <c r="K385" s="195" t="s">
        <v>21</v>
      </c>
      <c r="L385" s="191" t="s">
        <v>27</v>
      </c>
      <c r="M385" s="188">
        <f>14700000-14700000</f>
        <v>0</v>
      </c>
      <c r="N385" s="192" t="s">
        <v>285</v>
      </c>
      <c r="O385" s="192" t="s">
        <v>286</v>
      </c>
      <c r="P385" s="192" t="s">
        <v>24</v>
      </c>
    </row>
    <row r="386" spans="1:16" ht="75" x14ac:dyDescent="0.3">
      <c r="A386" s="2">
        <v>2023345</v>
      </c>
      <c r="B386" s="2">
        <v>7658</v>
      </c>
      <c r="C386" s="3" t="s">
        <v>142</v>
      </c>
      <c r="D386" s="191" t="s">
        <v>281</v>
      </c>
      <c r="E386" s="192">
        <v>80111600</v>
      </c>
      <c r="F386" s="191" t="s">
        <v>312</v>
      </c>
      <c r="G386" s="193">
        <v>45063</v>
      </c>
      <c r="H386" s="193">
        <v>45063</v>
      </c>
      <c r="I386" s="191">
        <v>6</v>
      </c>
      <c r="J386" s="191" t="s">
        <v>20</v>
      </c>
      <c r="K386" s="195" t="s">
        <v>21</v>
      </c>
      <c r="L386" s="191" t="s">
        <v>27</v>
      </c>
      <c r="M386" s="188">
        <f t="shared" ref="M386:M391" si="1">14700000+2100000</f>
        <v>16800000</v>
      </c>
      <c r="N386" s="192" t="s">
        <v>285</v>
      </c>
      <c r="O386" s="192" t="s">
        <v>286</v>
      </c>
      <c r="P386" s="192" t="s">
        <v>24</v>
      </c>
    </row>
    <row r="387" spans="1:16" ht="75" x14ac:dyDescent="0.3">
      <c r="A387" s="2">
        <v>2023346</v>
      </c>
      <c r="B387" s="2">
        <v>7658</v>
      </c>
      <c r="C387" s="3" t="s">
        <v>142</v>
      </c>
      <c r="D387" s="191" t="s">
        <v>281</v>
      </c>
      <c r="E387" s="192">
        <v>80111600</v>
      </c>
      <c r="F387" s="191" t="s">
        <v>312</v>
      </c>
      <c r="G387" s="193">
        <v>45063</v>
      </c>
      <c r="H387" s="193">
        <v>45063</v>
      </c>
      <c r="I387" s="191">
        <v>6</v>
      </c>
      <c r="J387" s="191" t="s">
        <v>20</v>
      </c>
      <c r="K387" s="195" t="s">
        <v>21</v>
      </c>
      <c r="L387" s="191" t="s">
        <v>27</v>
      </c>
      <c r="M387" s="188">
        <f t="shared" si="1"/>
        <v>16800000</v>
      </c>
      <c r="N387" s="192" t="s">
        <v>285</v>
      </c>
      <c r="O387" s="192" t="s">
        <v>286</v>
      </c>
      <c r="P387" s="192" t="s">
        <v>24</v>
      </c>
    </row>
    <row r="388" spans="1:16" ht="75" x14ac:dyDescent="0.3">
      <c r="A388" s="2">
        <v>2023347</v>
      </c>
      <c r="B388" s="2">
        <v>7658</v>
      </c>
      <c r="C388" s="3" t="s">
        <v>142</v>
      </c>
      <c r="D388" s="191" t="s">
        <v>281</v>
      </c>
      <c r="E388" s="192">
        <v>80111600</v>
      </c>
      <c r="F388" s="191" t="s">
        <v>312</v>
      </c>
      <c r="G388" s="193">
        <v>45063</v>
      </c>
      <c r="H388" s="193">
        <v>45063</v>
      </c>
      <c r="I388" s="191">
        <v>6</v>
      </c>
      <c r="J388" s="191" t="s">
        <v>20</v>
      </c>
      <c r="K388" s="195" t="s">
        <v>21</v>
      </c>
      <c r="L388" s="191" t="s">
        <v>27</v>
      </c>
      <c r="M388" s="188">
        <f t="shared" si="1"/>
        <v>16800000</v>
      </c>
      <c r="N388" s="192" t="s">
        <v>285</v>
      </c>
      <c r="O388" s="192" t="s">
        <v>286</v>
      </c>
      <c r="P388" s="192" t="s">
        <v>24</v>
      </c>
    </row>
    <row r="389" spans="1:16" ht="75" x14ac:dyDescent="0.3">
      <c r="A389" s="2">
        <v>2023348</v>
      </c>
      <c r="B389" s="2">
        <v>7658</v>
      </c>
      <c r="C389" s="3" t="s">
        <v>142</v>
      </c>
      <c r="D389" s="191" t="s">
        <v>281</v>
      </c>
      <c r="E389" s="192">
        <v>80111600</v>
      </c>
      <c r="F389" s="191" t="s">
        <v>312</v>
      </c>
      <c r="G389" s="193">
        <v>45063</v>
      </c>
      <c r="H389" s="193">
        <v>45063</v>
      </c>
      <c r="I389" s="191">
        <v>6</v>
      </c>
      <c r="J389" s="191" t="s">
        <v>20</v>
      </c>
      <c r="K389" s="195" t="s">
        <v>21</v>
      </c>
      <c r="L389" s="191" t="s">
        <v>27</v>
      </c>
      <c r="M389" s="188">
        <f t="shared" si="1"/>
        <v>16800000</v>
      </c>
      <c r="N389" s="192" t="s">
        <v>285</v>
      </c>
      <c r="O389" s="192" t="s">
        <v>286</v>
      </c>
      <c r="P389" s="192" t="s">
        <v>24</v>
      </c>
    </row>
    <row r="390" spans="1:16" ht="75" x14ac:dyDescent="0.3">
      <c r="A390" s="2">
        <v>2023349</v>
      </c>
      <c r="B390" s="2">
        <v>7658</v>
      </c>
      <c r="C390" s="3" t="s">
        <v>142</v>
      </c>
      <c r="D390" s="191" t="s">
        <v>281</v>
      </c>
      <c r="E390" s="192">
        <v>80111600</v>
      </c>
      <c r="F390" s="191" t="s">
        <v>312</v>
      </c>
      <c r="G390" s="193">
        <v>45063</v>
      </c>
      <c r="H390" s="193">
        <v>45063</v>
      </c>
      <c r="I390" s="191">
        <v>6</v>
      </c>
      <c r="J390" s="191" t="s">
        <v>20</v>
      </c>
      <c r="K390" s="195" t="s">
        <v>21</v>
      </c>
      <c r="L390" s="191" t="s">
        <v>27</v>
      </c>
      <c r="M390" s="188">
        <f t="shared" si="1"/>
        <v>16800000</v>
      </c>
      <c r="N390" s="192" t="s">
        <v>285</v>
      </c>
      <c r="O390" s="192" t="s">
        <v>286</v>
      </c>
      <c r="P390" s="192" t="s">
        <v>24</v>
      </c>
    </row>
    <row r="391" spans="1:16" ht="75" x14ac:dyDescent="0.3">
      <c r="A391" s="2">
        <v>2023350</v>
      </c>
      <c r="B391" s="2">
        <v>7658</v>
      </c>
      <c r="C391" s="3" t="s">
        <v>142</v>
      </c>
      <c r="D391" s="191" t="s">
        <v>281</v>
      </c>
      <c r="E391" s="192">
        <v>80111600</v>
      </c>
      <c r="F391" s="191" t="s">
        <v>312</v>
      </c>
      <c r="G391" s="193">
        <v>45063</v>
      </c>
      <c r="H391" s="193">
        <v>45063</v>
      </c>
      <c r="I391" s="191">
        <v>6</v>
      </c>
      <c r="J391" s="191" t="s">
        <v>20</v>
      </c>
      <c r="K391" s="195" t="s">
        <v>21</v>
      </c>
      <c r="L391" s="191" t="s">
        <v>27</v>
      </c>
      <c r="M391" s="188">
        <f t="shared" si="1"/>
        <v>16800000</v>
      </c>
      <c r="N391" s="192" t="s">
        <v>285</v>
      </c>
      <c r="O391" s="192" t="s">
        <v>286</v>
      </c>
      <c r="P391" s="192" t="s">
        <v>24</v>
      </c>
    </row>
    <row r="392" spans="1:16" ht="75" x14ac:dyDescent="0.3">
      <c r="A392" s="2">
        <v>2023351</v>
      </c>
      <c r="B392" s="2">
        <v>7658</v>
      </c>
      <c r="C392" s="3" t="s">
        <v>142</v>
      </c>
      <c r="D392" s="191" t="s">
        <v>281</v>
      </c>
      <c r="E392" s="192">
        <v>80111600</v>
      </c>
      <c r="F392" s="191" t="s">
        <v>312</v>
      </c>
      <c r="G392" s="193">
        <v>45063</v>
      </c>
      <c r="H392" s="193">
        <v>45063</v>
      </c>
      <c r="I392" s="191">
        <v>6</v>
      </c>
      <c r="J392" s="191" t="s">
        <v>20</v>
      </c>
      <c r="K392" s="195" t="s">
        <v>21</v>
      </c>
      <c r="L392" s="191" t="s">
        <v>27</v>
      </c>
      <c r="M392" s="188">
        <f>14700000+2100000-2920000-8400000-1000000</f>
        <v>4480000</v>
      </c>
      <c r="N392" s="192" t="s">
        <v>285</v>
      </c>
      <c r="O392" s="192" t="s">
        <v>286</v>
      </c>
      <c r="P392" s="192" t="s">
        <v>24</v>
      </c>
    </row>
    <row r="393" spans="1:16" ht="75" x14ac:dyDescent="0.3">
      <c r="A393" s="2">
        <v>2023352</v>
      </c>
      <c r="B393" s="2">
        <v>7658</v>
      </c>
      <c r="C393" s="3" t="s">
        <v>142</v>
      </c>
      <c r="D393" s="191" t="s">
        <v>281</v>
      </c>
      <c r="E393" s="192">
        <v>80111600</v>
      </c>
      <c r="F393" s="191" t="s">
        <v>312</v>
      </c>
      <c r="G393" s="193">
        <v>45063</v>
      </c>
      <c r="H393" s="193">
        <v>45063</v>
      </c>
      <c r="I393" s="191">
        <v>1</v>
      </c>
      <c r="J393" s="191" t="s">
        <v>20</v>
      </c>
      <c r="K393" s="195" t="s">
        <v>21</v>
      </c>
      <c r="L393" s="191" t="s">
        <v>27</v>
      </c>
      <c r="M393" s="188">
        <f>14700000-2100000-2100000-2100000-2100000-2100000-2100000-2100000</f>
        <v>0</v>
      </c>
      <c r="N393" s="192" t="s">
        <v>285</v>
      </c>
      <c r="O393" s="192" t="s">
        <v>286</v>
      </c>
      <c r="P393" s="192" t="s">
        <v>24</v>
      </c>
    </row>
    <row r="394" spans="1:16" ht="75" x14ac:dyDescent="0.3">
      <c r="A394" s="2">
        <v>2023353</v>
      </c>
      <c r="B394" s="2">
        <v>7658</v>
      </c>
      <c r="C394" s="3" t="s">
        <v>142</v>
      </c>
      <c r="D394" s="191" t="s">
        <v>281</v>
      </c>
      <c r="E394" s="192">
        <v>80111600</v>
      </c>
      <c r="F394" s="191" t="s">
        <v>312</v>
      </c>
      <c r="G394" s="193">
        <v>45063</v>
      </c>
      <c r="H394" s="193">
        <v>45063</v>
      </c>
      <c r="I394" s="191">
        <v>1</v>
      </c>
      <c r="J394" s="191" t="s">
        <v>20</v>
      </c>
      <c r="K394" s="195" t="s">
        <v>21</v>
      </c>
      <c r="L394" s="191" t="s">
        <v>27</v>
      </c>
      <c r="M394" s="188">
        <f>14700000-14700000</f>
        <v>0</v>
      </c>
      <c r="N394" s="192" t="s">
        <v>285</v>
      </c>
      <c r="O394" s="192" t="s">
        <v>286</v>
      </c>
      <c r="P394" s="192" t="s">
        <v>24</v>
      </c>
    </row>
    <row r="395" spans="1:16" ht="75" x14ac:dyDescent="0.3">
      <c r="A395" s="2">
        <v>2023354</v>
      </c>
      <c r="B395" s="2">
        <v>7658</v>
      </c>
      <c r="C395" s="3" t="s">
        <v>142</v>
      </c>
      <c r="D395" s="191" t="s">
        <v>281</v>
      </c>
      <c r="E395" s="192">
        <v>80111600</v>
      </c>
      <c r="F395" s="191" t="s">
        <v>312</v>
      </c>
      <c r="G395" s="193">
        <v>45063</v>
      </c>
      <c r="H395" s="193">
        <v>45063</v>
      </c>
      <c r="I395" s="191">
        <v>6</v>
      </c>
      <c r="J395" s="191" t="s">
        <v>20</v>
      </c>
      <c r="K395" s="195" t="s">
        <v>21</v>
      </c>
      <c r="L395" s="191" t="s">
        <v>27</v>
      </c>
      <c r="M395" s="188">
        <f>14700000-700000</f>
        <v>14000000</v>
      </c>
      <c r="N395" s="192" t="s">
        <v>285</v>
      </c>
      <c r="O395" s="192" t="s">
        <v>286</v>
      </c>
      <c r="P395" s="192" t="s">
        <v>24</v>
      </c>
    </row>
    <row r="396" spans="1:16" ht="75" x14ac:dyDescent="0.3">
      <c r="A396" s="2">
        <v>2023355</v>
      </c>
      <c r="B396" s="2">
        <v>7658</v>
      </c>
      <c r="C396" s="3" t="s">
        <v>142</v>
      </c>
      <c r="D396" s="191" t="s">
        <v>281</v>
      </c>
      <c r="E396" s="192">
        <v>80111600</v>
      </c>
      <c r="F396" s="191" t="s">
        <v>312</v>
      </c>
      <c r="G396" s="193">
        <v>45063</v>
      </c>
      <c r="H396" s="193">
        <v>45063</v>
      </c>
      <c r="I396" s="191">
        <v>1</v>
      </c>
      <c r="J396" s="191" t="s">
        <v>20</v>
      </c>
      <c r="K396" s="195" t="s">
        <v>21</v>
      </c>
      <c r="L396" s="191" t="s">
        <v>27</v>
      </c>
      <c r="M396" s="188">
        <f>14700000-14000000-700000</f>
        <v>0</v>
      </c>
      <c r="N396" s="192" t="s">
        <v>285</v>
      </c>
      <c r="O396" s="192" t="s">
        <v>286</v>
      </c>
      <c r="P396" s="192" t="s">
        <v>24</v>
      </c>
    </row>
    <row r="397" spans="1:16" ht="75" x14ac:dyDescent="0.3">
      <c r="A397" s="2">
        <v>2023356</v>
      </c>
      <c r="B397" s="2">
        <v>7658</v>
      </c>
      <c r="C397" s="3" t="s">
        <v>142</v>
      </c>
      <c r="D397" s="191" t="s">
        <v>281</v>
      </c>
      <c r="E397" s="192">
        <v>80111600</v>
      </c>
      <c r="F397" s="191" t="s">
        <v>312</v>
      </c>
      <c r="G397" s="193">
        <v>45063</v>
      </c>
      <c r="H397" s="193">
        <v>45063</v>
      </c>
      <c r="I397" s="191">
        <v>1</v>
      </c>
      <c r="J397" s="191" t="s">
        <v>20</v>
      </c>
      <c r="K397" s="195" t="s">
        <v>21</v>
      </c>
      <c r="L397" s="191" t="s">
        <v>27</v>
      </c>
      <c r="M397" s="188">
        <f>14700000-14000000-700000</f>
        <v>0</v>
      </c>
      <c r="N397" s="192" t="s">
        <v>285</v>
      </c>
      <c r="O397" s="192" t="s">
        <v>286</v>
      </c>
      <c r="P397" s="192" t="s">
        <v>24</v>
      </c>
    </row>
    <row r="398" spans="1:16" ht="75" x14ac:dyDescent="0.3">
      <c r="A398" s="2">
        <v>2023357</v>
      </c>
      <c r="B398" s="2">
        <v>7658</v>
      </c>
      <c r="C398" s="3" t="s">
        <v>142</v>
      </c>
      <c r="D398" s="191" t="s">
        <v>281</v>
      </c>
      <c r="E398" s="192">
        <v>80111600</v>
      </c>
      <c r="F398" s="191" t="s">
        <v>315</v>
      </c>
      <c r="G398" s="193">
        <v>45063</v>
      </c>
      <c r="H398" s="193">
        <v>45063</v>
      </c>
      <c r="I398" s="191">
        <v>6</v>
      </c>
      <c r="J398" s="191" t="s">
        <v>20</v>
      </c>
      <c r="K398" s="195" t="s">
        <v>21</v>
      </c>
      <c r="L398" s="191" t="s">
        <v>27</v>
      </c>
      <c r="M398" s="188">
        <v>27000000</v>
      </c>
      <c r="N398" s="192" t="s">
        <v>285</v>
      </c>
      <c r="O398" s="192" t="s">
        <v>286</v>
      </c>
      <c r="P398" s="192" t="s">
        <v>24</v>
      </c>
    </row>
    <row r="399" spans="1:16" ht="75" x14ac:dyDescent="0.3">
      <c r="A399" s="2">
        <v>2023358</v>
      </c>
      <c r="B399" s="2">
        <v>7658</v>
      </c>
      <c r="C399" s="3" t="s">
        <v>142</v>
      </c>
      <c r="D399" s="191" t="s">
        <v>281</v>
      </c>
      <c r="E399" s="192">
        <v>80111600</v>
      </c>
      <c r="F399" s="191" t="s">
        <v>315</v>
      </c>
      <c r="G399" s="193">
        <v>45063</v>
      </c>
      <c r="H399" s="193">
        <v>45063</v>
      </c>
      <c r="I399" s="191">
        <v>6</v>
      </c>
      <c r="J399" s="191" t="s">
        <v>20</v>
      </c>
      <c r="K399" s="195" t="s">
        <v>21</v>
      </c>
      <c r="L399" s="191" t="s">
        <v>27</v>
      </c>
      <c r="M399" s="188">
        <f>33000000-6000000</f>
        <v>27000000</v>
      </c>
      <c r="N399" s="192" t="s">
        <v>285</v>
      </c>
      <c r="O399" s="192" t="s">
        <v>286</v>
      </c>
      <c r="P399" s="192" t="s">
        <v>24</v>
      </c>
    </row>
    <row r="400" spans="1:16" ht="75" x14ac:dyDescent="0.3">
      <c r="A400" s="2">
        <v>2023359</v>
      </c>
      <c r="B400" s="2">
        <v>7658</v>
      </c>
      <c r="C400" s="3" t="s">
        <v>142</v>
      </c>
      <c r="D400" s="191" t="s">
        <v>281</v>
      </c>
      <c r="E400" s="192">
        <v>80111600</v>
      </c>
      <c r="F400" s="191" t="s">
        <v>315</v>
      </c>
      <c r="G400" s="193">
        <v>45063</v>
      </c>
      <c r="H400" s="193">
        <v>45063</v>
      </c>
      <c r="I400" s="191">
        <v>1</v>
      </c>
      <c r="J400" s="191" t="s">
        <v>20</v>
      </c>
      <c r="K400" s="195" t="s">
        <v>21</v>
      </c>
      <c r="L400" s="191" t="s">
        <v>27</v>
      </c>
      <c r="M400" s="188">
        <f>29100000+4850000</f>
        <v>33950000</v>
      </c>
      <c r="N400" s="192" t="s">
        <v>285</v>
      </c>
      <c r="O400" s="192" t="s">
        <v>286</v>
      </c>
      <c r="P400" s="192" t="s">
        <v>24</v>
      </c>
    </row>
    <row r="401" spans="1:16" ht="75" x14ac:dyDescent="0.3">
      <c r="A401" s="2">
        <v>2023360</v>
      </c>
      <c r="B401" s="2">
        <v>7658</v>
      </c>
      <c r="C401" s="3" t="s">
        <v>142</v>
      </c>
      <c r="D401" s="191" t="s">
        <v>281</v>
      </c>
      <c r="E401" s="192">
        <v>80111600</v>
      </c>
      <c r="F401" s="191" t="s">
        <v>317</v>
      </c>
      <c r="G401" s="193">
        <v>45063</v>
      </c>
      <c r="H401" s="193">
        <v>45063</v>
      </c>
      <c r="I401" s="191">
        <v>6</v>
      </c>
      <c r="J401" s="191" t="s">
        <v>20</v>
      </c>
      <c r="K401" s="195" t="s">
        <v>21</v>
      </c>
      <c r="L401" s="191" t="s">
        <v>27</v>
      </c>
      <c r="M401" s="188">
        <f>27000000+15000000-10000000-10000000-11200000-10800000</f>
        <v>0</v>
      </c>
      <c r="N401" s="192" t="s">
        <v>285</v>
      </c>
      <c r="O401" s="192" t="s">
        <v>286</v>
      </c>
      <c r="P401" s="192" t="s">
        <v>24</v>
      </c>
    </row>
    <row r="402" spans="1:16" ht="75" x14ac:dyDescent="0.3">
      <c r="A402" s="2">
        <v>2023361</v>
      </c>
      <c r="B402" s="2">
        <v>7658</v>
      </c>
      <c r="C402" s="3" t="s">
        <v>142</v>
      </c>
      <c r="D402" s="191" t="s">
        <v>281</v>
      </c>
      <c r="E402" s="192">
        <v>80111600</v>
      </c>
      <c r="F402" s="191" t="s">
        <v>317</v>
      </c>
      <c r="G402" s="193">
        <v>45063</v>
      </c>
      <c r="H402" s="193">
        <v>45063</v>
      </c>
      <c r="I402" s="191">
        <v>6</v>
      </c>
      <c r="J402" s="191" t="s">
        <v>20</v>
      </c>
      <c r="K402" s="195" t="s">
        <v>21</v>
      </c>
      <c r="L402" s="191" t="s">
        <v>27</v>
      </c>
      <c r="M402" s="188">
        <f>27000000+15000000-8700000</f>
        <v>33300000</v>
      </c>
      <c r="N402" s="192" t="s">
        <v>285</v>
      </c>
      <c r="O402" s="192" t="s">
        <v>286</v>
      </c>
      <c r="P402" s="192" t="s">
        <v>24</v>
      </c>
    </row>
    <row r="403" spans="1:16" ht="60" x14ac:dyDescent="0.3">
      <c r="A403" s="2">
        <v>2023362</v>
      </c>
      <c r="B403" s="2">
        <v>7655</v>
      </c>
      <c r="C403" s="3" t="s">
        <v>25</v>
      </c>
      <c r="D403" s="191" t="s">
        <v>319</v>
      </c>
      <c r="E403" s="192">
        <v>80111600</v>
      </c>
      <c r="F403" s="191" t="s">
        <v>320</v>
      </c>
      <c r="G403" s="193">
        <v>44927</v>
      </c>
      <c r="H403" s="193">
        <v>44941</v>
      </c>
      <c r="I403" s="191">
        <v>9</v>
      </c>
      <c r="J403" s="191" t="s">
        <v>20</v>
      </c>
      <c r="K403" s="195" t="s">
        <v>21</v>
      </c>
      <c r="L403" s="191" t="s">
        <v>27</v>
      </c>
      <c r="M403" s="214">
        <f>36850000-6700000</f>
        <v>30150000</v>
      </c>
      <c r="N403" s="192" t="s">
        <v>28</v>
      </c>
      <c r="O403" s="192" t="s">
        <v>29</v>
      </c>
      <c r="P403" s="192" t="s">
        <v>24</v>
      </c>
    </row>
    <row r="404" spans="1:16" ht="60" x14ac:dyDescent="0.3">
      <c r="A404" s="2">
        <v>2023363</v>
      </c>
      <c r="B404" s="2">
        <v>7655</v>
      </c>
      <c r="C404" s="3" t="s">
        <v>25</v>
      </c>
      <c r="D404" s="191" t="s">
        <v>319</v>
      </c>
      <c r="E404" s="192">
        <v>80111600</v>
      </c>
      <c r="F404" s="191" t="s">
        <v>321</v>
      </c>
      <c r="G404" s="193">
        <v>44927</v>
      </c>
      <c r="H404" s="193">
        <v>44941</v>
      </c>
      <c r="I404" s="191">
        <v>8</v>
      </c>
      <c r="J404" s="191" t="s">
        <v>20</v>
      </c>
      <c r="K404" s="195" t="s">
        <v>21</v>
      </c>
      <c r="L404" s="191" t="s">
        <v>27</v>
      </c>
      <c r="M404" s="214">
        <f>30800000-2293760-3167360</f>
        <v>25338880</v>
      </c>
      <c r="N404" s="192" t="s">
        <v>28</v>
      </c>
      <c r="O404" s="192" t="s">
        <v>29</v>
      </c>
      <c r="P404" s="192" t="s">
        <v>24</v>
      </c>
    </row>
    <row r="405" spans="1:16" ht="90" x14ac:dyDescent="0.3">
      <c r="A405" s="2">
        <v>2023364</v>
      </c>
      <c r="B405" s="2">
        <v>7655</v>
      </c>
      <c r="C405" s="3" t="s">
        <v>25</v>
      </c>
      <c r="D405" s="191" t="s">
        <v>319</v>
      </c>
      <c r="E405" s="192">
        <v>80111600</v>
      </c>
      <c r="F405" s="191" t="s">
        <v>322</v>
      </c>
      <c r="G405" s="193">
        <v>44927</v>
      </c>
      <c r="H405" s="193">
        <v>44941</v>
      </c>
      <c r="I405" s="191">
        <v>7</v>
      </c>
      <c r="J405" s="191" t="s">
        <v>20</v>
      </c>
      <c r="K405" s="195" t="s">
        <v>21</v>
      </c>
      <c r="L405" s="191" t="s">
        <v>27</v>
      </c>
      <c r="M405" s="214">
        <f>68000000-24209440-12400000+45000000-59700000+28460000+10740000+14700000-29790560-200000</f>
        <v>40600000</v>
      </c>
      <c r="N405" s="192" t="s">
        <v>28</v>
      </c>
      <c r="O405" s="192" t="s">
        <v>29</v>
      </c>
      <c r="P405" s="192" t="s">
        <v>24</v>
      </c>
    </row>
    <row r="406" spans="1:16" ht="60" x14ac:dyDescent="0.3">
      <c r="A406" s="2">
        <v>2023365</v>
      </c>
      <c r="B406" s="2">
        <v>7655</v>
      </c>
      <c r="C406" s="3" t="s">
        <v>25</v>
      </c>
      <c r="D406" s="191" t="s">
        <v>319</v>
      </c>
      <c r="E406" s="192">
        <v>80111600</v>
      </c>
      <c r="F406" s="191" t="s">
        <v>323</v>
      </c>
      <c r="G406" s="193">
        <v>44927</v>
      </c>
      <c r="H406" s="193">
        <v>44941</v>
      </c>
      <c r="I406" s="191">
        <v>10</v>
      </c>
      <c r="J406" s="191" t="s">
        <v>20</v>
      </c>
      <c r="K406" s="195" t="s">
        <v>21</v>
      </c>
      <c r="L406" s="191" t="s">
        <v>27</v>
      </c>
      <c r="M406" s="214">
        <v>18000000</v>
      </c>
      <c r="N406" s="192" t="s">
        <v>28</v>
      </c>
      <c r="O406" s="192" t="s">
        <v>29</v>
      </c>
      <c r="P406" s="192" t="s">
        <v>24</v>
      </c>
    </row>
    <row r="407" spans="1:16" ht="75" x14ac:dyDescent="0.3">
      <c r="A407" s="2">
        <v>2023366</v>
      </c>
      <c r="B407" s="2">
        <v>7655</v>
      </c>
      <c r="C407" s="3" t="s">
        <v>25</v>
      </c>
      <c r="D407" s="191" t="s">
        <v>319</v>
      </c>
      <c r="E407" s="192">
        <v>80111600</v>
      </c>
      <c r="F407" s="191" t="s">
        <v>324</v>
      </c>
      <c r="G407" s="193">
        <v>44927</v>
      </c>
      <c r="H407" s="193">
        <v>44941</v>
      </c>
      <c r="I407" s="191">
        <v>9</v>
      </c>
      <c r="J407" s="191" t="s">
        <v>20</v>
      </c>
      <c r="K407" s="195" t="s">
        <v>21</v>
      </c>
      <c r="L407" s="191" t="s">
        <v>50</v>
      </c>
      <c r="M407" s="214">
        <f>80000000-8000000</f>
        <v>72000000</v>
      </c>
      <c r="N407" s="192" t="s">
        <v>28</v>
      </c>
      <c r="O407" s="192" t="s">
        <v>29</v>
      </c>
      <c r="P407" s="192" t="s">
        <v>24</v>
      </c>
    </row>
    <row r="408" spans="1:16" ht="60" x14ac:dyDescent="0.3">
      <c r="A408" s="2">
        <v>2023368</v>
      </c>
      <c r="B408" s="2">
        <v>7655</v>
      </c>
      <c r="C408" s="3" t="s">
        <v>25</v>
      </c>
      <c r="D408" s="191" t="s">
        <v>319</v>
      </c>
      <c r="E408" s="192">
        <v>80111600</v>
      </c>
      <c r="F408" s="191" t="s">
        <v>325</v>
      </c>
      <c r="G408" s="193">
        <v>44927</v>
      </c>
      <c r="H408" s="193">
        <v>44941</v>
      </c>
      <c r="I408" s="191">
        <v>8</v>
      </c>
      <c r="J408" s="191" t="s">
        <v>20</v>
      </c>
      <c r="K408" s="195" t="s">
        <v>21</v>
      </c>
      <c r="L408" s="191" t="s">
        <v>27</v>
      </c>
      <c r="M408" s="214">
        <f>38500000+5021200+7382800-10180800-5882240</f>
        <v>34840960</v>
      </c>
      <c r="N408" s="192" t="s">
        <v>28</v>
      </c>
      <c r="O408" s="192" t="s">
        <v>29</v>
      </c>
      <c r="P408" s="192" t="s">
        <v>24</v>
      </c>
    </row>
    <row r="409" spans="1:16" ht="60" x14ac:dyDescent="0.3">
      <c r="A409" s="2">
        <v>2023369</v>
      </c>
      <c r="B409" s="2">
        <v>7655</v>
      </c>
      <c r="C409" s="3" t="s">
        <v>25</v>
      </c>
      <c r="D409" s="191" t="s">
        <v>319</v>
      </c>
      <c r="E409" s="192">
        <v>80111600</v>
      </c>
      <c r="F409" s="191" t="s">
        <v>326</v>
      </c>
      <c r="G409" s="193">
        <v>44927</v>
      </c>
      <c r="H409" s="193">
        <v>44941</v>
      </c>
      <c r="I409" s="191">
        <v>9</v>
      </c>
      <c r="J409" s="191" t="s">
        <v>20</v>
      </c>
      <c r="K409" s="195" t="s">
        <v>21</v>
      </c>
      <c r="L409" s="191" t="s">
        <v>27</v>
      </c>
      <c r="M409" s="214">
        <f>49500000-9000000</f>
        <v>40500000</v>
      </c>
      <c r="N409" s="192" t="s">
        <v>28</v>
      </c>
      <c r="O409" s="192" t="s">
        <v>29</v>
      </c>
      <c r="P409" s="192" t="s">
        <v>24</v>
      </c>
    </row>
    <row r="410" spans="1:16" ht="90" x14ac:dyDescent="0.3">
      <c r="A410" s="2">
        <v>2023370</v>
      </c>
      <c r="B410" s="2">
        <v>7655</v>
      </c>
      <c r="C410" s="3" t="s">
        <v>25</v>
      </c>
      <c r="D410" s="191" t="s">
        <v>319</v>
      </c>
      <c r="E410" s="192">
        <v>80111600</v>
      </c>
      <c r="F410" s="191" t="s">
        <v>327</v>
      </c>
      <c r="G410" s="193">
        <v>44927</v>
      </c>
      <c r="H410" s="193">
        <v>44941</v>
      </c>
      <c r="I410" s="191">
        <v>11</v>
      </c>
      <c r="J410" s="191" t="s">
        <v>20</v>
      </c>
      <c r="K410" s="195" t="s">
        <v>21</v>
      </c>
      <c r="L410" s="191" t="s">
        <v>27</v>
      </c>
      <c r="M410" s="214">
        <v>99000000</v>
      </c>
      <c r="N410" s="192" t="s">
        <v>28</v>
      </c>
      <c r="O410" s="192" t="s">
        <v>29</v>
      </c>
      <c r="P410" s="192" t="s">
        <v>24</v>
      </c>
    </row>
    <row r="411" spans="1:16" ht="60" x14ac:dyDescent="0.3">
      <c r="A411" s="2">
        <v>2023371</v>
      </c>
      <c r="B411" s="2">
        <v>7655</v>
      </c>
      <c r="C411" s="3" t="s">
        <v>25</v>
      </c>
      <c r="D411" s="191" t="s">
        <v>319</v>
      </c>
      <c r="E411" s="192">
        <v>80111600</v>
      </c>
      <c r="F411" s="191" t="s">
        <v>328</v>
      </c>
      <c r="G411" s="193">
        <v>44927</v>
      </c>
      <c r="H411" s="193">
        <v>44941</v>
      </c>
      <c r="I411" s="191">
        <v>9</v>
      </c>
      <c r="J411" s="191" t="s">
        <v>20</v>
      </c>
      <c r="K411" s="195" t="s">
        <v>21</v>
      </c>
      <c r="L411" s="191" t="s">
        <v>27</v>
      </c>
      <c r="M411" s="214">
        <f>42350000-7700000</f>
        <v>34650000</v>
      </c>
      <c r="N411" s="192" t="s">
        <v>28</v>
      </c>
      <c r="O411" s="192" t="s">
        <v>29</v>
      </c>
      <c r="P411" s="192" t="s">
        <v>24</v>
      </c>
    </row>
    <row r="412" spans="1:16" ht="60" x14ac:dyDescent="0.3">
      <c r="A412" s="2">
        <v>2023374</v>
      </c>
      <c r="B412" s="2">
        <v>7655</v>
      </c>
      <c r="C412" s="3" t="s">
        <v>25</v>
      </c>
      <c r="D412" s="191" t="s">
        <v>319</v>
      </c>
      <c r="E412" s="192">
        <v>80111600</v>
      </c>
      <c r="F412" s="191" t="s">
        <v>329</v>
      </c>
      <c r="G412" s="193">
        <v>44927</v>
      </c>
      <c r="H412" s="193">
        <v>44941</v>
      </c>
      <c r="I412" s="191">
        <v>9</v>
      </c>
      <c r="J412" s="191" t="s">
        <v>20</v>
      </c>
      <c r="K412" s="195" t="s">
        <v>21</v>
      </c>
      <c r="L412" s="191" t="s">
        <v>27</v>
      </c>
      <c r="M412" s="214">
        <f>60000000-7382800-7617200</f>
        <v>45000000</v>
      </c>
      <c r="N412" s="192" t="s">
        <v>28</v>
      </c>
      <c r="O412" s="192" t="s">
        <v>29</v>
      </c>
      <c r="P412" s="192" t="s">
        <v>24</v>
      </c>
    </row>
    <row r="413" spans="1:16" ht="90" x14ac:dyDescent="0.3">
      <c r="A413" s="2">
        <v>2023375</v>
      </c>
      <c r="B413" s="2">
        <v>7655</v>
      </c>
      <c r="C413" s="3" t="s">
        <v>25</v>
      </c>
      <c r="D413" s="191" t="s">
        <v>319</v>
      </c>
      <c r="E413" s="192">
        <v>80111600</v>
      </c>
      <c r="F413" s="191" t="s">
        <v>330</v>
      </c>
      <c r="G413" s="193">
        <v>44927</v>
      </c>
      <c r="H413" s="193">
        <v>44941</v>
      </c>
      <c r="I413" s="191">
        <v>9</v>
      </c>
      <c r="J413" s="191" t="s">
        <v>20</v>
      </c>
      <c r="K413" s="195" t="s">
        <v>21</v>
      </c>
      <c r="L413" s="191" t="s">
        <v>50</v>
      </c>
      <c r="M413" s="214">
        <v>49500000</v>
      </c>
      <c r="N413" s="192" t="s">
        <v>28</v>
      </c>
      <c r="O413" s="192" t="s">
        <v>29</v>
      </c>
      <c r="P413" s="192" t="s">
        <v>24</v>
      </c>
    </row>
    <row r="414" spans="1:16" ht="60" x14ac:dyDescent="0.3">
      <c r="A414" s="2">
        <v>2023376</v>
      </c>
      <c r="B414" s="2">
        <v>7655</v>
      </c>
      <c r="C414" s="3" t="s">
        <v>25</v>
      </c>
      <c r="D414" s="191" t="s">
        <v>319</v>
      </c>
      <c r="E414" s="192">
        <v>80111600</v>
      </c>
      <c r="F414" s="191" t="s">
        <v>331</v>
      </c>
      <c r="G414" s="193">
        <v>44941</v>
      </c>
      <c r="H414" s="193">
        <v>44941</v>
      </c>
      <c r="I414" s="191">
        <v>10</v>
      </c>
      <c r="J414" s="191" t="s">
        <v>20</v>
      </c>
      <c r="K414" s="195" t="s">
        <v>21</v>
      </c>
      <c r="L414" s="191" t="s">
        <v>27</v>
      </c>
      <c r="M414" s="214">
        <v>65000000</v>
      </c>
      <c r="N414" s="192" t="s">
        <v>28</v>
      </c>
      <c r="O414" s="192" t="s">
        <v>29</v>
      </c>
      <c r="P414" s="192" t="s">
        <v>24</v>
      </c>
    </row>
    <row r="415" spans="1:16" ht="60" x14ac:dyDescent="0.3">
      <c r="A415" s="2">
        <v>2023377</v>
      </c>
      <c r="B415" s="2">
        <v>7655</v>
      </c>
      <c r="C415" s="3" t="s">
        <v>25</v>
      </c>
      <c r="D415" s="191" t="s">
        <v>319</v>
      </c>
      <c r="E415" s="192">
        <v>80111600</v>
      </c>
      <c r="F415" s="191" t="s">
        <v>332</v>
      </c>
      <c r="G415" s="193">
        <v>44941</v>
      </c>
      <c r="H415" s="193">
        <v>44941</v>
      </c>
      <c r="I415" s="191">
        <v>4</v>
      </c>
      <c r="J415" s="191" t="s">
        <v>20</v>
      </c>
      <c r="K415" s="195" t="s">
        <v>21</v>
      </c>
      <c r="L415" s="191" t="s">
        <v>27</v>
      </c>
      <c r="M415" s="214">
        <f>24500000-14700000</f>
        <v>9800000</v>
      </c>
      <c r="N415" s="192" t="s">
        <v>28</v>
      </c>
      <c r="O415" s="192" t="s">
        <v>29</v>
      </c>
      <c r="P415" s="192" t="s">
        <v>24</v>
      </c>
    </row>
    <row r="416" spans="1:16" ht="60" x14ac:dyDescent="0.3">
      <c r="A416" s="2">
        <v>2023379</v>
      </c>
      <c r="B416" s="2">
        <v>7655</v>
      </c>
      <c r="C416" s="3" t="s">
        <v>25</v>
      </c>
      <c r="D416" s="191" t="s">
        <v>319</v>
      </c>
      <c r="E416" s="192">
        <v>80111600</v>
      </c>
      <c r="F416" s="191" t="s">
        <v>333</v>
      </c>
      <c r="G416" s="193">
        <v>44927</v>
      </c>
      <c r="H416" s="193">
        <v>44941</v>
      </c>
      <c r="I416" s="191">
        <v>9</v>
      </c>
      <c r="J416" s="191" t="s">
        <v>20</v>
      </c>
      <c r="K416" s="195" t="s">
        <v>21</v>
      </c>
      <c r="L416" s="191" t="s">
        <v>27</v>
      </c>
      <c r="M416" s="214">
        <f>26950000-4900000</f>
        <v>22050000</v>
      </c>
      <c r="N416" s="192" t="s">
        <v>28</v>
      </c>
      <c r="O416" s="192" t="s">
        <v>29</v>
      </c>
      <c r="P416" s="192" t="s">
        <v>24</v>
      </c>
    </row>
    <row r="417" spans="1:16" ht="60" x14ac:dyDescent="0.3">
      <c r="A417" s="2">
        <v>2023380</v>
      </c>
      <c r="B417" s="2">
        <v>7655</v>
      </c>
      <c r="C417" s="3" t="s">
        <v>25</v>
      </c>
      <c r="D417" s="191" t="s">
        <v>319</v>
      </c>
      <c r="E417" s="192">
        <v>80111600</v>
      </c>
      <c r="F417" s="191" t="s">
        <v>333</v>
      </c>
      <c r="G417" s="193">
        <v>44927</v>
      </c>
      <c r="H417" s="193">
        <v>44941</v>
      </c>
      <c r="I417" s="191">
        <v>9</v>
      </c>
      <c r="J417" s="191" t="s">
        <v>20</v>
      </c>
      <c r="K417" s="195" t="s">
        <v>21</v>
      </c>
      <c r="L417" s="191" t="s">
        <v>27</v>
      </c>
      <c r="M417" s="214">
        <f>26950000-4900000</f>
        <v>22050000</v>
      </c>
      <c r="N417" s="192" t="s">
        <v>28</v>
      </c>
      <c r="O417" s="192" t="s">
        <v>29</v>
      </c>
      <c r="P417" s="192" t="s">
        <v>24</v>
      </c>
    </row>
    <row r="418" spans="1:16" ht="60" x14ac:dyDescent="0.3">
      <c r="A418" s="2">
        <v>2023381</v>
      </c>
      <c r="B418" s="2">
        <v>7655</v>
      </c>
      <c r="C418" s="3" t="s">
        <v>25</v>
      </c>
      <c r="D418" s="191" t="s">
        <v>319</v>
      </c>
      <c r="E418" s="192">
        <v>80111600</v>
      </c>
      <c r="F418" s="191" t="s">
        <v>333</v>
      </c>
      <c r="G418" s="193">
        <v>44927</v>
      </c>
      <c r="H418" s="193">
        <v>44941</v>
      </c>
      <c r="I418" s="191">
        <v>9</v>
      </c>
      <c r="J418" s="191" t="s">
        <v>20</v>
      </c>
      <c r="K418" s="195" t="s">
        <v>21</v>
      </c>
      <c r="L418" s="191" t="s">
        <v>27</v>
      </c>
      <c r="M418" s="214">
        <f>26950000-4900000</f>
        <v>22050000</v>
      </c>
      <c r="N418" s="192" t="s">
        <v>28</v>
      </c>
      <c r="O418" s="192" t="s">
        <v>29</v>
      </c>
      <c r="P418" s="192" t="s">
        <v>24</v>
      </c>
    </row>
    <row r="419" spans="1:16" ht="60" x14ac:dyDescent="0.3">
      <c r="A419" s="2">
        <v>2023382</v>
      </c>
      <c r="B419" s="2">
        <v>7655</v>
      </c>
      <c r="C419" s="3" t="s">
        <v>25</v>
      </c>
      <c r="D419" s="191" t="s">
        <v>319</v>
      </c>
      <c r="E419" s="192">
        <v>80111600</v>
      </c>
      <c r="F419" s="191" t="s">
        <v>334</v>
      </c>
      <c r="G419" s="193">
        <v>44927</v>
      </c>
      <c r="H419" s="193">
        <v>44941</v>
      </c>
      <c r="I419" s="191">
        <v>9</v>
      </c>
      <c r="J419" s="191" t="s">
        <v>20</v>
      </c>
      <c r="K419" s="195" t="s">
        <v>21</v>
      </c>
      <c r="L419" s="191" t="s">
        <v>27</v>
      </c>
      <c r="M419" s="214">
        <f>26950000-4900000</f>
        <v>22050000</v>
      </c>
      <c r="N419" s="192" t="s">
        <v>28</v>
      </c>
      <c r="O419" s="192" t="s">
        <v>29</v>
      </c>
      <c r="P419" s="192" t="s">
        <v>24</v>
      </c>
    </row>
    <row r="420" spans="1:16" ht="60" x14ac:dyDescent="0.3">
      <c r="A420" s="2">
        <v>2023383</v>
      </c>
      <c r="B420" s="2">
        <v>7655</v>
      </c>
      <c r="C420" s="3" t="s">
        <v>25</v>
      </c>
      <c r="D420" s="191" t="s">
        <v>319</v>
      </c>
      <c r="E420" s="192">
        <v>80111600</v>
      </c>
      <c r="F420" s="191" t="s">
        <v>334</v>
      </c>
      <c r="G420" s="193">
        <v>44927</v>
      </c>
      <c r="H420" s="193">
        <v>44941</v>
      </c>
      <c r="I420" s="191">
        <v>9</v>
      </c>
      <c r="J420" s="191" t="s">
        <v>20</v>
      </c>
      <c r="K420" s="195" t="s">
        <v>21</v>
      </c>
      <c r="L420" s="191" t="s">
        <v>27</v>
      </c>
      <c r="M420" s="214">
        <f>26950000-4900000</f>
        <v>22050000</v>
      </c>
      <c r="N420" s="192" t="s">
        <v>28</v>
      </c>
      <c r="O420" s="192" t="s">
        <v>29</v>
      </c>
      <c r="P420" s="192" t="s">
        <v>24</v>
      </c>
    </row>
    <row r="421" spans="1:16" ht="60" x14ac:dyDescent="0.3">
      <c r="A421" s="2">
        <v>2023384</v>
      </c>
      <c r="B421" s="2">
        <v>7655</v>
      </c>
      <c r="C421" s="3" t="s">
        <v>25</v>
      </c>
      <c r="D421" s="191" t="s">
        <v>319</v>
      </c>
      <c r="E421" s="192">
        <v>80111600</v>
      </c>
      <c r="F421" s="191" t="s">
        <v>334</v>
      </c>
      <c r="G421" s="193">
        <v>44927</v>
      </c>
      <c r="H421" s="193">
        <v>44941</v>
      </c>
      <c r="I421" s="191">
        <v>8</v>
      </c>
      <c r="J421" s="191" t="s">
        <v>20</v>
      </c>
      <c r="K421" s="195" t="s">
        <v>21</v>
      </c>
      <c r="L421" s="191" t="s">
        <v>27</v>
      </c>
      <c r="M421" s="214">
        <f>26950000-7350000</f>
        <v>19600000</v>
      </c>
      <c r="N421" s="192" t="s">
        <v>28</v>
      </c>
      <c r="O421" s="192" t="s">
        <v>29</v>
      </c>
      <c r="P421" s="192" t="s">
        <v>24</v>
      </c>
    </row>
    <row r="422" spans="1:16" ht="60" x14ac:dyDescent="0.3">
      <c r="A422" s="2">
        <v>2023385</v>
      </c>
      <c r="B422" s="2">
        <v>7655</v>
      </c>
      <c r="C422" s="3" t="s">
        <v>25</v>
      </c>
      <c r="D422" s="191" t="s">
        <v>319</v>
      </c>
      <c r="E422" s="192">
        <v>80111600</v>
      </c>
      <c r="F422" s="191" t="s">
        <v>334</v>
      </c>
      <c r="G422" s="193">
        <v>44927</v>
      </c>
      <c r="H422" s="193">
        <v>44941</v>
      </c>
      <c r="I422" s="191">
        <v>5</v>
      </c>
      <c r="J422" s="191" t="s">
        <v>20</v>
      </c>
      <c r="K422" s="195" t="s">
        <v>21</v>
      </c>
      <c r="L422" s="191" t="s">
        <v>27</v>
      </c>
      <c r="M422" s="214">
        <f>14700000-2450000</f>
        <v>12250000</v>
      </c>
      <c r="N422" s="192" t="s">
        <v>28</v>
      </c>
      <c r="O422" s="192" t="s">
        <v>29</v>
      </c>
      <c r="P422" s="192" t="s">
        <v>24</v>
      </c>
    </row>
    <row r="423" spans="1:16" ht="60" x14ac:dyDescent="0.3">
      <c r="A423" s="2">
        <v>2023386</v>
      </c>
      <c r="B423" s="2">
        <v>7655</v>
      </c>
      <c r="C423" s="3" t="s">
        <v>25</v>
      </c>
      <c r="D423" s="191" t="s">
        <v>319</v>
      </c>
      <c r="E423" s="192">
        <v>80111600</v>
      </c>
      <c r="F423" s="191" t="s">
        <v>335</v>
      </c>
      <c r="G423" s="193">
        <v>44927</v>
      </c>
      <c r="H423" s="193">
        <v>44941</v>
      </c>
      <c r="I423" s="191">
        <v>9</v>
      </c>
      <c r="J423" s="191" t="s">
        <v>20</v>
      </c>
      <c r="K423" s="195" t="s">
        <v>21</v>
      </c>
      <c r="L423" s="191" t="s">
        <v>27</v>
      </c>
      <c r="M423" s="214">
        <f>36850000-14800000</f>
        <v>22050000</v>
      </c>
      <c r="N423" s="192" t="s">
        <v>28</v>
      </c>
      <c r="O423" s="192" t="s">
        <v>29</v>
      </c>
      <c r="P423" s="192" t="s">
        <v>24</v>
      </c>
    </row>
    <row r="424" spans="1:16" ht="60" x14ac:dyDescent="0.3">
      <c r="A424" s="2">
        <v>2023387</v>
      </c>
      <c r="B424" s="2">
        <v>7655</v>
      </c>
      <c r="C424" s="3" t="s">
        <v>25</v>
      </c>
      <c r="D424" s="191" t="s">
        <v>319</v>
      </c>
      <c r="E424" s="192">
        <v>80111600</v>
      </c>
      <c r="F424" s="191" t="s">
        <v>334</v>
      </c>
      <c r="G424" s="193">
        <v>44927</v>
      </c>
      <c r="H424" s="193">
        <v>44941</v>
      </c>
      <c r="I424" s="191">
        <v>9</v>
      </c>
      <c r="J424" s="191" t="s">
        <v>20</v>
      </c>
      <c r="K424" s="195" t="s">
        <v>21</v>
      </c>
      <c r="L424" s="191" t="s">
        <v>27</v>
      </c>
      <c r="M424" s="214">
        <f>26950000-4900000</f>
        <v>22050000</v>
      </c>
      <c r="N424" s="192" t="s">
        <v>28</v>
      </c>
      <c r="O424" s="192" t="s">
        <v>29</v>
      </c>
      <c r="P424" s="192" t="s">
        <v>24</v>
      </c>
    </row>
    <row r="425" spans="1:16" ht="60" x14ac:dyDescent="0.3">
      <c r="A425" s="2">
        <v>2023388</v>
      </c>
      <c r="B425" s="2">
        <v>7655</v>
      </c>
      <c r="C425" s="3" t="s">
        <v>25</v>
      </c>
      <c r="D425" s="191" t="s">
        <v>319</v>
      </c>
      <c r="E425" s="192">
        <v>80111600</v>
      </c>
      <c r="F425" s="191" t="s">
        <v>333</v>
      </c>
      <c r="G425" s="193">
        <v>44927</v>
      </c>
      <c r="H425" s="193">
        <v>44941</v>
      </c>
      <c r="I425" s="191">
        <v>9</v>
      </c>
      <c r="J425" s="191" t="s">
        <v>20</v>
      </c>
      <c r="K425" s="195" t="s">
        <v>21</v>
      </c>
      <c r="L425" s="191" t="s">
        <v>27</v>
      </c>
      <c r="M425" s="214">
        <f>26950000-4900000</f>
        <v>22050000</v>
      </c>
      <c r="N425" s="192" t="s">
        <v>28</v>
      </c>
      <c r="O425" s="192" t="s">
        <v>29</v>
      </c>
      <c r="P425" s="192" t="s">
        <v>24</v>
      </c>
    </row>
    <row r="426" spans="1:16" ht="60" x14ac:dyDescent="0.3">
      <c r="A426" s="2">
        <v>2023389</v>
      </c>
      <c r="B426" s="2">
        <v>7655</v>
      </c>
      <c r="C426" s="3" t="s">
        <v>25</v>
      </c>
      <c r="D426" s="191" t="s">
        <v>319</v>
      </c>
      <c r="E426" s="192">
        <v>80111600</v>
      </c>
      <c r="F426" s="191" t="s">
        <v>334</v>
      </c>
      <c r="G426" s="193">
        <v>44927</v>
      </c>
      <c r="H426" s="193">
        <v>44941</v>
      </c>
      <c r="I426" s="191">
        <v>9</v>
      </c>
      <c r="J426" s="191" t="s">
        <v>20</v>
      </c>
      <c r="K426" s="195" t="s">
        <v>21</v>
      </c>
      <c r="L426" s="191" t="s">
        <v>27</v>
      </c>
      <c r="M426" s="214">
        <f>26950000-4900000-21560000</f>
        <v>490000</v>
      </c>
      <c r="N426" s="192" t="s">
        <v>28</v>
      </c>
      <c r="O426" s="192" t="s">
        <v>29</v>
      </c>
      <c r="P426" s="192" t="s">
        <v>24</v>
      </c>
    </row>
    <row r="427" spans="1:16" ht="60" x14ac:dyDescent="0.3">
      <c r="A427" s="2">
        <v>2023390</v>
      </c>
      <c r="B427" s="2">
        <v>7655</v>
      </c>
      <c r="C427" s="3" t="s">
        <v>25</v>
      </c>
      <c r="D427" s="191" t="s">
        <v>319</v>
      </c>
      <c r="E427" s="192">
        <v>80111600</v>
      </c>
      <c r="F427" s="191" t="s">
        <v>334</v>
      </c>
      <c r="G427" s="193">
        <v>44927</v>
      </c>
      <c r="H427" s="193">
        <v>44941</v>
      </c>
      <c r="I427" s="191">
        <v>9</v>
      </c>
      <c r="J427" s="191" t="s">
        <v>20</v>
      </c>
      <c r="K427" s="195" t="s">
        <v>21</v>
      </c>
      <c r="L427" s="191" t="s">
        <v>27</v>
      </c>
      <c r="M427" s="214">
        <f>26950000-4900000</f>
        <v>22050000</v>
      </c>
      <c r="N427" s="192" t="s">
        <v>28</v>
      </c>
      <c r="O427" s="192" t="s">
        <v>29</v>
      </c>
      <c r="P427" s="192" t="s">
        <v>24</v>
      </c>
    </row>
    <row r="428" spans="1:16" ht="60" x14ac:dyDescent="0.3">
      <c r="A428" s="2">
        <v>2023391</v>
      </c>
      <c r="B428" s="2">
        <v>7655</v>
      </c>
      <c r="C428" s="3" t="s">
        <v>25</v>
      </c>
      <c r="D428" s="191" t="s">
        <v>319</v>
      </c>
      <c r="E428" s="192">
        <v>80111600</v>
      </c>
      <c r="F428" s="191" t="s">
        <v>333</v>
      </c>
      <c r="G428" s="193">
        <v>44927</v>
      </c>
      <c r="H428" s="193">
        <v>44941</v>
      </c>
      <c r="I428" s="191">
        <v>9</v>
      </c>
      <c r="J428" s="191" t="s">
        <v>20</v>
      </c>
      <c r="K428" s="195" t="s">
        <v>21</v>
      </c>
      <c r="L428" s="191" t="s">
        <v>27</v>
      </c>
      <c r="M428" s="214">
        <f>26950000-4900000</f>
        <v>22050000</v>
      </c>
      <c r="N428" s="192" t="s">
        <v>28</v>
      </c>
      <c r="O428" s="192" t="s">
        <v>29</v>
      </c>
      <c r="P428" s="192" t="s">
        <v>24</v>
      </c>
    </row>
    <row r="429" spans="1:16" ht="60" x14ac:dyDescent="0.3">
      <c r="A429" s="2">
        <v>2023392</v>
      </c>
      <c r="B429" s="2">
        <v>7655</v>
      </c>
      <c r="C429" s="3" t="s">
        <v>25</v>
      </c>
      <c r="D429" s="191" t="s">
        <v>319</v>
      </c>
      <c r="E429" s="192">
        <v>80111600</v>
      </c>
      <c r="F429" s="191" t="s">
        <v>336</v>
      </c>
      <c r="G429" s="193">
        <v>44927</v>
      </c>
      <c r="H429" s="193">
        <v>44941</v>
      </c>
      <c r="I429" s="191">
        <v>9</v>
      </c>
      <c r="J429" s="191" t="s">
        <v>20</v>
      </c>
      <c r="K429" s="195" t="s">
        <v>21</v>
      </c>
      <c r="L429" s="191" t="s">
        <v>27</v>
      </c>
      <c r="M429" s="214">
        <f>80300000-14600000</f>
        <v>65700000</v>
      </c>
      <c r="N429" s="192" t="s">
        <v>28</v>
      </c>
      <c r="O429" s="192" t="s">
        <v>29</v>
      </c>
      <c r="P429" s="192" t="s">
        <v>24</v>
      </c>
    </row>
    <row r="430" spans="1:16" ht="60" x14ac:dyDescent="0.3">
      <c r="A430" s="2">
        <v>2023393</v>
      </c>
      <c r="B430" s="2">
        <v>7655</v>
      </c>
      <c r="C430" s="3" t="s">
        <v>25</v>
      </c>
      <c r="D430" s="191" t="s">
        <v>319</v>
      </c>
      <c r="E430" s="192">
        <v>80111600</v>
      </c>
      <c r="F430" s="191" t="s">
        <v>334</v>
      </c>
      <c r="G430" s="193">
        <v>44927</v>
      </c>
      <c r="H430" s="193">
        <v>44941</v>
      </c>
      <c r="I430" s="191">
        <v>9</v>
      </c>
      <c r="J430" s="191" t="s">
        <v>20</v>
      </c>
      <c r="K430" s="195" t="s">
        <v>21</v>
      </c>
      <c r="L430" s="191" t="s">
        <v>27</v>
      </c>
      <c r="M430" s="214">
        <f>26950000-4900000</f>
        <v>22050000</v>
      </c>
      <c r="N430" s="192" t="s">
        <v>28</v>
      </c>
      <c r="O430" s="192" t="s">
        <v>29</v>
      </c>
      <c r="P430" s="192" t="s">
        <v>24</v>
      </c>
    </row>
    <row r="431" spans="1:16" ht="60" x14ac:dyDescent="0.3">
      <c r="A431" s="2">
        <v>2023394</v>
      </c>
      <c r="B431" s="2">
        <v>7655</v>
      </c>
      <c r="C431" s="3" t="s">
        <v>25</v>
      </c>
      <c r="D431" s="191" t="s">
        <v>319</v>
      </c>
      <c r="E431" s="192">
        <v>80111600</v>
      </c>
      <c r="F431" s="191" t="s">
        <v>334</v>
      </c>
      <c r="G431" s="193">
        <v>44927</v>
      </c>
      <c r="H431" s="193">
        <v>44941</v>
      </c>
      <c r="I431" s="191">
        <v>10</v>
      </c>
      <c r="J431" s="191" t="s">
        <v>20</v>
      </c>
      <c r="K431" s="195" t="s">
        <v>21</v>
      </c>
      <c r="L431" s="191" t="s">
        <v>27</v>
      </c>
      <c r="M431" s="214">
        <f>26950000-2450000</f>
        <v>24500000</v>
      </c>
      <c r="N431" s="192" t="s">
        <v>28</v>
      </c>
      <c r="O431" s="192" t="s">
        <v>29</v>
      </c>
      <c r="P431" s="192" t="s">
        <v>24</v>
      </c>
    </row>
    <row r="432" spans="1:16" ht="60" x14ac:dyDescent="0.3">
      <c r="A432" s="2">
        <v>2023396</v>
      </c>
      <c r="B432" s="2">
        <v>7655</v>
      </c>
      <c r="C432" s="3" t="s">
        <v>25</v>
      </c>
      <c r="D432" s="191" t="s">
        <v>319</v>
      </c>
      <c r="E432" s="192">
        <v>80111600</v>
      </c>
      <c r="F432" s="191" t="s">
        <v>334</v>
      </c>
      <c r="G432" s="193">
        <v>44927</v>
      </c>
      <c r="H432" s="193">
        <v>44941</v>
      </c>
      <c r="I432" s="191">
        <v>5</v>
      </c>
      <c r="J432" s="191" t="s">
        <v>20</v>
      </c>
      <c r="K432" s="195" t="s">
        <v>21</v>
      </c>
      <c r="L432" s="191" t="s">
        <v>27</v>
      </c>
      <c r="M432" s="214">
        <f>26950000-2294080-5246427-7159493</f>
        <v>12250000</v>
      </c>
      <c r="N432" s="192" t="s">
        <v>28</v>
      </c>
      <c r="O432" s="192" t="s">
        <v>29</v>
      </c>
      <c r="P432" s="192" t="s">
        <v>24</v>
      </c>
    </row>
    <row r="433" spans="1:16" ht="60" x14ac:dyDescent="0.3">
      <c r="A433" s="2">
        <v>2023397</v>
      </c>
      <c r="B433" s="2">
        <v>7655</v>
      </c>
      <c r="C433" s="3" t="s">
        <v>25</v>
      </c>
      <c r="D433" s="191" t="s">
        <v>319</v>
      </c>
      <c r="E433" s="192">
        <v>80111600</v>
      </c>
      <c r="F433" s="191" t="s">
        <v>337</v>
      </c>
      <c r="G433" s="193">
        <v>44927</v>
      </c>
      <c r="H433" s="193">
        <v>44941</v>
      </c>
      <c r="I433" s="191">
        <v>9</v>
      </c>
      <c r="J433" s="191" t="s">
        <v>20</v>
      </c>
      <c r="K433" s="195" t="s">
        <v>21</v>
      </c>
      <c r="L433" s="191" t="s">
        <v>27</v>
      </c>
      <c r="M433" s="214">
        <f>56350000-5635000</f>
        <v>50715000</v>
      </c>
      <c r="N433" s="192" t="s">
        <v>28</v>
      </c>
      <c r="O433" s="192" t="s">
        <v>29</v>
      </c>
      <c r="P433" s="192" t="s">
        <v>24</v>
      </c>
    </row>
    <row r="434" spans="1:16" ht="90" x14ac:dyDescent="0.3">
      <c r="A434" s="2">
        <v>2023399</v>
      </c>
      <c r="B434" s="2">
        <v>7658</v>
      </c>
      <c r="C434" s="3" t="s">
        <v>142</v>
      </c>
      <c r="D434" s="191" t="s">
        <v>319</v>
      </c>
      <c r="E434" s="192" t="s">
        <v>338</v>
      </c>
      <c r="F434" s="191" t="s">
        <v>339</v>
      </c>
      <c r="G434" s="193">
        <v>45015</v>
      </c>
      <c r="H434" s="193">
        <v>45031</v>
      </c>
      <c r="I434" s="191">
        <v>8</v>
      </c>
      <c r="J434" s="191" t="s">
        <v>118</v>
      </c>
      <c r="K434" s="195" t="s">
        <v>21</v>
      </c>
      <c r="L434" s="191" t="s">
        <v>234</v>
      </c>
      <c r="M434" s="188">
        <f>40000000-8000000-12000000</f>
        <v>20000000</v>
      </c>
      <c r="N434" s="192" t="s">
        <v>340</v>
      </c>
      <c r="O434" s="192" t="s">
        <v>163</v>
      </c>
      <c r="P434" s="192" t="s">
        <v>24</v>
      </c>
    </row>
    <row r="435" spans="1:16" ht="90" x14ac:dyDescent="0.3">
      <c r="A435" s="2">
        <v>2023400</v>
      </c>
      <c r="B435" s="2">
        <v>7658</v>
      </c>
      <c r="C435" s="3" t="s">
        <v>142</v>
      </c>
      <c r="D435" s="191" t="s">
        <v>319</v>
      </c>
      <c r="E435" s="192" t="s">
        <v>341</v>
      </c>
      <c r="F435" s="191" t="s">
        <v>342</v>
      </c>
      <c r="G435" s="193">
        <v>44985</v>
      </c>
      <c r="H435" s="193">
        <v>45000</v>
      </c>
      <c r="I435" s="191">
        <v>12</v>
      </c>
      <c r="J435" s="191" t="s">
        <v>118</v>
      </c>
      <c r="K435" s="195" t="s">
        <v>21</v>
      </c>
      <c r="L435" s="191" t="s">
        <v>234</v>
      </c>
      <c r="M435" s="188">
        <f>40000000-8000000</f>
        <v>32000000</v>
      </c>
      <c r="N435" s="192" t="s">
        <v>340</v>
      </c>
      <c r="O435" s="192" t="s">
        <v>163</v>
      </c>
      <c r="P435" s="192" t="s">
        <v>24</v>
      </c>
    </row>
    <row r="436" spans="1:16" ht="90" x14ac:dyDescent="0.3">
      <c r="A436" s="2">
        <v>2023401</v>
      </c>
      <c r="B436" s="2">
        <v>7658</v>
      </c>
      <c r="C436" s="3" t="s">
        <v>142</v>
      </c>
      <c r="D436" s="191" t="s">
        <v>319</v>
      </c>
      <c r="E436" s="192" t="s">
        <v>343</v>
      </c>
      <c r="F436" s="191" t="s">
        <v>344</v>
      </c>
      <c r="G436" s="193">
        <v>45015</v>
      </c>
      <c r="H436" s="193">
        <v>45031</v>
      </c>
      <c r="I436" s="191">
        <v>12</v>
      </c>
      <c r="J436" s="191" t="s">
        <v>154</v>
      </c>
      <c r="K436" s="195" t="s">
        <v>21</v>
      </c>
      <c r="L436" s="191" t="s">
        <v>234</v>
      </c>
      <c r="M436" s="188">
        <v>50000000</v>
      </c>
      <c r="N436" s="192" t="s">
        <v>340</v>
      </c>
      <c r="O436" s="192" t="s">
        <v>163</v>
      </c>
      <c r="P436" s="192" t="s">
        <v>24</v>
      </c>
    </row>
    <row r="437" spans="1:16" ht="90" x14ac:dyDescent="0.3">
      <c r="A437" s="2">
        <v>2023402</v>
      </c>
      <c r="B437" s="2">
        <v>7658</v>
      </c>
      <c r="C437" s="3" t="s">
        <v>142</v>
      </c>
      <c r="D437" s="191" t="s">
        <v>319</v>
      </c>
      <c r="E437" s="192" t="s">
        <v>345</v>
      </c>
      <c r="F437" s="191" t="s">
        <v>346</v>
      </c>
      <c r="G437" s="193">
        <v>45046</v>
      </c>
      <c r="H437" s="193">
        <v>45031</v>
      </c>
      <c r="I437" s="191">
        <v>12</v>
      </c>
      <c r="J437" s="191" t="s">
        <v>118</v>
      </c>
      <c r="K437" s="195" t="s">
        <v>21</v>
      </c>
      <c r="L437" s="191" t="s">
        <v>234</v>
      </c>
      <c r="M437" s="188">
        <v>20000000</v>
      </c>
      <c r="N437" s="192" t="s">
        <v>340</v>
      </c>
      <c r="O437" s="192" t="s">
        <v>163</v>
      </c>
      <c r="P437" s="192" t="s">
        <v>24</v>
      </c>
    </row>
    <row r="438" spans="1:16" ht="90" x14ac:dyDescent="0.3">
      <c r="A438" s="2">
        <v>2023403</v>
      </c>
      <c r="B438" s="2">
        <v>7658</v>
      </c>
      <c r="C438" s="3" t="s">
        <v>142</v>
      </c>
      <c r="D438" s="191" t="s">
        <v>319</v>
      </c>
      <c r="E438" s="192" t="s">
        <v>813</v>
      </c>
      <c r="F438" s="191" t="s">
        <v>348</v>
      </c>
      <c r="G438" s="193">
        <v>44985</v>
      </c>
      <c r="H438" s="193">
        <v>45031</v>
      </c>
      <c r="I438" s="191">
        <v>12</v>
      </c>
      <c r="J438" s="191" t="s">
        <v>118</v>
      </c>
      <c r="K438" s="195" t="s">
        <v>21</v>
      </c>
      <c r="L438" s="191" t="s">
        <v>234</v>
      </c>
      <c r="M438" s="188">
        <f>50000000-20000000</f>
        <v>30000000</v>
      </c>
      <c r="N438" s="192" t="s">
        <v>340</v>
      </c>
      <c r="O438" s="192" t="s">
        <v>163</v>
      </c>
      <c r="P438" s="192" t="s">
        <v>24</v>
      </c>
    </row>
    <row r="439" spans="1:16" ht="90" x14ac:dyDescent="0.3">
      <c r="A439" s="2">
        <v>2023404</v>
      </c>
      <c r="B439" s="2">
        <v>7658</v>
      </c>
      <c r="C439" s="3" t="s">
        <v>142</v>
      </c>
      <c r="D439" s="191" t="s">
        <v>319</v>
      </c>
      <c r="E439" s="192" t="s">
        <v>349</v>
      </c>
      <c r="F439" s="191" t="s">
        <v>683</v>
      </c>
      <c r="G439" s="193">
        <v>45015</v>
      </c>
      <c r="H439" s="193">
        <v>45031</v>
      </c>
      <c r="I439" s="191">
        <v>6</v>
      </c>
      <c r="J439" s="191" t="s">
        <v>154</v>
      </c>
      <c r="K439" s="195" t="s">
        <v>21</v>
      </c>
      <c r="L439" s="191" t="s">
        <v>234</v>
      </c>
      <c r="M439" s="188">
        <f>80000000+8000000+8000000+12000000+20000000-8000000-27050000</f>
        <v>92950000</v>
      </c>
      <c r="N439" s="192" t="s">
        <v>340</v>
      </c>
      <c r="O439" s="192" t="s">
        <v>163</v>
      </c>
      <c r="P439" s="192" t="s">
        <v>24</v>
      </c>
    </row>
    <row r="440" spans="1:16" ht="90" x14ac:dyDescent="0.3">
      <c r="A440" s="2">
        <v>2023405</v>
      </c>
      <c r="B440" s="2">
        <v>7658</v>
      </c>
      <c r="C440" s="3" t="s">
        <v>142</v>
      </c>
      <c r="D440" s="191" t="s">
        <v>319</v>
      </c>
      <c r="E440" s="192">
        <v>73152100</v>
      </c>
      <c r="F440" s="191" t="s">
        <v>350</v>
      </c>
      <c r="G440" s="193">
        <v>45015</v>
      </c>
      <c r="H440" s="193">
        <v>45031</v>
      </c>
      <c r="I440" s="191">
        <v>11</v>
      </c>
      <c r="J440" s="191" t="s">
        <v>118</v>
      </c>
      <c r="K440" s="195" t="s">
        <v>21</v>
      </c>
      <c r="L440" s="191" t="s">
        <v>234</v>
      </c>
      <c r="M440" s="188">
        <v>5000000</v>
      </c>
      <c r="N440" s="192" t="s">
        <v>340</v>
      </c>
      <c r="O440" s="192" t="s">
        <v>163</v>
      </c>
      <c r="P440" s="192" t="s">
        <v>24</v>
      </c>
    </row>
    <row r="441" spans="1:16" ht="90" x14ac:dyDescent="0.3">
      <c r="A441" s="2">
        <v>2023406</v>
      </c>
      <c r="B441" s="2">
        <v>7658</v>
      </c>
      <c r="C441" s="3" t="s">
        <v>142</v>
      </c>
      <c r="D441" s="191" t="s">
        <v>319</v>
      </c>
      <c r="E441" s="192" t="s">
        <v>351</v>
      </c>
      <c r="F441" s="191" t="s">
        <v>352</v>
      </c>
      <c r="G441" s="193">
        <v>44985</v>
      </c>
      <c r="H441" s="193">
        <v>45031</v>
      </c>
      <c r="I441" s="191">
        <v>10</v>
      </c>
      <c r="J441" s="191" t="s">
        <v>154</v>
      </c>
      <c r="K441" s="195" t="s">
        <v>21</v>
      </c>
      <c r="L441" s="191" t="s">
        <v>234</v>
      </c>
      <c r="M441" s="188">
        <f>40000000+8000000+52000000</f>
        <v>100000000</v>
      </c>
      <c r="N441" s="192" t="s">
        <v>340</v>
      </c>
      <c r="O441" s="192" t="s">
        <v>163</v>
      </c>
      <c r="P441" s="192" t="s">
        <v>24</v>
      </c>
    </row>
    <row r="442" spans="1:16" ht="165" x14ac:dyDescent="0.3">
      <c r="A442" s="2">
        <v>2023407</v>
      </c>
      <c r="B442" s="2">
        <v>7658</v>
      </c>
      <c r="C442" s="3" t="s">
        <v>142</v>
      </c>
      <c r="D442" s="191" t="s">
        <v>319</v>
      </c>
      <c r="E442" s="192" t="s">
        <v>353</v>
      </c>
      <c r="F442" s="191" t="s">
        <v>354</v>
      </c>
      <c r="G442" s="193">
        <v>44985</v>
      </c>
      <c r="H442" s="193">
        <v>45000</v>
      </c>
      <c r="I442" s="191">
        <v>12</v>
      </c>
      <c r="J442" s="191" t="s">
        <v>66</v>
      </c>
      <c r="K442" s="195" t="s">
        <v>21</v>
      </c>
      <c r="L442" s="191" t="s">
        <v>161</v>
      </c>
      <c r="M442" s="188">
        <v>105000000</v>
      </c>
      <c r="N442" s="192" t="s">
        <v>340</v>
      </c>
      <c r="O442" s="192" t="s">
        <v>163</v>
      </c>
      <c r="P442" s="192" t="s">
        <v>24</v>
      </c>
    </row>
    <row r="443" spans="1:16" ht="90" x14ac:dyDescent="0.3">
      <c r="A443" s="2">
        <v>2023408</v>
      </c>
      <c r="B443" s="2">
        <v>7658</v>
      </c>
      <c r="C443" s="3" t="s">
        <v>142</v>
      </c>
      <c r="D443" s="191" t="s">
        <v>319</v>
      </c>
      <c r="E443" s="192" t="s">
        <v>355</v>
      </c>
      <c r="F443" s="191" t="s">
        <v>743</v>
      </c>
      <c r="G443" s="193">
        <v>45046</v>
      </c>
      <c r="H443" s="193">
        <v>45095</v>
      </c>
      <c r="I443" s="191">
        <v>8</v>
      </c>
      <c r="J443" s="191" t="s">
        <v>154</v>
      </c>
      <c r="K443" s="195" t="s">
        <v>21</v>
      </c>
      <c r="L443" s="191" t="s">
        <v>681</v>
      </c>
      <c r="M443" s="188">
        <f>450000000-52500000-29400000-52000000-15000000+40000000+306016+18277520-59683536</f>
        <v>300000000</v>
      </c>
      <c r="N443" s="192" t="s">
        <v>340</v>
      </c>
      <c r="O443" s="192" t="s">
        <v>163</v>
      </c>
      <c r="P443" s="192" t="s">
        <v>24</v>
      </c>
    </row>
    <row r="444" spans="1:16" ht="105" x14ac:dyDescent="0.3">
      <c r="A444" s="2">
        <v>2023410</v>
      </c>
      <c r="B444" s="2">
        <v>7658</v>
      </c>
      <c r="C444" s="3" t="s">
        <v>142</v>
      </c>
      <c r="D444" s="191" t="s">
        <v>319</v>
      </c>
      <c r="E444" s="192" t="s">
        <v>358</v>
      </c>
      <c r="F444" s="191" t="s">
        <v>359</v>
      </c>
      <c r="G444" s="193">
        <v>44927</v>
      </c>
      <c r="H444" s="193">
        <v>44941</v>
      </c>
      <c r="I444" s="191">
        <v>12</v>
      </c>
      <c r="J444" s="191" t="s">
        <v>159</v>
      </c>
      <c r="K444" s="195" t="s">
        <v>21</v>
      </c>
      <c r="L444" s="191" t="s">
        <v>360</v>
      </c>
      <c r="M444" s="188">
        <v>132000000</v>
      </c>
      <c r="N444" s="192" t="s">
        <v>340</v>
      </c>
      <c r="O444" s="192" t="s">
        <v>163</v>
      </c>
      <c r="P444" s="192" t="s">
        <v>24</v>
      </c>
    </row>
    <row r="445" spans="1:16" ht="90" x14ac:dyDescent="0.3">
      <c r="A445" s="2">
        <v>2023411</v>
      </c>
      <c r="B445" s="2">
        <v>7658</v>
      </c>
      <c r="C445" s="3" t="s">
        <v>142</v>
      </c>
      <c r="D445" s="191" t="s">
        <v>319</v>
      </c>
      <c r="E445" s="192" t="s">
        <v>361</v>
      </c>
      <c r="F445" s="191" t="s">
        <v>362</v>
      </c>
      <c r="G445" s="193">
        <v>44928</v>
      </c>
      <c r="H445" s="193">
        <v>44935</v>
      </c>
      <c r="I445" s="191">
        <v>2</v>
      </c>
      <c r="J445" s="191" t="s">
        <v>159</v>
      </c>
      <c r="K445" s="195" t="s">
        <v>21</v>
      </c>
      <c r="L445" s="191" t="s">
        <v>363</v>
      </c>
      <c r="M445" s="188">
        <f>64000000-37237450+166401525</f>
        <v>193164075</v>
      </c>
      <c r="N445" s="192" t="s">
        <v>340</v>
      </c>
      <c r="O445" s="192" t="s">
        <v>163</v>
      </c>
      <c r="P445" s="192" t="s">
        <v>364</v>
      </c>
    </row>
    <row r="446" spans="1:16" ht="90" x14ac:dyDescent="0.3">
      <c r="A446" s="2">
        <v>2023412</v>
      </c>
      <c r="B446" s="2">
        <v>7658</v>
      </c>
      <c r="C446" s="3" t="s">
        <v>142</v>
      </c>
      <c r="D446" s="191" t="s">
        <v>319</v>
      </c>
      <c r="E446" s="192" t="s">
        <v>361</v>
      </c>
      <c r="F446" s="191" t="s">
        <v>365</v>
      </c>
      <c r="G446" s="193">
        <v>44927</v>
      </c>
      <c r="H446" s="193">
        <v>45000</v>
      </c>
      <c r="I446" s="191">
        <v>12</v>
      </c>
      <c r="J446" s="191" t="s">
        <v>159</v>
      </c>
      <c r="K446" s="195" t="s">
        <v>21</v>
      </c>
      <c r="L446" s="191" t="s">
        <v>363</v>
      </c>
      <c r="M446" s="188">
        <f>316000000+37237450+24500000+22050000+30800000+26150000+66524635+39000000+137737915</f>
        <v>700000000</v>
      </c>
      <c r="N446" s="192" t="s">
        <v>340</v>
      </c>
      <c r="O446" s="192" t="s">
        <v>163</v>
      </c>
      <c r="P446" s="192" t="s">
        <v>24</v>
      </c>
    </row>
    <row r="447" spans="1:16" ht="90" x14ac:dyDescent="0.3">
      <c r="A447" s="2">
        <v>2023413</v>
      </c>
      <c r="B447" s="2">
        <v>7658</v>
      </c>
      <c r="C447" s="3" t="s">
        <v>142</v>
      </c>
      <c r="D447" s="191" t="s">
        <v>319</v>
      </c>
      <c r="E447" s="192">
        <v>80111600</v>
      </c>
      <c r="F447" s="191" t="s">
        <v>366</v>
      </c>
      <c r="G447" s="193">
        <v>44927</v>
      </c>
      <c r="H447" s="193">
        <v>44941</v>
      </c>
      <c r="I447" s="191">
        <v>7</v>
      </c>
      <c r="J447" s="191" t="s">
        <v>20</v>
      </c>
      <c r="K447" s="195" t="s">
        <v>21</v>
      </c>
      <c r="L447" s="191" t="s">
        <v>50</v>
      </c>
      <c r="M447" s="188">
        <f>90000000-27000000</f>
        <v>63000000</v>
      </c>
      <c r="N447" s="192" t="s">
        <v>340</v>
      </c>
      <c r="O447" s="192" t="s">
        <v>163</v>
      </c>
      <c r="P447" s="192" t="s">
        <v>24</v>
      </c>
    </row>
    <row r="448" spans="1:16" ht="90" x14ac:dyDescent="0.3">
      <c r="A448" s="2">
        <v>2023414</v>
      </c>
      <c r="B448" s="2">
        <v>7658</v>
      </c>
      <c r="C448" s="3" t="s">
        <v>142</v>
      </c>
      <c r="D448" s="191" t="s">
        <v>319</v>
      </c>
      <c r="E448" s="192">
        <v>80111600</v>
      </c>
      <c r="F448" s="191" t="s">
        <v>367</v>
      </c>
      <c r="G448" s="193">
        <v>44927</v>
      </c>
      <c r="H448" s="193">
        <v>44941</v>
      </c>
      <c r="I448" s="191">
        <v>10</v>
      </c>
      <c r="J448" s="191" t="s">
        <v>20</v>
      </c>
      <c r="K448" s="195" t="s">
        <v>21</v>
      </c>
      <c r="L448" s="191" t="s">
        <v>27</v>
      </c>
      <c r="M448" s="188">
        <f>28500000+3173000-3166760</f>
        <v>28506240</v>
      </c>
      <c r="N448" s="192" t="s">
        <v>340</v>
      </c>
      <c r="O448" s="192" t="s">
        <v>163</v>
      </c>
      <c r="P448" s="192" t="s">
        <v>24</v>
      </c>
    </row>
    <row r="449" spans="1:16" ht="90" x14ac:dyDescent="0.3">
      <c r="A449" s="2">
        <v>2023415</v>
      </c>
      <c r="B449" s="2">
        <v>7658</v>
      </c>
      <c r="C449" s="3" t="s">
        <v>142</v>
      </c>
      <c r="D449" s="191" t="s">
        <v>319</v>
      </c>
      <c r="E449" s="192">
        <v>80111600</v>
      </c>
      <c r="F449" s="191" t="s">
        <v>368</v>
      </c>
      <c r="G449" s="193">
        <v>44927</v>
      </c>
      <c r="H449" s="193">
        <v>44941</v>
      </c>
      <c r="I449" s="191">
        <v>10</v>
      </c>
      <c r="J449" s="191" t="s">
        <v>20</v>
      </c>
      <c r="K449" s="195" t="s">
        <v>21</v>
      </c>
      <c r="L449" s="191" t="s">
        <v>27</v>
      </c>
      <c r="M449" s="188">
        <v>73000000</v>
      </c>
      <c r="N449" s="192" t="s">
        <v>340</v>
      </c>
      <c r="O449" s="192" t="s">
        <v>163</v>
      </c>
      <c r="P449" s="192" t="s">
        <v>24</v>
      </c>
    </row>
    <row r="450" spans="1:16" ht="90" x14ac:dyDescent="0.3">
      <c r="A450" s="2">
        <v>2023416</v>
      </c>
      <c r="B450" s="2">
        <v>7658</v>
      </c>
      <c r="C450" s="3" t="s">
        <v>142</v>
      </c>
      <c r="D450" s="191" t="s">
        <v>319</v>
      </c>
      <c r="E450" s="192">
        <v>80111600</v>
      </c>
      <c r="F450" s="191" t="s">
        <v>368</v>
      </c>
      <c r="G450" s="193">
        <v>44927</v>
      </c>
      <c r="H450" s="193">
        <v>44941</v>
      </c>
      <c r="I450" s="191">
        <v>10</v>
      </c>
      <c r="J450" s="191" t="s">
        <v>20</v>
      </c>
      <c r="K450" s="195" t="s">
        <v>21</v>
      </c>
      <c r="L450" s="191" t="s">
        <v>27</v>
      </c>
      <c r="M450" s="188">
        <f>73000000-43800000</f>
        <v>29200000</v>
      </c>
      <c r="N450" s="192" t="s">
        <v>340</v>
      </c>
      <c r="O450" s="192" t="s">
        <v>163</v>
      </c>
      <c r="P450" s="192" t="s">
        <v>24</v>
      </c>
    </row>
    <row r="451" spans="1:16" ht="90" x14ac:dyDescent="0.3">
      <c r="A451" s="2">
        <v>2023417</v>
      </c>
      <c r="B451" s="2">
        <v>7658</v>
      </c>
      <c r="C451" s="3" t="s">
        <v>142</v>
      </c>
      <c r="D451" s="191" t="s">
        <v>319</v>
      </c>
      <c r="E451" s="192">
        <v>80111600</v>
      </c>
      <c r="F451" s="191" t="s">
        <v>368</v>
      </c>
      <c r="G451" s="193">
        <v>44927</v>
      </c>
      <c r="H451" s="193">
        <v>44941</v>
      </c>
      <c r="I451" s="191">
        <v>10</v>
      </c>
      <c r="J451" s="191" t="s">
        <v>20</v>
      </c>
      <c r="K451" s="195" t="s">
        <v>21</v>
      </c>
      <c r="L451" s="191" t="s">
        <v>27</v>
      </c>
      <c r="M451" s="188">
        <v>73000000</v>
      </c>
      <c r="N451" s="192" t="s">
        <v>340</v>
      </c>
      <c r="O451" s="192" t="s">
        <v>163</v>
      </c>
      <c r="P451" s="192" t="s">
        <v>24</v>
      </c>
    </row>
    <row r="452" spans="1:16" ht="90" x14ac:dyDescent="0.3">
      <c r="A452" s="2">
        <v>2023418</v>
      </c>
      <c r="B452" s="2">
        <v>7658</v>
      </c>
      <c r="C452" s="3" t="s">
        <v>142</v>
      </c>
      <c r="D452" s="191" t="s">
        <v>319</v>
      </c>
      <c r="E452" s="192">
        <v>80111600</v>
      </c>
      <c r="F452" s="191" t="s">
        <v>368</v>
      </c>
      <c r="G452" s="193">
        <v>45000</v>
      </c>
      <c r="H452" s="193">
        <v>45015</v>
      </c>
      <c r="I452" s="191">
        <v>9</v>
      </c>
      <c r="J452" s="191" t="s">
        <v>20</v>
      </c>
      <c r="K452" s="195" t="s">
        <v>21</v>
      </c>
      <c r="L452" s="191" t="s">
        <v>27</v>
      </c>
      <c r="M452" s="188">
        <f>73000000-21917635+21917635-7300000</f>
        <v>65700000</v>
      </c>
      <c r="N452" s="192" t="s">
        <v>340</v>
      </c>
      <c r="O452" s="192" t="s">
        <v>163</v>
      </c>
      <c r="P452" s="192" t="s">
        <v>24</v>
      </c>
    </row>
    <row r="453" spans="1:16" ht="90" x14ac:dyDescent="0.3">
      <c r="A453" s="2">
        <v>2023419</v>
      </c>
      <c r="B453" s="2">
        <v>7658</v>
      </c>
      <c r="C453" s="3" t="s">
        <v>142</v>
      </c>
      <c r="D453" s="191" t="s">
        <v>319</v>
      </c>
      <c r="E453" s="192">
        <v>80111600</v>
      </c>
      <c r="F453" s="191" t="s">
        <v>369</v>
      </c>
      <c r="G453" s="193">
        <v>45000</v>
      </c>
      <c r="H453" s="193">
        <v>45015</v>
      </c>
      <c r="I453" s="191">
        <v>10</v>
      </c>
      <c r="J453" s="191" t="s">
        <v>20</v>
      </c>
      <c r="K453" s="195" t="s">
        <v>21</v>
      </c>
      <c r="L453" s="191" t="s">
        <v>27</v>
      </c>
      <c r="M453" s="188">
        <f>82000000+10758400-10758400</f>
        <v>82000000</v>
      </c>
      <c r="N453" s="192" t="s">
        <v>340</v>
      </c>
      <c r="O453" s="192" t="s">
        <v>163</v>
      </c>
      <c r="P453" s="192" t="s">
        <v>24</v>
      </c>
    </row>
    <row r="454" spans="1:16" ht="90" x14ac:dyDescent="0.3">
      <c r="A454" s="2">
        <v>2023420</v>
      </c>
      <c r="B454" s="2">
        <v>7658</v>
      </c>
      <c r="C454" s="3" t="s">
        <v>142</v>
      </c>
      <c r="D454" s="191" t="s">
        <v>319</v>
      </c>
      <c r="E454" s="192">
        <v>80111600</v>
      </c>
      <c r="F454" s="191" t="s">
        <v>370</v>
      </c>
      <c r="G454" s="193">
        <v>44927</v>
      </c>
      <c r="H454" s="193">
        <v>44941</v>
      </c>
      <c r="I454" s="191">
        <v>7</v>
      </c>
      <c r="J454" s="191" t="s">
        <v>20</v>
      </c>
      <c r="K454" s="195" t="s">
        <v>21</v>
      </c>
      <c r="L454" s="191" t="s">
        <v>27</v>
      </c>
      <c r="M454" s="188">
        <f>38500000-3850000</f>
        <v>34650000</v>
      </c>
      <c r="N454" s="192" t="s">
        <v>340</v>
      </c>
      <c r="O454" s="192" t="s">
        <v>163</v>
      </c>
      <c r="P454" s="192" t="s">
        <v>24</v>
      </c>
    </row>
    <row r="455" spans="1:16" ht="90" x14ac:dyDescent="0.3">
      <c r="A455" s="2">
        <v>2023421</v>
      </c>
      <c r="B455" s="2">
        <v>7658</v>
      </c>
      <c r="C455" s="3" t="s">
        <v>142</v>
      </c>
      <c r="D455" s="191" t="s">
        <v>319</v>
      </c>
      <c r="E455" s="192">
        <v>80111600</v>
      </c>
      <c r="F455" s="191" t="s">
        <v>371</v>
      </c>
      <c r="G455" s="193">
        <v>44927</v>
      </c>
      <c r="H455" s="193">
        <v>44941</v>
      </c>
      <c r="I455" s="191">
        <v>10</v>
      </c>
      <c r="J455" s="191" t="s">
        <v>20</v>
      </c>
      <c r="K455" s="195" t="s">
        <v>21</v>
      </c>
      <c r="L455" s="191" t="s">
        <v>27</v>
      </c>
      <c r="M455" s="188">
        <v>55000000</v>
      </c>
      <c r="N455" s="192" t="s">
        <v>340</v>
      </c>
      <c r="O455" s="192" t="s">
        <v>163</v>
      </c>
      <c r="P455" s="192" t="s">
        <v>24</v>
      </c>
    </row>
    <row r="456" spans="1:16" ht="90" x14ac:dyDescent="0.3">
      <c r="A456" s="2">
        <v>2023422</v>
      </c>
      <c r="B456" s="2">
        <v>7658</v>
      </c>
      <c r="C456" s="3" t="s">
        <v>142</v>
      </c>
      <c r="D456" s="191" t="s">
        <v>319</v>
      </c>
      <c r="E456" s="192">
        <v>80111600</v>
      </c>
      <c r="F456" s="191" t="s">
        <v>372</v>
      </c>
      <c r="G456" s="193">
        <v>44927</v>
      </c>
      <c r="H456" s="193">
        <v>44941</v>
      </c>
      <c r="I456" s="191">
        <v>9</v>
      </c>
      <c r="J456" s="191" t="s">
        <v>20</v>
      </c>
      <c r="K456" s="195" t="s">
        <v>21</v>
      </c>
      <c r="L456" s="191" t="s">
        <v>27</v>
      </c>
      <c r="M456" s="188">
        <f>73000000+6475365+3744635-8900160</f>
        <v>74319840</v>
      </c>
      <c r="N456" s="192" t="s">
        <v>340</v>
      </c>
      <c r="O456" s="192" t="s">
        <v>163</v>
      </c>
      <c r="P456" s="192" t="s">
        <v>24</v>
      </c>
    </row>
    <row r="457" spans="1:16" ht="90" x14ac:dyDescent="0.3">
      <c r="A457" s="2">
        <v>2023423</v>
      </c>
      <c r="B457" s="2">
        <v>7658</v>
      </c>
      <c r="C457" s="3" t="s">
        <v>142</v>
      </c>
      <c r="D457" s="191" t="s">
        <v>319</v>
      </c>
      <c r="E457" s="192">
        <v>80111600</v>
      </c>
      <c r="F457" s="191" t="s">
        <v>368</v>
      </c>
      <c r="G457" s="193">
        <v>45000</v>
      </c>
      <c r="H457" s="193">
        <v>45015</v>
      </c>
      <c r="I457" s="191">
        <v>8</v>
      </c>
      <c r="J457" s="191" t="s">
        <v>20</v>
      </c>
      <c r="K457" s="195" t="s">
        <v>21</v>
      </c>
      <c r="L457" s="191" t="s">
        <v>27</v>
      </c>
      <c r="M457" s="188">
        <f>73000000-66524635-6475365+73000000-14600000</f>
        <v>58400000</v>
      </c>
      <c r="N457" s="192" t="s">
        <v>340</v>
      </c>
      <c r="O457" s="192" t="s">
        <v>163</v>
      </c>
      <c r="P457" s="192" t="s">
        <v>24</v>
      </c>
    </row>
    <row r="458" spans="1:16" ht="90" x14ac:dyDescent="0.3">
      <c r="A458" s="2">
        <v>2023424</v>
      </c>
      <c r="B458" s="2">
        <v>7658</v>
      </c>
      <c r="C458" s="3" t="s">
        <v>142</v>
      </c>
      <c r="D458" s="191" t="s">
        <v>319</v>
      </c>
      <c r="E458" s="192">
        <v>80111600</v>
      </c>
      <c r="F458" s="191" t="s">
        <v>373</v>
      </c>
      <c r="G458" s="193">
        <v>44927</v>
      </c>
      <c r="H458" s="193">
        <v>44941</v>
      </c>
      <c r="I458" s="191">
        <v>10</v>
      </c>
      <c r="J458" s="191" t="s">
        <v>20</v>
      </c>
      <c r="K458" s="195" t="s">
        <v>21</v>
      </c>
      <c r="L458" s="191" t="s">
        <v>27</v>
      </c>
      <c r="M458" s="188">
        <v>24500000</v>
      </c>
      <c r="N458" s="192" t="s">
        <v>340</v>
      </c>
      <c r="O458" s="192" t="s">
        <v>163</v>
      </c>
      <c r="P458" s="192" t="s">
        <v>24</v>
      </c>
    </row>
    <row r="459" spans="1:16" ht="90" x14ac:dyDescent="0.3">
      <c r="A459" s="2">
        <v>2023425</v>
      </c>
      <c r="B459" s="2">
        <v>7658</v>
      </c>
      <c r="C459" s="3" t="s">
        <v>142</v>
      </c>
      <c r="D459" s="191" t="s">
        <v>319</v>
      </c>
      <c r="E459" s="192">
        <v>80111600</v>
      </c>
      <c r="F459" s="191" t="s">
        <v>373</v>
      </c>
      <c r="G459" s="193">
        <v>44927</v>
      </c>
      <c r="H459" s="193">
        <v>44941</v>
      </c>
      <c r="I459" s="191">
        <v>10</v>
      </c>
      <c r="J459" s="191" t="s">
        <v>20</v>
      </c>
      <c r="K459" s="195" t="s">
        <v>21</v>
      </c>
      <c r="L459" s="191" t="s">
        <v>27</v>
      </c>
      <c r="M459" s="188">
        <v>24500000</v>
      </c>
      <c r="N459" s="192" t="s">
        <v>340</v>
      </c>
      <c r="O459" s="192" t="s">
        <v>163</v>
      </c>
      <c r="P459" s="192" t="s">
        <v>24</v>
      </c>
    </row>
    <row r="460" spans="1:16" ht="90" x14ac:dyDescent="0.3">
      <c r="A460" s="2">
        <v>2023426</v>
      </c>
      <c r="B460" s="2">
        <v>7658</v>
      </c>
      <c r="C460" s="3" t="s">
        <v>142</v>
      </c>
      <c r="D460" s="191" t="s">
        <v>319</v>
      </c>
      <c r="E460" s="192">
        <v>80111600</v>
      </c>
      <c r="F460" s="191" t="s">
        <v>373</v>
      </c>
      <c r="G460" s="193">
        <v>44927</v>
      </c>
      <c r="H460" s="193">
        <v>44941</v>
      </c>
      <c r="I460" s="191">
        <v>10</v>
      </c>
      <c r="J460" s="191" t="s">
        <v>20</v>
      </c>
      <c r="K460" s="195" t="s">
        <v>21</v>
      </c>
      <c r="L460" s="191" t="s">
        <v>27</v>
      </c>
      <c r="M460" s="188">
        <v>24500000</v>
      </c>
      <c r="N460" s="192" t="s">
        <v>340</v>
      </c>
      <c r="O460" s="192" t="s">
        <v>163</v>
      </c>
      <c r="P460" s="192" t="s">
        <v>24</v>
      </c>
    </row>
    <row r="461" spans="1:16" ht="90" x14ac:dyDescent="0.3">
      <c r="A461" s="2">
        <v>2023427</v>
      </c>
      <c r="B461" s="2">
        <v>7658</v>
      </c>
      <c r="C461" s="3" t="s">
        <v>142</v>
      </c>
      <c r="D461" s="191" t="s">
        <v>319</v>
      </c>
      <c r="E461" s="192">
        <v>80111600</v>
      </c>
      <c r="F461" s="191" t="s">
        <v>373</v>
      </c>
      <c r="G461" s="193">
        <v>44927</v>
      </c>
      <c r="H461" s="193">
        <v>44941</v>
      </c>
      <c r="I461" s="191">
        <v>10</v>
      </c>
      <c r="J461" s="191" t="s">
        <v>20</v>
      </c>
      <c r="K461" s="195" t="s">
        <v>21</v>
      </c>
      <c r="L461" s="191" t="s">
        <v>27</v>
      </c>
      <c r="M461" s="188">
        <v>24500000</v>
      </c>
      <c r="N461" s="192" t="s">
        <v>340</v>
      </c>
      <c r="O461" s="192" t="s">
        <v>163</v>
      </c>
      <c r="P461" s="192" t="s">
        <v>24</v>
      </c>
    </row>
    <row r="462" spans="1:16" ht="90" x14ac:dyDescent="0.3">
      <c r="A462" s="2">
        <v>2023428</v>
      </c>
      <c r="B462" s="2">
        <v>7658</v>
      </c>
      <c r="C462" s="3" t="s">
        <v>142</v>
      </c>
      <c r="D462" s="191" t="s">
        <v>319</v>
      </c>
      <c r="E462" s="192">
        <v>80111600</v>
      </c>
      <c r="F462" s="191" t="s">
        <v>373</v>
      </c>
      <c r="G462" s="193">
        <v>44927</v>
      </c>
      <c r="H462" s="193">
        <v>44941</v>
      </c>
      <c r="I462" s="191">
        <v>10</v>
      </c>
      <c r="J462" s="191" t="s">
        <v>20</v>
      </c>
      <c r="K462" s="195" t="s">
        <v>21</v>
      </c>
      <c r="L462" s="191" t="s">
        <v>27</v>
      </c>
      <c r="M462" s="188">
        <v>24500000</v>
      </c>
      <c r="N462" s="192" t="s">
        <v>340</v>
      </c>
      <c r="O462" s="192" t="s">
        <v>163</v>
      </c>
      <c r="P462" s="192" t="s">
        <v>24</v>
      </c>
    </row>
    <row r="463" spans="1:16" ht="90" x14ac:dyDescent="0.3">
      <c r="A463" s="2">
        <v>2023429</v>
      </c>
      <c r="B463" s="2">
        <v>7658</v>
      </c>
      <c r="C463" s="3" t="s">
        <v>142</v>
      </c>
      <c r="D463" s="191" t="s">
        <v>319</v>
      </c>
      <c r="E463" s="192">
        <v>80111600</v>
      </c>
      <c r="F463" s="191" t="s">
        <v>373</v>
      </c>
      <c r="G463" s="193">
        <v>44927</v>
      </c>
      <c r="H463" s="193">
        <v>44941</v>
      </c>
      <c r="I463" s="191">
        <v>10</v>
      </c>
      <c r="J463" s="191" t="s">
        <v>20</v>
      </c>
      <c r="K463" s="195" t="s">
        <v>21</v>
      </c>
      <c r="L463" s="191" t="s">
        <v>27</v>
      </c>
      <c r="M463" s="188">
        <v>24500000</v>
      </c>
      <c r="N463" s="192" t="s">
        <v>340</v>
      </c>
      <c r="O463" s="192" t="s">
        <v>163</v>
      </c>
      <c r="P463" s="192" t="s">
        <v>24</v>
      </c>
    </row>
    <row r="464" spans="1:16" ht="90" x14ac:dyDescent="0.3">
      <c r="A464" s="2">
        <v>2023430</v>
      </c>
      <c r="B464" s="2">
        <v>7658</v>
      </c>
      <c r="C464" s="3" t="s">
        <v>142</v>
      </c>
      <c r="D464" s="191" t="s">
        <v>319</v>
      </c>
      <c r="E464" s="192">
        <v>80111600</v>
      </c>
      <c r="F464" s="191" t="s">
        <v>373</v>
      </c>
      <c r="G464" s="193">
        <v>44927</v>
      </c>
      <c r="H464" s="193">
        <v>44941</v>
      </c>
      <c r="I464" s="191">
        <v>10</v>
      </c>
      <c r="J464" s="191" t="s">
        <v>20</v>
      </c>
      <c r="K464" s="195" t="s">
        <v>21</v>
      </c>
      <c r="L464" s="191" t="s">
        <v>27</v>
      </c>
      <c r="M464" s="188">
        <v>24500000</v>
      </c>
      <c r="N464" s="192" t="s">
        <v>340</v>
      </c>
      <c r="O464" s="192" t="s">
        <v>163</v>
      </c>
      <c r="P464" s="192" t="s">
        <v>24</v>
      </c>
    </row>
    <row r="465" spans="1:16" ht="90" x14ac:dyDescent="0.3">
      <c r="A465" s="2">
        <v>2023431</v>
      </c>
      <c r="B465" s="2">
        <v>7658</v>
      </c>
      <c r="C465" s="3" t="s">
        <v>142</v>
      </c>
      <c r="D465" s="191" t="s">
        <v>319</v>
      </c>
      <c r="E465" s="192">
        <v>80111600</v>
      </c>
      <c r="F465" s="191" t="s">
        <v>374</v>
      </c>
      <c r="G465" s="193">
        <v>44986</v>
      </c>
      <c r="H465" s="193">
        <v>45000</v>
      </c>
      <c r="I465" s="191">
        <v>8</v>
      </c>
      <c r="J465" s="191" t="s">
        <v>20</v>
      </c>
      <c r="K465" s="195" t="s">
        <v>21</v>
      </c>
      <c r="L465" s="191" t="s">
        <v>27</v>
      </c>
      <c r="M465" s="188">
        <v>54400000</v>
      </c>
      <c r="N465" s="192" t="s">
        <v>340</v>
      </c>
      <c r="O465" s="192" t="s">
        <v>163</v>
      </c>
      <c r="P465" s="192" t="s">
        <v>24</v>
      </c>
    </row>
    <row r="466" spans="1:16" ht="90" x14ac:dyDescent="0.3">
      <c r="A466" s="2">
        <v>2023432</v>
      </c>
      <c r="B466" s="2">
        <v>7658</v>
      </c>
      <c r="C466" s="3" t="s">
        <v>142</v>
      </c>
      <c r="D466" s="191" t="s">
        <v>319</v>
      </c>
      <c r="E466" s="192">
        <v>80111600</v>
      </c>
      <c r="F466" s="191" t="s">
        <v>375</v>
      </c>
      <c r="G466" s="193">
        <v>44986</v>
      </c>
      <c r="H466" s="193">
        <v>45000</v>
      </c>
      <c r="I466" s="191">
        <v>8</v>
      </c>
      <c r="J466" s="191" t="s">
        <v>20</v>
      </c>
      <c r="K466" s="195" t="s">
        <v>21</v>
      </c>
      <c r="L466" s="191" t="s">
        <v>27</v>
      </c>
      <c r="M466" s="188">
        <v>40000000</v>
      </c>
      <c r="N466" s="192" t="s">
        <v>340</v>
      </c>
      <c r="O466" s="192" t="s">
        <v>163</v>
      </c>
      <c r="P466" s="192" t="s">
        <v>24</v>
      </c>
    </row>
    <row r="467" spans="1:16" ht="90" x14ac:dyDescent="0.3">
      <c r="A467" s="4">
        <v>2023433</v>
      </c>
      <c r="B467" s="2">
        <v>7658</v>
      </c>
      <c r="C467" s="3" t="s">
        <v>142</v>
      </c>
      <c r="D467" s="191" t="s">
        <v>319</v>
      </c>
      <c r="E467" s="192" t="s">
        <v>376</v>
      </c>
      <c r="F467" s="191" t="s">
        <v>377</v>
      </c>
      <c r="G467" s="193">
        <v>44928</v>
      </c>
      <c r="H467" s="193">
        <v>44972</v>
      </c>
      <c r="I467" s="191">
        <v>2</v>
      </c>
      <c r="J467" s="191" t="s">
        <v>66</v>
      </c>
      <c r="K467" s="195" t="s">
        <v>21</v>
      </c>
      <c r="L467" s="191" t="s">
        <v>360</v>
      </c>
      <c r="M467" s="188">
        <f>18000000+5970304</f>
        <v>23970304</v>
      </c>
      <c r="N467" s="192" t="s">
        <v>340</v>
      </c>
      <c r="O467" s="192" t="s">
        <v>163</v>
      </c>
      <c r="P467" s="192" t="s">
        <v>364</v>
      </c>
    </row>
    <row r="468" spans="1:16" ht="45" x14ac:dyDescent="0.3">
      <c r="A468" s="4">
        <v>2023434</v>
      </c>
      <c r="B468" s="2">
        <v>7658</v>
      </c>
      <c r="C468" s="3" t="s">
        <v>142</v>
      </c>
      <c r="D468" s="191" t="s">
        <v>319</v>
      </c>
      <c r="E468" s="192" t="s">
        <v>378</v>
      </c>
      <c r="F468" s="191" t="s">
        <v>379</v>
      </c>
      <c r="G468" s="193">
        <v>44972</v>
      </c>
      <c r="H468" s="193">
        <v>45033</v>
      </c>
      <c r="I468" s="191">
        <v>6</v>
      </c>
      <c r="J468" s="191" t="s">
        <v>380</v>
      </c>
      <c r="K468" s="195" t="s">
        <v>21</v>
      </c>
      <c r="L468" s="191" t="s">
        <v>681</v>
      </c>
      <c r="M468" s="188">
        <v>350000000</v>
      </c>
      <c r="N468" s="192" t="s">
        <v>381</v>
      </c>
      <c r="O468" s="192" t="s">
        <v>382</v>
      </c>
      <c r="P468" s="192" t="s">
        <v>24</v>
      </c>
    </row>
    <row r="469" spans="1:16" ht="90" x14ac:dyDescent="0.3">
      <c r="A469" s="2">
        <v>2023435</v>
      </c>
      <c r="B469" s="2">
        <v>7658</v>
      </c>
      <c r="C469" s="3" t="s">
        <v>142</v>
      </c>
      <c r="D469" s="191" t="s">
        <v>319</v>
      </c>
      <c r="E469" s="192" t="s">
        <v>383</v>
      </c>
      <c r="F469" s="191" t="s">
        <v>384</v>
      </c>
      <c r="G469" s="193">
        <v>44956</v>
      </c>
      <c r="H469" s="193">
        <v>45000</v>
      </c>
      <c r="I469" s="191">
        <v>6</v>
      </c>
      <c r="J469" s="191" t="s">
        <v>357</v>
      </c>
      <c r="K469" s="195" t="s">
        <v>21</v>
      </c>
      <c r="L469" s="191" t="s">
        <v>681</v>
      </c>
      <c r="M469" s="188">
        <f>70000000-2123255</f>
        <v>67876745</v>
      </c>
      <c r="N469" s="192" t="s">
        <v>381</v>
      </c>
      <c r="O469" s="192" t="s">
        <v>382</v>
      </c>
      <c r="P469" s="192" t="s">
        <v>24</v>
      </c>
    </row>
    <row r="470" spans="1:16" ht="75" x14ac:dyDescent="0.3">
      <c r="A470" s="2">
        <v>2023437</v>
      </c>
      <c r="B470" s="2">
        <v>7658</v>
      </c>
      <c r="C470" s="3" t="s">
        <v>142</v>
      </c>
      <c r="D470" s="196" t="s">
        <v>319</v>
      </c>
      <c r="E470" s="192">
        <v>80111600</v>
      </c>
      <c r="F470" s="192" t="s">
        <v>387</v>
      </c>
      <c r="G470" s="193">
        <v>45017</v>
      </c>
      <c r="H470" s="193">
        <v>45047</v>
      </c>
      <c r="I470" s="191">
        <v>6</v>
      </c>
      <c r="J470" s="191" t="s">
        <v>20</v>
      </c>
      <c r="K470" s="195" t="s">
        <v>21</v>
      </c>
      <c r="L470" s="191" t="s">
        <v>388</v>
      </c>
      <c r="M470" s="188">
        <f>25000000+15000000+9000000+2000000-29100000</f>
        <v>21900000</v>
      </c>
      <c r="N470" s="192" t="s">
        <v>389</v>
      </c>
      <c r="O470" s="192" t="s">
        <v>390</v>
      </c>
      <c r="P470" s="192" t="s">
        <v>24</v>
      </c>
    </row>
    <row r="471" spans="1:16" ht="135" x14ac:dyDescent="0.3">
      <c r="A471" s="4">
        <v>2023438</v>
      </c>
      <c r="B471" s="2" t="s">
        <v>17</v>
      </c>
      <c r="C471" s="2" t="s">
        <v>17</v>
      </c>
      <c r="D471" s="191" t="s">
        <v>319</v>
      </c>
      <c r="E471" s="192" t="s">
        <v>391</v>
      </c>
      <c r="F471" s="191" t="s">
        <v>392</v>
      </c>
      <c r="G471" s="193">
        <v>44928</v>
      </c>
      <c r="H471" s="193">
        <v>44972</v>
      </c>
      <c r="I471" s="191">
        <v>12</v>
      </c>
      <c r="J471" s="191" t="s">
        <v>101</v>
      </c>
      <c r="K471" s="195" t="s">
        <v>21</v>
      </c>
      <c r="L471" s="191" t="s">
        <v>23</v>
      </c>
      <c r="M471" s="188">
        <v>100000000</v>
      </c>
      <c r="N471" s="192" t="s">
        <v>23</v>
      </c>
      <c r="O471" s="192" t="s">
        <v>23</v>
      </c>
      <c r="P471" s="192" t="s">
        <v>24</v>
      </c>
    </row>
    <row r="472" spans="1:16" ht="105" x14ac:dyDescent="0.3">
      <c r="A472" s="4">
        <v>2023439</v>
      </c>
      <c r="B472" s="2" t="s">
        <v>17</v>
      </c>
      <c r="C472" s="2" t="s">
        <v>17</v>
      </c>
      <c r="D472" s="191" t="s">
        <v>319</v>
      </c>
      <c r="E472" s="192" t="s">
        <v>358</v>
      </c>
      <c r="F472" s="191" t="s">
        <v>393</v>
      </c>
      <c r="G472" s="193">
        <v>44927</v>
      </c>
      <c r="H472" s="193">
        <v>44941</v>
      </c>
      <c r="I472" s="191">
        <v>12</v>
      </c>
      <c r="J472" s="191" t="s">
        <v>159</v>
      </c>
      <c r="K472" s="195" t="s">
        <v>21</v>
      </c>
      <c r="L472" s="191" t="s">
        <v>23</v>
      </c>
      <c r="M472" s="188">
        <f>219797000-39797000</f>
        <v>180000000</v>
      </c>
      <c r="N472" s="192" t="s">
        <v>23</v>
      </c>
      <c r="O472" s="192" t="s">
        <v>23</v>
      </c>
      <c r="P472" s="192" t="s">
        <v>24</v>
      </c>
    </row>
    <row r="473" spans="1:16" ht="105" x14ac:dyDescent="0.3">
      <c r="A473" s="4">
        <v>2023440</v>
      </c>
      <c r="B473" s="2" t="s">
        <v>17</v>
      </c>
      <c r="C473" s="2" t="s">
        <v>17</v>
      </c>
      <c r="D473" s="191" t="s">
        <v>319</v>
      </c>
      <c r="E473" s="192" t="s">
        <v>358</v>
      </c>
      <c r="F473" s="191" t="s">
        <v>393</v>
      </c>
      <c r="G473" s="193">
        <v>44927</v>
      </c>
      <c r="H473" s="193">
        <v>44941</v>
      </c>
      <c r="I473" s="191">
        <v>12</v>
      </c>
      <c r="J473" s="191" t="s">
        <v>159</v>
      </c>
      <c r="K473" s="195" t="s">
        <v>21</v>
      </c>
      <c r="L473" s="191" t="s">
        <v>23</v>
      </c>
      <c r="M473" s="188">
        <f>487000000-7995696</f>
        <v>479004304</v>
      </c>
      <c r="N473" s="192" t="s">
        <v>23</v>
      </c>
      <c r="O473" s="192" t="s">
        <v>23</v>
      </c>
      <c r="P473" s="192" t="s">
        <v>24</v>
      </c>
    </row>
    <row r="474" spans="1:16" ht="120" x14ac:dyDescent="0.3">
      <c r="A474" s="4">
        <v>2023441</v>
      </c>
      <c r="B474" s="2" t="s">
        <v>17</v>
      </c>
      <c r="C474" s="2" t="s">
        <v>17</v>
      </c>
      <c r="D474" s="191" t="s">
        <v>319</v>
      </c>
      <c r="E474" s="192" t="s">
        <v>394</v>
      </c>
      <c r="F474" s="191" t="s">
        <v>395</v>
      </c>
      <c r="G474" s="193">
        <v>44928</v>
      </c>
      <c r="H474" s="193">
        <v>44941</v>
      </c>
      <c r="I474" s="191">
        <v>8</v>
      </c>
      <c r="J474" s="191" t="s">
        <v>66</v>
      </c>
      <c r="K474" s="195" t="s">
        <v>21</v>
      </c>
      <c r="L474" s="191" t="s">
        <v>23</v>
      </c>
      <c r="M474" s="188">
        <f>110000000+8000000-36301077-8128036</f>
        <v>73570887</v>
      </c>
      <c r="N474" s="192" t="s">
        <v>23</v>
      </c>
      <c r="O474" s="192" t="s">
        <v>23</v>
      </c>
      <c r="P474" s="192" t="s">
        <v>24</v>
      </c>
    </row>
    <row r="475" spans="1:16" ht="45" x14ac:dyDescent="0.3">
      <c r="A475" s="2">
        <v>2023442</v>
      </c>
      <c r="B475" s="2" t="s">
        <v>17</v>
      </c>
      <c r="C475" s="2" t="s">
        <v>17</v>
      </c>
      <c r="D475" s="191" t="s">
        <v>319</v>
      </c>
      <c r="E475" s="192" t="s">
        <v>396</v>
      </c>
      <c r="F475" s="191" t="s">
        <v>397</v>
      </c>
      <c r="G475" s="193">
        <v>44928</v>
      </c>
      <c r="H475" s="193">
        <v>44941</v>
      </c>
      <c r="I475" s="191">
        <v>8</v>
      </c>
      <c r="J475" s="191" t="s">
        <v>118</v>
      </c>
      <c r="K475" s="195" t="s">
        <v>21</v>
      </c>
      <c r="L475" s="191" t="s">
        <v>23</v>
      </c>
      <c r="M475" s="188">
        <f>40000000-8000000</f>
        <v>32000000</v>
      </c>
      <c r="N475" s="192" t="s">
        <v>23</v>
      </c>
      <c r="O475" s="192" t="s">
        <v>23</v>
      </c>
      <c r="P475" s="192" t="s">
        <v>24</v>
      </c>
    </row>
    <row r="476" spans="1:16" ht="75" x14ac:dyDescent="0.3">
      <c r="A476" s="2">
        <v>2023443</v>
      </c>
      <c r="B476" s="2" t="s">
        <v>17</v>
      </c>
      <c r="C476" s="2" t="s">
        <v>17</v>
      </c>
      <c r="D476" s="191" t="s">
        <v>319</v>
      </c>
      <c r="E476" s="192" t="s">
        <v>398</v>
      </c>
      <c r="F476" s="191" t="s">
        <v>399</v>
      </c>
      <c r="G476" s="193">
        <v>45030</v>
      </c>
      <c r="H476" s="193">
        <v>45043</v>
      </c>
      <c r="I476" s="191">
        <v>8</v>
      </c>
      <c r="J476" s="191" t="s">
        <v>159</v>
      </c>
      <c r="K476" s="195" t="s">
        <v>21</v>
      </c>
      <c r="L476" s="191" t="s">
        <v>23</v>
      </c>
      <c r="M476" s="188">
        <f>40000000+5139234-16260000</f>
        <v>28879234</v>
      </c>
      <c r="N476" s="192" t="s">
        <v>23</v>
      </c>
      <c r="O476" s="192" t="s">
        <v>23</v>
      </c>
      <c r="P476" s="192" t="s">
        <v>24</v>
      </c>
    </row>
    <row r="477" spans="1:16" ht="75" x14ac:dyDescent="0.3">
      <c r="A477" s="2">
        <v>2023444</v>
      </c>
      <c r="B477" s="2" t="s">
        <v>17</v>
      </c>
      <c r="C477" s="2" t="s">
        <v>17</v>
      </c>
      <c r="D477" s="191" t="s">
        <v>319</v>
      </c>
      <c r="E477" s="192" t="s">
        <v>400</v>
      </c>
      <c r="F477" s="191" t="s">
        <v>401</v>
      </c>
      <c r="G477" s="193">
        <v>44941</v>
      </c>
      <c r="H477" s="193">
        <v>44946</v>
      </c>
      <c r="I477" s="191">
        <v>4</v>
      </c>
      <c r="J477" s="191" t="s">
        <v>159</v>
      </c>
      <c r="K477" s="195" t="s">
        <v>21</v>
      </c>
      <c r="L477" s="191" t="s">
        <v>23</v>
      </c>
      <c r="M477" s="188">
        <v>15000000</v>
      </c>
      <c r="N477" s="192" t="s">
        <v>23</v>
      </c>
      <c r="O477" s="192" t="s">
        <v>23</v>
      </c>
      <c r="P477" s="192" t="s">
        <v>364</v>
      </c>
    </row>
    <row r="478" spans="1:16" ht="150" x14ac:dyDescent="0.3">
      <c r="A478" s="2">
        <v>2023445</v>
      </c>
      <c r="B478" s="2" t="s">
        <v>17</v>
      </c>
      <c r="C478" s="2" t="s">
        <v>17</v>
      </c>
      <c r="D478" s="191" t="s">
        <v>319</v>
      </c>
      <c r="E478" s="192" t="s">
        <v>402</v>
      </c>
      <c r="F478" s="191" t="s">
        <v>403</v>
      </c>
      <c r="G478" s="193">
        <v>44958</v>
      </c>
      <c r="H478" s="193">
        <v>44941</v>
      </c>
      <c r="I478" s="191">
        <v>11</v>
      </c>
      <c r="J478" s="191" t="s">
        <v>20</v>
      </c>
      <c r="K478" s="195" t="s">
        <v>21</v>
      </c>
      <c r="L478" s="191" t="s">
        <v>23</v>
      </c>
      <c r="M478" s="188">
        <v>95000000</v>
      </c>
      <c r="N478" s="192" t="s">
        <v>23</v>
      </c>
      <c r="O478" s="192" t="s">
        <v>23</v>
      </c>
      <c r="P478" s="192" t="s">
        <v>24</v>
      </c>
    </row>
    <row r="479" spans="1:16" ht="75" x14ac:dyDescent="0.3">
      <c r="A479" s="2">
        <v>2023446</v>
      </c>
      <c r="B479" s="2" t="s">
        <v>17</v>
      </c>
      <c r="C479" s="2" t="s">
        <v>17</v>
      </c>
      <c r="D479" s="191" t="s">
        <v>319</v>
      </c>
      <c r="E479" s="192" t="s">
        <v>404</v>
      </c>
      <c r="F479" s="191" t="s">
        <v>405</v>
      </c>
      <c r="G479" s="193">
        <v>45078</v>
      </c>
      <c r="H479" s="193">
        <v>45092</v>
      </c>
      <c r="I479" s="191">
        <v>12</v>
      </c>
      <c r="J479" s="191" t="s">
        <v>118</v>
      </c>
      <c r="K479" s="195" t="s">
        <v>21</v>
      </c>
      <c r="L479" s="191" t="s">
        <v>23</v>
      </c>
      <c r="M479" s="188">
        <f>45000000-28000000</f>
        <v>17000000</v>
      </c>
      <c r="N479" s="192" t="s">
        <v>23</v>
      </c>
      <c r="O479" s="192" t="s">
        <v>23</v>
      </c>
      <c r="P479" s="192" t="s">
        <v>24</v>
      </c>
    </row>
    <row r="480" spans="1:16" ht="150" x14ac:dyDescent="0.3">
      <c r="A480" s="2">
        <v>2023448</v>
      </c>
      <c r="B480" s="2" t="s">
        <v>17</v>
      </c>
      <c r="C480" s="2" t="s">
        <v>17</v>
      </c>
      <c r="D480" s="191" t="s">
        <v>319</v>
      </c>
      <c r="E480" s="192" t="s">
        <v>407</v>
      </c>
      <c r="F480" s="191" t="s">
        <v>408</v>
      </c>
      <c r="G480" s="193">
        <v>44928</v>
      </c>
      <c r="H480" s="193">
        <v>44981</v>
      </c>
      <c r="I480" s="191">
        <v>12</v>
      </c>
      <c r="J480" s="191" t="s">
        <v>159</v>
      </c>
      <c r="K480" s="195" t="s">
        <v>21</v>
      </c>
      <c r="L480" s="191" t="s">
        <v>23</v>
      </c>
      <c r="M480" s="188">
        <f>4480000000+120000000</f>
        <v>4600000000</v>
      </c>
      <c r="N480" s="192" t="s">
        <v>23</v>
      </c>
      <c r="O480" s="192" t="s">
        <v>23</v>
      </c>
      <c r="P480" s="192" t="s">
        <v>24</v>
      </c>
    </row>
    <row r="481" spans="1:16" ht="30" x14ac:dyDescent="0.3">
      <c r="A481" s="2">
        <v>2023449</v>
      </c>
      <c r="B481" s="2" t="s">
        <v>17</v>
      </c>
      <c r="C481" s="2" t="s">
        <v>17</v>
      </c>
      <c r="D481" s="191" t="s">
        <v>319</v>
      </c>
      <c r="E481" s="192" t="s">
        <v>409</v>
      </c>
      <c r="F481" s="191" t="s">
        <v>410</v>
      </c>
      <c r="G481" s="193">
        <v>45048</v>
      </c>
      <c r="H481" s="193">
        <v>45056</v>
      </c>
      <c r="I481" s="191">
        <v>8</v>
      </c>
      <c r="J481" s="191" t="s">
        <v>20</v>
      </c>
      <c r="K481" s="195" t="s">
        <v>21</v>
      </c>
      <c r="L481" s="191" t="s">
        <v>23</v>
      </c>
      <c r="M481" s="188">
        <f>60000000-30000000+22860766+31139234</f>
        <v>84000000</v>
      </c>
      <c r="N481" s="192" t="s">
        <v>23</v>
      </c>
      <c r="O481" s="192" t="s">
        <v>23</v>
      </c>
      <c r="P481" s="192" t="s">
        <v>24</v>
      </c>
    </row>
    <row r="482" spans="1:16" ht="30" x14ac:dyDescent="0.3">
      <c r="A482" s="2">
        <v>2023450</v>
      </c>
      <c r="B482" s="2" t="s">
        <v>17</v>
      </c>
      <c r="C482" s="2" t="s">
        <v>17</v>
      </c>
      <c r="D482" s="191" t="s">
        <v>319</v>
      </c>
      <c r="E482" s="192" t="s">
        <v>409</v>
      </c>
      <c r="F482" s="191" t="s">
        <v>411</v>
      </c>
      <c r="G482" s="193">
        <v>44927</v>
      </c>
      <c r="H482" s="193">
        <v>44941</v>
      </c>
      <c r="I482" s="191">
        <v>12</v>
      </c>
      <c r="J482" s="191" t="s">
        <v>20</v>
      </c>
      <c r="K482" s="195" t="s">
        <v>21</v>
      </c>
      <c r="L482" s="191" t="s">
        <v>23</v>
      </c>
      <c r="M482" s="188">
        <f>120000000-334439</f>
        <v>119665561</v>
      </c>
      <c r="N482" s="192" t="s">
        <v>23</v>
      </c>
      <c r="O482" s="192" t="s">
        <v>23</v>
      </c>
      <c r="P482" s="192" t="s">
        <v>24</v>
      </c>
    </row>
    <row r="483" spans="1:16" ht="60" x14ac:dyDescent="0.3">
      <c r="A483" s="4">
        <v>2023451</v>
      </c>
      <c r="B483" s="2" t="s">
        <v>17</v>
      </c>
      <c r="C483" s="2" t="s">
        <v>17</v>
      </c>
      <c r="D483" s="191" t="s">
        <v>319</v>
      </c>
      <c r="E483" s="192" t="s">
        <v>361</v>
      </c>
      <c r="F483" s="191" t="s">
        <v>412</v>
      </c>
      <c r="G483" s="193">
        <v>44927</v>
      </c>
      <c r="H483" s="193">
        <v>44977</v>
      </c>
      <c r="I483" s="191">
        <v>12</v>
      </c>
      <c r="J483" s="191" t="s">
        <v>159</v>
      </c>
      <c r="K483" s="195" t="s">
        <v>21</v>
      </c>
      <c r="L483" s="191" t="s">
        <v>23</v>
      </c>
      <c r="M483" s="188">
        <f>639000000-39000000</f>
        <v>600000000</v>
      </c>
      <c r="N483" s="192" t="s">
        <v>23</v>
      </c>
      <c r="O483" s="192" t="s">
        <v>23</v>
      </c>
      <c r="P483" s="192" t="s">
        <v>24</v>
      </c>
    </row>
    <row r="484" spans="1:16" ht="30" x14ac:dyDescent="0.3">
      <c r="A484" s="2">
        <v>2023452</v>
      </c>
      <c r="B484" s="2" t="s">
        <v>17</v>
      </c>
      <c r="C484" s="2" t="s">
        <v>17</v>
      </c>
      <c r="D484" s="191" t="s">
        <v>319</v>
      </c>
      <c r="E484" s="192" t="s">
        <v>413</v>
      </c>
      <c r="F484" s="191" t="s">
        <v>414</v>
      </c>
      <c r="G484" s="193">
        <v>44958</v>
      </c>
      <c r="H484" s="193">
        <v>44941</v>
      </c>
      <c r="I484" s="191">
        <v>10</v>
      </c>
      <c r="J484" s="191" t="s">
        <v>20</v>
      </c>
      <c r="K484" s="195" t="s">
        <v>21</v>
      </c>
      <c r="L484" s="191" t="s">
        <v>23</v>
      </c>
      <c r="M484" s="188">
        <v>8000000</v>
      </c>
      <c r="N484" s="192" t="s">
        <v>23</v>
      </c>
      <c r="O484" s="192" t="s">
        <v>23</v>
      </c>
      <c r="P484" s="192" t="s">
        <v>24</v>
      </c>
    </row>
    <row r="485" spans="1:16" ht="45" x14ac:dyDescent="0.3">
      <c r="A485" s="2">
        <v>2023453</v>
      </c>
      <c r="B485" s="2" t="s">
        <v>17</v>
      </c>
      <c r="C485" s="2" t="s">
        <v>17</v>
      </c>
      <c r="D485" s="191" t="s">
        <v>319</v>
      </c>
      <c r="E485" s="192" t="s">
        <v>413</v>
      </c>
      <c r="F485" s="191" t="s">
        <v>415</v>
      </c>
      <c r="G485" s="193">
        <v>44958</v>
      </c>
      <c r="H485" s="193">
        <v>44941</v>
      </c>
      <c r="I485" s="191">
        <v>10</v>
      </c>
      <c r="J485" s="191" t="s">
        <v>20</v>
      </c>
      <c r="K485" s="195" t="s">
        <v>21</v>
      </c>
      <c r="L485" s="191" t="s">
        <v>23</v>
      </c>
      <c r="M485" s="188">
        <v>19000000</v>
      </c>
      <c r="N485" s="192" t="s">
        <v>23</v>
      </c>
      <c r="O485" s="192" t="s">
        <v>23</v>
      </c>
      <c r="P485" s="192" t="s">
        <v>24</v>
      </c>
    </row>
    <row r="486" spans="1:16" ht="45" x14ac:dyDescent="0.3">
      <c r="A486" s="2">
        <v>2023454</v>
      </c>
      <c r="B486" s="2" t="s">
        <v>17</v>
      </c>
      <c r="C486" s="2" t="s">
        <v>17</v>
      </c>
      <c r="D486" s="191" t="s">
        <v>319</v>
      </c>
      <c r="E486" s="192" t="s">
        <v>413</v>
      </c>
      <c r="F486" s="191" t="s">
        <v>416</v>
      </c>
      <c r="G486" s="193">
        <v>44958</v>
      </c>
      <c r="H486" s="193">
        <v>44941</v>
      </c>
      <c r="I486" s="191">
        <v>10</v>
      </c>
      <c r="J486" s="191" t="s">
        <v>20</v>
      </c>
      <c r="K486" s="195" t="s">
        <v>21</v>
      </c>
      <c r="L486" s="191" t="s">
        <v>23</v>
      </c>
      <c r="M486" s="188">
        <v>8000000</v>
      </c>
      <c r="N486" s="192" t="s">
        <v>23</v>
      </c>
      <c r="O486" s="192" t="s">
        <v>23</v>
      </c>
      <c r="P486" s="192" t="s">
        <v>24</v>
      </c>
    </row>
    <row r="487" spans="1:16" s="159" customFormat="1" ht="60" x14ac:dyDescent="0.35">
      <c r="A487" s="4">
        <v>2023455</v>
      </c>
      <c r="B487" s="2" t="s">
        <v>17</v>
      </c>
      <c r="C487" s="2" t="s">
        <v>17</v>
      </c>
      <c r="D487" s="191" t="s">
        <v>319</v>
      </c>
      <c r="E487" s="192" t="s">
        <v>417</v>
      </c>
      <c r="F487" s="191" t="s">
        <v>418</v>
      </c>
      <c r="G487" s="193">
        <v>44977</v>
      </c>
      <c r="H487" s="193">
        <v>44988</v>
      </c>
      <c r="I487" s="191">
        <v>10</v>
      </c>
      <c r="J487" s="191" t="s">
        <v>154</v>
      </c>
      <c r="K487" s="195" t="s">
        <v>21</v>
      </c>
      <c r="L487" s="191" t="s">
        <v>23</v>
      </c>
      <c r="M487" s="188">
        <v>158002000</v>
      </c>
      <c r="N487" s="192" t="s">
        <v>23</v>
      </c>
      <c r="O487" s="192" t="s">
        <v>23</v>
      </c>
      <c r="P487" s="192" t="s">
        <v>24</v>
      </c>
    </row>
    <row r="488" spans="1:16" s="159" customFormat="1" ht="90" x14ac:dyDescent="0.35">
      <c r="A488" s="2">
        <v>2023456</v>
      </c>
      <c r="B488" s="2" t="s">
        <v>17</v>
      </c>
      <c r="C488" s="2" t="s">
        <v>17</v>
      </c>
      <c r="D488" s="191" t="s">
        <v>319</v>
      </c>
      <c r="E488" s="192" t="s">
        <v>419</v>
      </c>
      <c r="F488" s="191" t="s">
        <v>420</v>
      </c>
      <c r="G488" s="193">
        <v>44958</v>
      </c>
      <c r="H488" s="193">
        <v>45000</v>
      </c>
      <c r="I488" s="191">
        <v>5</v>
      </c>
      <c r="J488" s="191" t="s">
        <v>118</v>
      </c>
      <c r="K488" s="195" t="s">
        <v>21</v>
      </c>
      <c r="L488" s="191" t="s">
        <v>23</v>
      </c>
      <c r="M488" s="188">
        <f>42000000-13362480</f>
        <v>28637520</v>
      </c>
      <c r="N488" s="192" t="s">
        <v>23</v>
      </c>
      <c r="O488" s="192" t="s">
        <v>23</v>
      </c>
      <c r="P488" s="192" t="s">
        <v>24</v>
      </c>
    </row>
    <row r="489" spans="1:16" ht="90" x14ac:dyDescent="0.3">
      <c r="A489" s="4">
        <v>2023457</v>
      </c>
      <c r="B489" s="2" t="s">
        <v>17</v>
      </c>
      <c r="C489" s="2" t="s">
        <v>17</v>
      </c>
      <c r="D489" s="191" t="s">
        <v>319</v>
      </c>
      <c r="E489" s="192" t="s">
        <v>361</v>
      </c>
      <c r="F489" s="191" t="s">
        <v>362</v>
      </c>
      <c r="G489" s="193">
        <v>44928</v>
      </c>
      <c r="H489" s="193">
        <v>44972</v>
      </c>
      <c r="I489" s="191">
        <v>2</v>
      </c>
      <c r="J489" s="191" t="s">
        <v>159</v>
      </c>
      <c r="K489" s="195" t="s">
        <v>21</v>
      </c>
      <c r="L489" s="191" t="s">
        <v>23</v>
      </c>
      <c r="M489" s="188">
        <v>200000000</v>
      </c>
      <c r="N489" s="192" t="s">
        <v>23</v>
      </c>
      <c r="O489" s="192" t="s">
        <v>23</v>
      </c>
      <c r="P489" s="192" t="s">
        <v>364</v>
      </c>
    </row>
    <row r="490" spans="1:16" ht="60" x14ac:dyDescent="0.3">
      <c r="A490" s="2">
        <v>2023459</v>
      </c>
      <c r="B490" s="2" t="s">
        <v>17</v>
      </c>
      <c r="C490" s="2" t="s">
        <v>17</v>
      </c>
      <c r="D490" s="191" t="s">
        <v>319</v>
      </c>
      <c r="E490" s="192" t="s">
        <v>421</v>
      </c>
      <c r="F490" s="191" t="s">
        <v>422</v>
      </c>
      <c r="G490" s="193">
        <v>44928</v>
      </c>
      <c r="H490" s="193">
        <v>44972</v>
      </c>
      <c r="I490" s="191">
        <v>2</v>
      </c>
      <c r="J490" s="191" t="s">
        <v>66</v>
      </c>
      <c r="K490" s="195" t="s">
        <v>21</v>
      </c>
      <c r="L490" s="191" t="s">
        <v>23</v>
      </c>
      <c r="M490" s="188">
        <f>37995696+6934000</f>
        <v>44929696</v>
      </c>
      <c r="N490" s="192" t="s">
        <v>23</v>
      </c>
      <c r="O490" s="192" t="s">
        <v>23</v>
      </c>
      <c r="P490" s="192" t="s">
        <v>364</v>
      </c>
    </row>
    <row r="491" spans="1:16" ht="45" x14ac:dyDescent="0.3">
      <c r="A491" s="2">
        <v>2023460</v>
      </c>
      <c r="B491" s="2" t="s">
        <v>17</v>
      </c>
      <c r="C491" s="2" t="s">
        <v>17</v>
      </c>
      <c r="D491" s="191" t="s">
        <v>319</v>
      </c>
      <c r="E491" s="192">
        <v>80111600</v>
      </c>
      <c r="F491" s="191" t="s">
        <v>423</v>
      </c>
      <c r="G491" s="193">
        <v>44927</v>
      </c>
      <c r="H491" s="193">
        <v>44941</v>
      </c>
      <c r="I491" s="191">
        <v>8</v>
      </c>
      <c r="J491" s="191" t="s">
        <v>20</v>
      </c>
      <c r="K491" s="195" t="s">
        <v>21</v>
      </c>
      <c r="L491" s="191" t="s">
        <v>23</v>
      </c>
      <c r="M491" s="188">
        <v>19600000</v>
      </c>
      <c r="N491" s="192" t="s">
        <v>23</v>
      </c>
      <c r="O491" s="192" t="s">
        <v>23</v>
      </c>
      <c r="P491" s="192" t="s">
        <v>24</v>
      </c>
    </row>
    <row r="492" spans="1:16" ht="45" x14ac:dyDescent="0.3">
      <c r="A492" s="4">
        <v>2023462</v>
      </c>
      <c r="B492" s="2" t="s">
        <v>17</v>
      </c>
      <c r="C492" s="2" t="s">
        <v>17</v>
      </c>
      <c r="D492" s="191" t="s">
        <v>319</v>
      </c>
      <c r="E492" s="192">
        <v>80111600</v>
      </c>
      <c r="F492" s="191" t="s">
        <v>424</v>
      </c>
      <c r="G492" s="193">
        <v>44927</v>
      </c>
      <c r="H492" s="193">
        <v>44941</v>
      </c>
      <c r="I492" s="191">
        <v>10</v>
      </c>
      <c r="J492" s="191" t="s">
        <v>20</v>
      </c>
      <c r="K492" s="195" t="s">
        <v>21</v>
      </c>
      <c r="L492" s="191" t="s">
        <v>23</v>
      </c>
      <c r="M492" s="188">
        <v>73000000</v>
      </c>
      <c r="N492" s="192" t="s">
        <v>23</v>
      </c>
      <c r="O492" s="192" t="s">
        <v>23</v>
      </c>
      <c r="P492" s="192" t="s">
        <v>24</v>
      </c>
    </row>
    <row r="493" spans="1:16" ht="45" x14ac:dyDescent="0.3">
      <c r="A493" s="4">
        <v>2023463</v>
      </c>
      <c r="B493" s="2" t="s">
        <v>17</v>
      </c>
      <c r="C493" s="2" t="s">
        <v>17</v>
      </c>
      <c r="D493" s="191" t="s">
        <v>319</v>
      </c>
      <c r="E493" s="192">
        <v>80111600</v>
      </c>
      <c r="F493" s="191" t="s">
        <v>425</v>
      </c>
      <c r="G493" s="193">
        <v>45030</v>
      </c>
      <c r="H493" s="193">
        <v>45043</v>
      </c>
      <c r="I493" s="191">
        <v>9</v>
      </c>
      <c r="J493" s="191" t="s">
        <v>20</v>
      </c>
      <c r="K493" s="195" t="s">
        <v>21</v>
      </c>
      <c r="L493" s="191" t="s">
        <v>23</v>
      </c>
      <c r="M493" s="188">
        <f>33600000+12213600</f>
        <v>45813600</v>
      </c>
      <c r="N493" s="192" t="s">
        <v>23</v>
      </c>
      <c r="O493" s="192" t="s">
        <v>23</v>
      </c>
      <c r="P493" s="192" t="s">
        <v>24</v>
      </c>
    </row>
    <row r="494" spans="1:16" ht="60" x14ac:dyDescent="0.3">
      <c r="A494" s="2">
        <v>2023464</v>
      </c>
      <c r="B494" s="2" t="s">
        <v>17</v>
      </c>
      <c r="C494" s="2" t="s">
        <v>17</v>
      </c>
      <c r="D494" s="191" t="s">
        <v>319</v>
      </c>
      <c r="E494" s="192">
        <v>80111600</v>
      </c>
      <c r="F494" s="191" t="s">
        <v>426</v>
      </c>
      <c r="G494" s="193">
        <v>44927</v>
      </c>
      <c r="H494" s="193">
        <v>44941</v>
      </c>
      <c r="I494" s="191">
        <v>10</v>
      </c>
      <c r="J494" s="191" t="s">
        <v>20</v>
      </c>
      <c r="K494" s="195" t="s">
        <v>21</v>
      </c>
      <c r="L494" s="191" t="s">
        <v>23</v>
      </c>
      <c r="M494" s="188">
        <v>33500000</v>
      </c>
      <c r="N494" s="192" t="s">
        <v>23</v>
      </c>
      <c r="O494" s="192" t="s">
        <v>23</v>
      </c>
      <c r="P494" s="192" t="s">
        <v>24</v>
      </c>
    </row>
    <row r="495" spans="1:16" ht="75" x14ac:dyDescent="0.3">
      <c r="A495" s="2">
        <v>2023465</v>
      </c>
      <c r="B495" s="2" t="s">
        <v>17</v>
      </c>
      <c r="C495" s="2" t="s">
        <v>17</v>
      </c>
      <c r="D495" s="191" t="s">
        <v>319</v>
      </c>
      <c r="E495" s="192">
        <v>80111600</v>
      </c>
      <c r="F495" s="191" t="s">
        <v>427</v>
      </c>
      <c r="G495" s="193">
        <v>44927</v>
      </c>
      <c r="H495" s="193">
        <v>44941</v>
      </c>
      <c r="I495" s="191">
        <v>10</v>
      </c>
      <c r="J495" s="191" t="s">
        <v>20</v>
      </c>
      <c r="K495" s="195" t="s">
        <v>21</v>
      </c>
      <c r="L495" s="191" t="s">
        <v>23</v>
      </c>
      <c r="M495" s="188">
        <v>38500000</v>
      </c>
      <c r="N495" s="192" t="s">
        <v>23</v>
      </c>
      <c r="O495" s="192" t="s">
        <v>23</v>
      </c>
      <c r="P495" s="192" t="s">
        <v>24</v>
      </c>
    </row>
    <row r="496" spans="1:16" ht="45" x14ac:dyDescent="0.3">
      <c r="A496" s="4">
        <v>2023466</v>
      </c>
      <c r="B496" s="2" t="s">
        <v>17</v>
      </c>
      <c r="C496" s="2" t="s">
        <v>17</v>
      </c>
      <c r="D496" s="191" t="s">
        <v>319</v>
      </c>
      <c r="E496" s="192">
        <v>80111600</v>
      </c>
      <c r="F496" s="191" t="s">
        <v>423</v>
      </c>
      <c r="G496" s="193">
        <v>44927</v>
      </c>
      <c r="H496" s="193">
        <v>44941</v>
      </c>
      <c r="I496" s="191">
        <v>6</v>
      </c>
      <c r="J496" s="191" t="s">
        <v>20</v>
      </c>
      <c r="K496" s="195" t="s">
        <v>21</v>
      </c>
      <c r="L496" s="191" t="s">
        <v>23</v>
      </c>
      <c r="M496" s="188">
        <v>12600000</v>
      </c>
      <c r="N496" s="192" t="s">
        <v>23</v>
      </c>
      <c r="O496" s="192" t="s">
        <v>23</v>
      </c>
      <c r="P496" s="192" t="s">
        <v>24</v>
      </c>
    </row>
    <row r="497" spans="1:16" ht="45" x14ac:dyDescent="0.3">
      <c r="A497" s="4">
        <v>2023467</v>
      </c>
      <c r="B497" s="2" t="s">
        <v>17</v>
      </c>
      <c r="C497" s="2" t="s">
        <v>17</v>
      </c>
      <c r="D497" s="191" t="s">
        <v>319</v>
      </c>
      <c r="E497" s="192">
        <v>80111600</v>
      </c>
      <c r="F497" s="191" t="s">
        <v>428</v>
      </c>
      <c r="G497" s="193">
        <v>45030</v>
      </c>
      <c r="H497" s="193">
        <v>45043</v>
      </c>
      <c r="I497" s="191">
        <v>9</v>
      </c>
      <c r="J497" s="191" t="s">
        <v>20</v>
      </c>
      <c r="K497" s="195" t="s">
        <v>21</v>
      </c>
      <c r="L497" s="191" t="s">
        <v>23</v>
      </c>
      <c r="M497" s="188">
        <f>30150000+3955680</f>
        <v>34105680</v>
      </c>
      <c r="N497" s="192" t="s">
        <v>23</v>
      </c>
      <c r="O497" s="192" t="s">
        <v>23</v>
      </c>
      <c r="P497" s="192" t="s">
        <v>24</v>
      </c>
    </row>
    <row r="498" spans="1:16" ht="45" x14ac:dyDescent="0.3">
      <c r="A498" s="2">
        <v>2023468</v>
      </c>
      <c r="B498" s="2" t="s">
        <v>17</v>
      </c>
      <c r="C498" s="2" t="s">
        <v>17</v>
      </c>
      <c r="D498" s="191" t="s">
        <v>319</v>
      </c>
      <c r="E498" s="192">
        <v>80111600</v>
      </c>
      <c r="F498" s="191" t="s">
        <v>423</v>
      </c>
      <c r="G498" s="193">
        <v>44927</v>
      </c>
      <c r="H498" s="193">
        <v>44941</v>
      </c>
      <c r="I498" s="191">
        <v>8</v>
      </c>
      <c r="J498" s="191" t="s">
        <v>20</v>
      </c>
      <c r="K498" s="195" t="s">
        <v>21</v>
      </c>
      <c r="L498" s="191" t="s">
        <v>23</v>
      </c>
      <c r="M498" s="188">
        <v>19600000</v>
      </c>
      <c r="N498" s="192" t="s">
        <v>23</v>
      </c>
      <c r="O498" s="192" t="s">
        <v>23</v>
      </c>
      <c r="P498" s="192" t="s">
        <v>24</v>
      </c>
    </row>
    <row r="499" spans="1:16" ht="45" x14ac:dyDescent="0.3">
      <c r="A499" s="2">
        <v>2023469</v>
      </c>
      <c r="B499" s="2" t="s">
        <v>17</v>
      </c>
      <c r="C499" s="2" t="s">
        <v>17</v>
      </c>
      <c r="D499" s="191" t="s">
        <v>319</v>
      </c>
      <c r="E499" s="192">
        <v>80111600</v>
      </c>
      <c r="F499" s="191" t="s">
        <v>423</v>
      </c>
      <c r="G499" s="193">
        <v>44927</v>
      </c>
      <c r="H499" s="193">
        <v>44941</v>
      </c>
      <c r="I499" s="191">
        <v>6</v>
      </c>
      <c r="J499" s="191" t="s">
        <v>20</v>
      </c>
      <c r="K499" s="195" t="s">
        <v>21</v>
      </c>
      <c r="L499" s="191" t="s">
        <v>23</v>
      </c>
      <c r="M499" s="188">
        <v>14700000</v>
      </c>
      <c r="N499" s="192" t="s">
        <v>23</v>
      </c>
      <c r="O499" s="192" t="s">
        <v>23</v>
      </c>
      <c r="P499" s="192" t="s">
        <v>24</v>
      </c>
    </row>
    <row r="500" spans="1:16" ht="75" x14ac:dyDescent="0.3">
      <c r="A500" s="4">
        <v>2023470</v>
      </c>
      <c r="B500" s="2" t="s">
        <v>17</v>
      </c>
      <c r="C500" s="2" t="s">
        <v>17</v>
      </c>
      <c r="D500" s="191" t="s">
        <v>319</v>
      </c>
      <c r="E500" s="192">
        <v>80111600</v>
      </c>
      <c r="F500" s="191" t="s">
        <v>429</v>
      </c>
      <c r="G500" s="193">
        <v>44927</v>
      </c>
      <c r="H500" s="193">
        <v>44941</v>
      </c>
      <c r="I500" s="191">
        <v>11</v>
      </c>
      <c r="J500" s="191" t="s">
        <v>20</v>
      </c>
      <c r="K500" s="195" t="s">
        <v>21</v>
      </c>
      <c r="L500" s="191" t="s">
        <v>23</v>
      </c>
      <c r="M500" s="188">
        <f>55000000+44000000</f>
        <v>99000000</v>
      </c>
      <c r="N500" s="192" t="s">
        <v>23</v>
      </c>
      <c r="O500" s="192" t="s">
        <v>23</v>
      </c>
      <c r="P500" s="192" t="s">
        <v>24</v>
      </c>
    </row>
    <row r="501" spans="1:16" ht="45" x14ac:dyDescent="0.3">
      <c r="A501" s="4">
        <v>2023471</v>
      </c>
      <c r="B501" s="2" t="s">
        <v>17</v>
      </c>
      <c r="C501" s="2" t="s">
        <v>17</v>
      </c>
      <c r="D501" s="191" t="s">
        <v>319</v>
      </c>
      <c r="E501" s="192">
        <v>80111600</v>
      </c>
      <c r="F501" s="191" t="s">
        <v>430</v>
      </c>
      <c r="G501" s="193">
        <v>44927</v>
      </c>
      <c r="H501" s="193">
        <v>44941</v>
      </c>
      <c r="I501" s="191">
        <v>9</v>
      </c>
      <c r="J501" s="191" t="s">
        <v>20</v>
      </c>
      <c r="K501" s="195" t="s">
        <v>21</v>
      </c>
      <c r="L501" s="191" t="s">
        <v>23</v>
      </c>
      <c r="M501" s="188">
        <v>18900000</v>
      </c>
      <c r="N501" s="192" t="s">
        <v>23</v>
      </c>
      <c r="O501" s="192" t="s">
        <v>23</v>
      </c>
      <c r="P501" s="192" t="s">
        <v>24</v>
      </c>
    </row>
    <row r="502" spans="1:16" ht="45" x14ac:dyDescent="0.3">
      <c r="A502" s="2">
        <v>2023472</v>
      </c>
      <c r="B502" s="2" t="s">
        <v>17</v>
      </c>
      <c r="C502" s="2" t="s">
        <v>17</v>
      </c>
      <c r="D502" s="191" t="s">
        <v>319</v>
      </c>
      <c r="E502" s="192">
        <v>80111600</v>
      </c>
      <c r="F502" s="191" t="s">
        <v>431</v>
      </c>
      <c r="G502" s="193">
        <v>44927</v>
      </c>
      <c r="H502" s="193">
        <v>44941</v>
      </c>
      <c r="I502" s="191">
        <v>10</v>
      </c>
      <c r="J502" s="191" t="s">
        <v>20</v>
      </c>
      <c r="K502" s="195" t="s">
        <v>21</v>
      </c>
      <c r="L502" s="191" t="s">
        <v>23</v>
      </c>
      <c r="M502" s="188">
        <v>24500000</v>
      </c>
      <c r="N502" s="192" t="s">
        <v>23</v>
      </c>
      <c r="O502" s="192" t="s">
        <v>23</v>
      </c>
      <c r="P502" s="192" t="s">
        <v>24</v>
      </c>
    </row>
    <row r="503" spans="1:16" ht="45" x14ac:dyDescent="0.3">
      <c r="A503" s="2">
        <v>2023473</v>
      </c>
      <c r="B503" s="2" t="s">
        <v>17</v>
      </c>
      <c r="C503" s="2" t="s">
        <v>17</v>
      </c>
      <c r="D503" s="191" t="s">
        <v>319</v>
      </c>
      <c r="E503" s="192">
        <v>80111600</v>
      </c>
      <c r="F503" s="191" t="s">
        <v>431</v>
      </c>
      <c r="G503" s="193">
        <v>44927</v>
      </c>
      <c r="H503" s="193">
        <v>44941</v>
      </c>
      <c r="I503" s="191">
        <v>9</v>
      </c>
      <c r="J503" s="191" t="s">
        <v>20</v>
      </c>
      <c r="K503" s="195" t="s">
        <v>21</v>
      </c>
      <c r="L503" s="191" t="s">
        <v>23</v>
      </c>
      <c r="M503" s="188">
        <v>22050000</v>
      </c>
      <c r="N503" s="192" t="s">
        <v>23</v>
      </c>
      <c r="O503" s="192" t="s">
        <v>23</v>
      </c>
      <c r="P503" s="192" t="s">
        <v>24</v>
      </c>
    </row>
    <row r="504" spans="1:16" ht="75" x14ac:dyDescent="0.3">
      <c r="A504" s="4">
        <v>2023474</v>
      </c>
      <c r="B504" s="2" t="s">
        <v>17</v>
      </c>
      <c r="C504" s="2" t="s">
        <v>17</v>
      </c>
      <c r="D504" s="191" t="s">
        <v>319</v>
      </c>
      <c r="E504" s="192">
        <v>80111600</v>
      </c>
      <c r="F504" s="191" t="s">
        <v>432</v>
      </c>
      <c r="G504" s="193">
        <v>44986</v>
      </c>
      <c r="H504" s="193">
        <v>45000</v>
      </c>
      <c r="I504" s="191">
        <v>8</v>
      </c>
      <c r="J504" s="191" t="s">
        <v>20</v>
      </c>
      <c r="K504" s="195" t="s">
        <v>21</v>
      </c>
      <c r="L504" s="191" t="s">
        <v>23</v>
      </c>
      <c r="M504" s="188">
        <v>56000000</v>
      </c>
      <c r="N504" s="192" t="s">
        <v>23</v>
      </c>
      <c r="O504" s="192" t="s">
        <v>23</v>
      </c>
      <c r="P504" s="192" t="s">
        <v>24</v>
      </c>
    </row>
    <row r="505" spans="1:16" ht="45" x14ac:dyDescent="0.3">
      <c r="A505" s="4">
        <v>2023475</v>
      </c>
      <c r="B505" s="2" t="s">
        <v>17</v>
      </c>
      <c r="C505" s="2" t="s">
        <v>17</v>
      </c>
      <c r="D505" s="191" t="s">
        <v>319</v>
      </c>
      <c r="E505" s="192">
        <v>80111600</v>
      </c>
      <c r="F505" s="191" t="s">
        <v>430</v>
      </c>
      <c r="G505" s="193">
        <v>44927</v>
      </c>
      <c r="H505" s="193">
        <v>44941</v>
      </c>
      <c r="I505" s="191">
        <v>11</v>
      </c>
      <c r="J505" s="191" t="s">
        <v>20</v>
      </c>
      <c r="K505" s="195" t="s">
        <v>21</v>
      </c>
      <c r="L505" s="191" t="s">
        <v>23</v>
      </c>
      <c r="M505" s="188">
        <v>26950000</v>
      </c>
      <c r="N505" s="192" t="s">
        <v>23</v>
      </c>
      <c r="O505" s="192" t="s">
        <v>23</v>
      </c>
      <c r="P505" s="192" t="s">
        <v>24</v>
      </c>
    </row>
    <row r="506" spans="1:16" ht="75" x14ac:dyDescent="0.3">
      <c r="A506" s="2">
        <v>2023476</v>
      </c>
      <c r="B506" s="2" t="s">
        <v>17</v>
      </c>
      <c r="C506" s="2" t="s">
        <v>17</v>
      </c>
      <c r="D506" s="191" t="s">
        <v>319</v>
      </c>
      <c r="E506" s="192">
        <v>80111600</v>
      </c>
      <c r="F506" s="191" t="s">
        <v>433</v>
      </c>
      <c r="G506" s="193">
        <v>44927</v>
      </c>
      <c r="H506" s="193">
        <v>44941</v>
      </c>
      <c r="I506" s="191">
        <v>11</v>
      </c>
      <c r="J506" s="191" t="s">
        <v>20</v>
      </c>
      <c r="K506" s="195" t="s">
        <v>21</v>
      </c>
      <c r="L506" s="191" t="s">
        <v>23</v>
      </c>
      <c r="M506" s="188">
        <v>55000000</v>
      </c>
      <c r="N506" s="192" t="s">
        <v>23</v>
      </c>
      <c r="O506" s="192" t="s">
        <v>23</v>
      </c>
      <c r="P506" s="192" t="s">
        <v>24</v>
      </c>
    </row>
    <row r="507" spans="1:16" ht="45" x14ac:dyDescent="0.3">
      <c r="A507" s="2">
        <v>2023477</v>
      </c>
      <c r="B507" s="2" t="s">
        <v>17</v>
      </c>
      <c r="C507" s="2" t="s">
        <v>17</v>
      </c>
      <c r="D507" s="191" t="s">
        <v>319</v>
      </c>
      <c r="E507" s="192">
        <v>80111600</v>
      </c>
      <c r="F507" s="191" t="s">
        <v>425</v>
      </c>
      <c r="G507" s="193">
        <v>44986</v>
      </c>
      <c r="H507" s="193">
        <v>45000</v>
      </c>
      <c r="I507" s="191">
        <v>8</v>
      </c>
      <c r="J507" s="191" t="s">
        <v>20</v>
      </c>
      <c r="K507" s="195" t="s">
        <v>21</v>
      </c>
      <c r="L507" s="191" t="s">
        <v>23</v>
      </c>
      <c r="M507" s="188">
        <f>30800000</f>
        <v>30800000</v>
      </c>
      <c r="N507" s="192" t="s">
        <v>23</v>
      </c>
      <c r="O507" s="192" t="s">
        <v>23</v>
      </c>
      <c r="P507" s="192" t="s">
        <v>24</v>
      </c>
    </row>
    <row r="508" spans="1:16" ht="90" x14ac:dyDescent="0.3">
      <c r="A508" s="4">
        <v>2023478</v>
      </c>
      <c r="B508" s="2" t="s">
        <v>17</v>
      </c>
      <c r="C508" s="2" t="s">
        <v>17</v>
      </c>
      <c r="D508" s="191" t="s">
        <v>319</v>
      </c>
      <c r="E508" s="192">
        <v>80111600</v>
      </c>
      <c r="F508" s="191" t="s">
        <v>434</v>
      </c>
      <c r="G508" s="193">
        <v>44986</v>
      </c>
      <c r="H508" s="193">
        <v>45000</v>
      </c>
      <c r="I508" s="191">
        <v>9</v>
      </c>
      <c r="J508" s="191" t="s">
        <v>20</v>
      </c>
      <c r="K508" s="195" t="s">
        <v>21</v>
      </c>
      <c r="L508" s="191" t="s">
        <v>23</v>
      </c>
      <c r="M508" s="188">
        <f>30600000+5100000+10200000</f>
        <v>45900000</v>
      </c>
      <c r="N508" s="192" t="s">
        <v>23</v>
      </c>
      <c r="O508" s="192" t="s">
        <v>23</v>
      </c>
      <c r="P508" s="192" t="s">
        <v>24</v>
      </c>
    </row>
    <row r="509" spans="1:16" ht="75" x14ac:dyDescent="0.3">
      <c r="A509" s="4">
        <v>2023481</v>
      </c>
      <c r="B509" s="2" t="s">
        <v>17</v>
      </c>
      <c r="C509" s="2" t="s">
        <v>17</v>
      </c>
      <c r="D509" s="191" t="s">
        <v>319</v>
      </c>
      <c r="E509" s="192">
        <v>80111600</v>
      </c>
      <c r="F509" s="191" t="s">
        <v>435</v>
      </c>
      <c r="G509" s="193">
        <v>44927</v>
      </c>
      <c r="H509" s="193">
        <v>44941</v>
      </c>
      <c r="I509" s="191">
        <v>9</v>
      </c>
      <c r="J509" s="191" t="s">
        <v>20</v>
      </c>
      <c r="K509" s="195" t="s">
        <v>21</v>
      </c>
      <c r="L509" s="191" t="s">
        <v>23</v>
      </c>
      <c r="M509" s="188">
        <f>40500000-22500000</f>
        <v>18000000</v>
      </c>
      <c r="N509" s="192" t="s">
        <v>23</v>
      </c>
      <c r="O509" s="192" t="s">
        <v>23</v>
      </c>
      <c r="P509" s="192" t="s">
        <v>24</v>
      </c>
    </row>
    <row r="510" spans="1:16" ht="60" x14ac:dyDescent="0.3">
      <c r="A510" s="4">
        <v>2023482</v>
      </c>
      <c r="B510" s="2" t="s">
        <v>17</v>
      </c>
      <c r="C510" s="2" t="s">
        <v>17</v>
      </c>
      <c r="D510" s="191" t="s">
        <v>319</v>
      </c>
      <c r="E510" s="192">
        <v>80111600</v>
      </c>
      <c r="F510" s="191" t="s">
        <v>436</v>
      </c>
      <c r="G510" s="193">
        <v>44927</v>
      </c>
      <c r="H510" s="193">
        <v>44941</v>
      </c>
      <c r="I510" s="191">
        <v>9</v>
      </c>
      <c r="J510" s="191" t="s">
        <v>20</v>
      </c>
      <c r="K510" s="195" t="s">
        <v>21</v>
      </c>
      <c r="L510" s="191" t="s">
        <v>23</v>
      </c>
      <c r="M510" s="188">
        <v>61200000</v>
      </c>
      <c r="N510" s="192" t="s">
        <v>23</v>
      </c>
      <c r="O510" s="192" t="s">
        <v>23</v>
      </c>
      <c r="P510" s="192" t="s">
        <v>24</v>
      </c>
    </row>
    <row r="511" spans="1:16" ht="60" x14ac:dyDescent="0.3">
      <c r="A511" s="2">
        <v>2023484</v>
      </c>
      <c r="B511" s="2" t="s">
        <v>17</v>
      </c>
      <c r="C511" s="2" t="s">
        <v>17</v>
      </c>
      <c r="D511" s="191" t="s">
        <v>47</v>
      </c>
      <c r="E511" s="192">
        <v>80111600</v>
      </c>
      <c r="F511" s="191" t="s">
        <v>437</v>
      </c>
      <c r="G511" s="193">
        <v>44941</v>
      </c>
      <c r="H511" s="193">
        <v>45021</v>
      </c>
      <c r="I511" s="191">
        <v>8</v>
      </c>
      <c r="J511" s="191" t="s">
        <v>20</v>
      </c>
      <c r="K511" s="195" t="s">
        <v>21</v>
      </c>
      <c r="L511" s="191" t="s">
        <v>23</v>
      </c>
      <c r="M511" s="188">
        <v>73600000</v>
      </c>
      <c r="N511" s="192" t="s">
        <v>23</v>
      </c>
      <c r="O511" s="192" t="s">
        <v>23</v>
      </c>
      <c r="P511" s="192" t="s">
        <v>24</v>
      </c>
    </row>
    <row r="512" spans="1:16" ht="90" x14ac:dyDescent="0.3">
      <c r="A512" s="4">
        <v>2023485</v>
      </c>
      <c r="B512" s="2" t="s">
        <v>17</v>
      </c>
      <c r="C512" s="2" t="s">
        <v>17</v>
      </c>
      <c r="D512" s="191" t="s">
        <v>47</v>
      </c>
      <c r="E512" s="192">
        <v>80111600</v>
      </c>
      <c r="F512" s="191" t="s">
        <v>438</v>
      </c>
      <c r="G512" s="193">
        <v>45000</v>
      </c>
      <c r="H512" s="193">
        <v>45026</v>
      </c>
      <c r="I512" s="191">
        <v>8</v>
      </c>
      <c r="J512" s="191" t="s">
        <v>20</v>
      </c>
      <c r="K512" s="195" t="s">
        <v>21</v>
      </c>
      <c r="L512" s="191" t="s">
        <v>23</v>
      </c>
      <c r="M512" s="188">
        <v>56000000</v>
      </c>
      <c r="N512" s="192" t="s">
        <v>23</v>
      </c>
      <c r="O512" s="192" t="s">
        <v>23</v>
      </c>
      <c r="P512" s="192" t="s">
        <v>24</v>
      </c>
    </row>
    <row r="513" spans="1:16" ht="45" x14ac:dyDescent="0.3">
      <c r="A513" s="4">
        <v>2023488</v>
      </c>
      <c r="B513" s="2" t="s">
        <v>17</v>
      </c>
      <c r="C513" s="2" t="s">
        <v>17</v>
      </c>
      <c r="D513" s="191" t="s">
        <v>125</v>
      </c>
      <c r="E513" s="192">
        <v>80111600</v>
      </c>
      <c r="F513" s="191" t="s">
        <v>440</v>
      </c>
      <c r="G513" s="193">
        <v>44946</v>
      </c>
      <c r="H513" s="193">
        <v>44956</v>
      </c>
      <c r="I513" s="191">
        <v>6</v>
      </c>
      <c r="J513" s="191" t="s">
        <v>20</v>
      </c>
      <c r="K513" s="195" t="s">
        <v>21</v>
      </c>
      <c r="L513" s="191" t="s">
        <v>23</v>
      </c>
      <c r="M513" s="188">
        <f>11550000+4950000+3537500+1962500-11000000</f>
        <v>11000000</v>
      </c>
      <c r="N513" s="192" t="s">
        <v>23</v>
      </c>
      <c r="O513" s="192" t="s">
        <v>23</v>
      </c>
      <c r="P513" s="192" t="s">
        <v>24</v>
      </c>
    </row>
    <row r="514" spans="1:16" ht="60" x14ac:dyDescent="0.3">
      <c r="A514" s="2">
        <v>2023489</v>
      </c>
      <c r="B514" s="2" t="s">
        <v>17</v>
      </c>
      <c r="C514" s="2" t="s">
        <v>17</v>
      </c>
      <c r="D514" s="191" t="s">
        <v>125</v>
      </c>
      <c r="E514" s="192">
        <v>80111600</v>
      </c>
      <c r="F514" s="191" t="s">
        <v>129</v>
      </c>
      <c r="G514" s="193">
        <v>44927</v>
      </c>
      <c r="H514" s="193">
        <v>44958</v>
      </c>
      <c r="I514" s="191">
        <v>3</v>
      </c>
      <c r="J514" s="191" t="s">
        <v>20</v>
      </c>
      <c r="K514" s="195" t="s">
        <v>21</v>
      </c>
      <c r="L514" s="191" t="s">
        <v>23</v>
      </c>
      <c r="M514" s="188">
        <f>13041000+10625000+6734000-1900000-17100000</f>
        <v>11400000</v>
      </c>
      <c r="N514" s="192" t="s">
        <v>23</v>
      </c>
      <c r="O514" s="192" t="s">
        <v>23</v>
      </c>
      <c r="P514" s="192" t="s">
        <v>24</v>
      </c>
    </row>
    <row r="515" spans="1:16" ht="45" x14ac:dyDescent="0.3">
      <c r="A515" s="2">
        <v>2023490</v>
      </c>
      <c r="B515" s="120" t="s">
        <v>17</v>
      </c>
      <c r="C515" s="120" t="s">
        <v>17</v>
      </c>
      <c r="D515" s="191" t="s">
        <v>125</v>
      </c>
      <c r="E515" s="201">
        <v>80111600</v>
      </c>
      <c r="F515" s="200" t="s">
        <v>441</v>
      </c>
      <c r="G515" s="202">
        <v>45005</v>
      </c>
      <c r="H515" s="202">
        <v>45015</v>
      </c>
      <c r="I515" s="200">
        <v>9</v>
      </c>
      <c r="J515" s="200" t="s">
        <v>20</v>
      </c>
      <c r="K515" s="203" t="s">
        <v>21</v>
      </c>
      <c r="L515" s="191" t="s">
        <v>23</v>
      </c>
      <c r="M515" s="189">
        <f>53820000-4950000-14700000-6734000-1962500-5348500-14000000</f>
        <v>6125000</v>
      </c>
      <c r="N515" s="201" t="s">
        <v>23</v>
      </c>
      <c r="O515" s="201" t="s">
        <v>23</v>
      </c>
      <c r="P515" s="192" t="s">
        <v>24</v>
      </c>
    </row>
    <row r="516" spans="1:16" ht="45" x14ac:dyDescent="0.3">
      <c r="A516" s="4">
        <v>2023492</v>
      </c>
      <c r="B516" s="120" t="s">
        <v>17</v>
      </c>
      <c r="C516" s="120" t="s">
        <v>17</v>
      </c>
      <c r="D516" s="191" t="s">
        <v>125</v>
      </c>
      <c r="E516" s="201">
        <v>80111600</v>
      </c>
      <c r="F516" s="200" t="s">
        <v>442</v>
      </c>
      <c r="G516" s="202">
        <v>44986</v>
      </c>
      <c r="H516" s="202">
        <v>45017</v>
      </c>
      <c r="I516" s="200">
        <v>9</v>
      </c>
      <c r="J516" s="200" t="s">
        <v>20</v>
      </c>
      <c r="K516" s="203" t="s">
        <v>21</v>
      </c>
      <c r="L516" s="191" t="s">
        <v>23</v>
      </c>
      <c r="M516" s="189">
        <v>39123000</v>
      </c>
      <c r="N516" s="201" t="s">
        <v>23</v>
      </c>
      <c r="O516" s="201" t="s">
        <v>23</v>
      </c>
      <c r="P516" s="192" t="s">
        <v>24</v>
      </c>
    </row>
    <row r="517" spans="1:16" ht="90" x14ac:dyDescent="0.3">
      <c r="A517" s="4">
        <v>2023493</v>
      </c>
      <c r="B517" s="120" t="s">
        <v>17</v>
      </c>
      <c r="C517" s="120" t="s">
        <v>17</v>
      </c>
      <c r="D517" s="191" t="s">
        <v>125</v>
      </c>
      <c r="E517" s="201">
        <v>80111600</v>
      </c>
      <c r="F517" s="200" t="s">
        <v>135</v>
      </c>
      <c r="G517" s="202">
        <v>44958</v>
      </c>
      <c r="H517" s="202">
        <v>44986</v>
      </c>
      <c r="I517" s="200">
        <v>10</v>
      </c>
      <c r="J517" s="200" t="s">
        <v>20</v>
      </c>
      <c r="K517" s="203" t="s">
        <v>21</v>
      </c>
      <c r="L517" s="200" t="s">
        <v>23</v>
      </c>
      <c r="M517" s="189">
        <f>31050000-4225000-3537500-13972500</f>
        <v>9315000</v>
      </c>
      <c r="N517" s="201" t="s">
        <v>23</v>
      </c>
      <c r="O517" s="201" t="s">
        <v>23</v>
      </c>
      <c r="P517" s="192" t="s">
        <v>24</v>
      </c>
    </row>
    <row r="518" spans="1:16" ht="45" x14ac:dyDescent="0.3">
      <c r="A518" s="4">
        <v>2023494</v>
      </c>
      <c r="B518" s="120" t="s">
        <v>17</v>
      </c>
      <c r="C518" s="120" t="s">
        <v>17</v>
      </c>
      <c r="D518" s="191" t="s">
        <v>45</v>
      </c>
      <c r="E518" s="201" t="s">
        <v>443</v>
      </c>
      <c r="F518" s="200" t="s">
        <v>444</v>
      </c>
      <c r="G518" s="202">
        <v>44986</v>
      </c>
      <c r="H518" s="202">
        <v>45000</v>
      </c>
      <c r="I518" s="200">
        <v>6</v>
      </c>
      <c r="J518" s="200" t="s">
        <v>101</v>
      </c>
      <c r="K518" s="203" t="s">
        <v>21</v>
      </c>
      <c r="L518" s="200" t="s">
        <v>23</v>
      </c>
      <c r="M518" s="189">
        <f>505794000-100000000-27500000-72500000</f>
        <v>305794000</v>
      </c>
      <c r="N518" s="201" t="s">
        <v>23</v>
      </c>
      <c r="O518" s="201" t="s">
        <v>23</v>
      </c>
      <c r="P518" s="192" t="s">
        <v>24</v>
      </c>
    </row>
    <row r="519" spans="1:16" ht="90" x14ac:dyDescent="0.3">
      <c r="A519" s="4">
        <v>2023495</v>
      </c>
      <c r="B519" s="120" t="s">
        <v>17</v>
      </c>
      <c r="C519" s="120" t="s">
        <v>17</v>
      </c>
      <c r="D519" s="191" t="s">
        <v>221</v>
      </c>
      <c r="E519" s="201" t="s">
        <v>445</v>
      </c>
      <c r="F519" s="200" t="s">
        <v>446</v>
      </c>
      <c r="G519" s="202">
        <v>44941</v>
      </c>
      <c r="H519" s="202">
        <v>44957</v>
      </c>
      <c r="I519" s="200">
        <v>11</v>
      </c>
      <c r="J519" s="200" t="s">
        <v>118</v>
      </c>
      <c r="K519" s="203" t="s">
        <v>21</v>
      </c>
      <c r="L519" s="200" t="s">
        <v>23</v>
      </c>
      <c r="M519" s="189">
        <v>27350000</v>
      </c>
      <c r="N519" s="201" t="s">
        <v>23</v>
      </c>
      <c r="O519" s="201" t="s">
        <v>23</v>
      </c>
      <c r="P519" s="192" t="s">
        <v>24</v>
      </c>
    </row>
    <row r="520" spans="1:16" ht="60" x14ac:dyDescent="0.3">
      <c r="A520" s="4">
        <v>2023496</v>
      </c>
      <c r="B520" s="120" t="s">
        <v>17</v>
      </c>
      <c r="C520" s="120" t="s">
        <v>17</v>
      </c>
      <c r="D520" s="191" t="s">
        <v>125</v>
      </c>
      <c r="E520" s="201" t="s">
        <v>447</v>
      </c>
      <c r="F520" s="200" t="s">
        <v>448</v>
      </c>
      <c r="G520" s="202">
        <v>44977</v>
      </c>
      <c r="H520" s="202">
        <v>45015</v>
      </c>
      <c r="I520" s="200">
        <v>9</v>
      </c>
      <c r="J520" s="200" t="s">
        <v>159</v>
      </c>
      <c r="K520" s="203" t="s">
        <v>21</v>
      </c>
      <c r="L520" s="191" t="s">
        <v>23</v>
      </c>
      <c r="M520" s="189">
        <v>1243200000</v>
      </c>
      <c r="N520" s="201" t="s">
        <v>23</v>
      </c>
      <c r="O520" s="201" t="s">
        <v>23</v>
      </c>
      <c r="P520" s="192" t="s">
        <v>24</v>
      </c>
    </row>
    <row r="521" spans="1:16" ht="90" x14ac:dyDescent="0.3">
      <c r="A521" s="4">
        <v>2023498</v>
      </c>
      <c r="B521" s="120" t="s">
        <v>17</v>
      </c>
      <c r="C521" s="120" t="s">
        <v>17</v>
      </c>
      <c r="D521" s="191" t="s">
        <v>125</v>
      </c>
      <c r="E521" s="201" t="s">
        <v>451</v>
      </c>
      <c r="F521" s="200" t="s">
        <v>452</v>
      </c>
      <c r="G521" s="202">
        <v>44986</v>
      </c>
      <c r="H521" s="202">
        <v>45016</v>
      </c>
      <c r="I521" s="200">
        <v>9</v>
      </c>
      <c r="J521" s="200" t="s">
        <v>154</v>
      </c>
      <c r="K521" s="203" t="s">
        <v>21</v>
      </c>
      <c r="L521" s="200" t="s">
        <v>23</v>
      </c>
      <c r="M521" s="189">
        <f>40000000-19000000</f>
        <v>21000000</v>
      </c>
      <c r="N521" s="201" t="s">
        <v>23</v>
      </c>
      <c r="O521" s="201" t="s">
        <v>23</v>
      </c>
      <c r="P521" s="192" t="s">
        <v>24</v>
      </c>
    </row>
    <row r="522" spans="1:16" ht="30" x14ac:dyDescent="0.3">
      <c r="A522" s="4">
        <v>2023499</v>
      </c>
      <c r="B522" s="120" t="s">
        <v>17</v>
      </c>
      <c r="C522" s="120" t="s">
        <v>17</v>
      </c>
      <c r="D522" s="191" t="s">
        <v>125</v>
      </c>
      <c r="E522" s="201" t="s">
        <v>767</v>
      </c>
      <c r="F522" s="200" t="s">
        <v>453</v>
      </c>
      <c r="G522" s="202">
        <v>45047</v>
      </c>
      <c r="H522" s="202">
        <v>45046</v>
      </c>
      <c r="I522" s="200">
        <v>5</v>
      </c>
      <c r="J522" s="200" t="s">
        <v>118</v>
      </c>
      <c r="K522" s="203" t="s">
        <v>21</v>
      </c>
      <c r="L522" s="191" t="s">
        <v>23</v>
      </c>
      <c r="M522" s="189">
        <f>15000000+7000000</f>
        <v>22000000</v>
      </c>
      <c r="N522" s="201" t="s">
        <v>23</v>
      </c>
      <c r="O522" s="201" t="s">
        <v>23</v>
      </c>
      <c r="P522" s="192" t="s">
        <v>24</v>
      </c>
    </row>
    <row r="523" spans="1:16" ht="60" x14ac:dyDescent="0.3">
      <c r="A523" s="4">
        <v>2023500</v>
      </c>
      <c r="B523" s="120" t="s">
        <v>17</v>
      </c>
      <c r="C523" s="120" t="s">
        <v>17</v>
      </c>
      <c r="D523" s="191" t="s">
        <v>125</v>
      </c>
      <c r="E523" s="201" t="s">
        <v>454</v>
      </c>
      <c r="F523" s="200" t="s">
        <v>455</v>
      </c>
      <c r="G523" s="202">
        <v>44986</v>
      </c>
      <c r="H523" s="202">
        <v>45046</v>
      </c>
      <c r="I523" s="200">
        <v>4</v>
      </c>
      <c r="J523" s="200" t="s">
        <v>118</v>
      </c>
      <c r="K523" s="203" t="s">
        <v>21</v>
      </c>
      <c r="L523" s="200" t="s">
        <v>23</v>
      </c>
      <c r="M523" s="189">
        <f>15000000-7000000</f>
        <v>8000000</v>
      </c>
      <c r="N523" s="201" t="s">
        <v>23</v>
      </c>
      <c r="O523" s="201" t="s">
        <v>23</v>
      </c>
      <c r="P523" s="192" t="s">
        <v>24</v>
      </c>
    </row>
    <row r="524" spans="1:16" ht="60" x14ac:dyDescent="0.3">
      <c r="A524" s="4">
        <v>2023501</v>
      </c>
      <c r="B524" s="120">
        <v>7655</v>
      </c>
      <c r="C524" s="162" t="s">
        <v>25</v>
      </c>
      <c r="D524" s="191" t="s">
        <v>125</v>
      </c>
      <c r="E524" s="201">
        <v>80111600</v>
      </c>
      <c r="F524" s="200" t="s">
        <v>456</v>
      </c>
      <c r="G524" s="202">
        <v>44946</v>
      </c>
      <c r="H524" s="202">
        <v>44956</v>
      </c>
      <c r="I524" s="200">
        <v>10</v>
      </c>
      <c r="J524" s="200" t="s">
        <v>20</v>
      </c>
      <c r="K524" s="203" t="s">
        <v>21</v>
      </c>
      <c r="L524" s="191" t="s">
        <v>27</v>
      </c>
      <c r="M524" s="215">
        <f>43470000+45000000-11400000-17388000-16000000-6732500-19561500</f>
        <v>17388000</v>
      </c>
      <c r="N524" s="192" t="s">
        <v>28</v>
      </c>
      <c r="O524" s="201" t="s">
        <v>29</v>
      </c>
      <c r="P524" s="192" t="s">
        <v>24</v>
      </c>
    </row>
    <row r="525" spans="1:16" ht="75" x14ac:dyDescent="0.3">
      <c r="A525" s="4">
        <v>2023503</v>
      </c>
      <c r="B525" s="120">
        <v>7658</v>
      </c>
      <c r="C525" s="162" t="s">
        <v>457</v>
      </c>
      <c r="D525" s="191" t="s">
        <v>125</v>
      </c>
      <c r="E525" s="201">
        <v>80111600</v>
      </c>
      <c r="F525" s="200" t="s">
        <v>459</v>
      </c>
      <c r="G525" s="202">
        <v>44946</v>
      </c>
      <c r="H525" s="202">
        <v>44972</v>
      </c>
      <c r="I525" s="200">
        <v>2</v>
      </c>
      <c r="J525" s="200" t="s">
        <v>20</v>
      </c>
      <c r="K525" s="203" t="s">
        <v>21</v>
      </c>
      <c r="L525" s="191" t="s">
        <v>27</v>
      </c>
      <c r="M525" s="189">
        <f>17388000-2436500-3565500+7762500+3675000+4158000+10350000+5366000-31311500</f>
        <v>11386000</v>
      </c>
      <c r="N525" s="201" t="s">
        <v>144</v>
      </c>
      <c r="O525" s="201" t="s">
        <v>145</v>
      </c>
      <c r="P525" s="192" t="s">
        <v>24</v>
      </c>
    </row>
    <row r="526" spans="1:16" ht="75" x14ac:dyDescent="0.3">
      <c r="A526" s="4">
        <v>2023504</v>
      </c>
      <c r="B526" s="120">
        <v>7658</v>
      </c>
      <c r="C526" s="162" t="s">
        <v>457</v>
      </c>
      <c r="D526" s="191" t="s">
        <v>125</v>
      </c>
      <c r="E526" s="201">
        <v>80111600</v>
      </c>
      <c r="F526" s="200" t="s">
        <v>460</v>
      </c>
      <c r="G526" s="202">
        <v>44963</v>
      </c>
      <c r="H526" s="202">
        <v>44972</v>
      </c>
      <c r="I526" s="200">
        <v>1.5</v>
      </c>
      <c r="J526" s="200" t="s">
        <v>20</v>
      </c>
      <c r="K526" s="203" t="s">
        <v>21</v>
      </c>
      <c r="L526" s="191" t="s">
        <v>27</v>
      </c>
      <c r="M526" s="189">
        <v>6520500</v>
      </c>
      <c r="N526" s="201" t="s">
        <v>144</v>
      </c>
      <c r="O526" s="201" t="s">
        <v>145</v>
      </c>
      <c r="P526" s="192" t="s">
        <v>24</v>
      </c>
    </row>
    <row r="527" spans="1:16" ht="105" x14ac:dyDescent="0.3">
      <c r="A527" s="4">
        <v>2023505</v>
      </c>
      <c r="B527" s="2">
        <v>7658</v>
      </c>
      <c r="C527" s="3" t="s">
        <v>142</v>
      </c>
      <c r="D527" s="191" t="s">
        <v>221</v>
      </c>
      <c r="E527" s="192">
        <v>78181500</v>
      </c>
      <c r="F527" s="191" t="s">
        <v>461</v>
      </c>
      <c r="G527" s="193">
        <v>44958</v>
      </c>
      <c r="H527" s="193">
        <v>44958</v>
      </c>
      <c r="I527" s="191">
        <v>3</v>
      </c>
      <c r="J527" s="191" t="s">
        <v>159</v>
      </c>
      <c r="K527" s="195" t="s">
        <v>21</v>
      </c>
      <c r="L527" s="191" t="s">
        <v>223</v>
      </c>
      <c r="M527" s="188">
        <v>310000000</v>
      </c>
      <c r="N527" s="192" t="s">
        <v>224</v>
      </c>
      <c r="O527" s="192" t="s">
        <v>163</v>
      </c>
      <c r="P527" s="192" t="s">
        <v>364</v>
      </c>
    </row>
    <row r="528" spans="1:16" ht="90" x14ac:dyDescent="0.3">
      <c r="A528" s="4">
        <v>2023506</v>
      </c>
      <c r="B528" s="2">
        <v>7658</v>
      </c>
      <c r="C528" s="3" t="s">
        <v>142</v>
      </c>
      <c r="D528" s="191" t="s">
        <v>221</v>
      </c>
      <c r="E528" s="192">
        <v>25172500</v>
      </c>
      <c r="F528" s="191" t="s">
        <v>462</v>
      </c>
      <c r="G528" s="193">
        <v>44946</v>
      </c>
      <c r="H528" s="193">
        <v>44946</v>
      </c>
      <c r="I528" s="191">
        <v>12</v>
      </c>
      <c r="J528" s="191" t="s">
        <v>101</v>
      </c>
      <c r="K528" s="195" t="s">
        <v>21</v>
      </c>
      <c r="L528" s="191" t="s">
        <v>161</v>
      </c>
      <c r="M528" s="188">
        <v>20000000</v>
      </c>
      <c r="N528" s="192" t="s">
        <v>224</v>
      </c>
      <c r="O528" s="192" t="s">
        <v>163</v>
      </c>
      <c r="P528" s="192" t="s">
        <v>364</v>
      </c>
    </row>
    <row r="529" spans="1:16" ht="90" x14ac:dyDescent="0.3">
      <c r="A529" s="4">
        <v>2023507</v>
      </c>
      <c r="B529" s="2">
        <v>7658</v>
      </c>
      <c r="C529" s="3" t="s">
        <v>142</v>
      </c>
      <c r="D529" s="196" t="s">
        <v>221</v>
      </c>
      <c r="E529" s="196">
        <v>80111600</v>
      </c>
      <c r="F529" s="196" t="s">
        <v>463</v>
      </c>
      <c r="G529" s="197">
        <v>44941</v>
      </c>
      <c r="H529" s="197">
        <v>44941</v>
      </c>
      <c r="I529" s="191">
        <v>11</v>
      </c>
      <c r="J529" s="191" t="s">
        <v>20</v>
      </c>
      <c r="K529" s="195" t="s">
        <v>21</v>
      </c>
      <c r="L529" s="191" t="s">
        <v>27</v>
      </c>
      <c r="M529" s="188">
        <f>((2900000*11)+2940960)-22171520</f>
        <v>12669440</v>
      </c>
      <c r="N529" s="208" t="s">
        <v>224</v>
      </c>
      <c r="O529" s="208" t="s">
        <v>163</v>
      </c>
      <c r="P529" s="192" t="s">
        <v>24</v>
      </c>
    </row>
    <row r="530" spans="1:16" ht="45" x14ac:dyDescent="0.3">
      <c r="A530" s="2">
        <v>2023508</v>
      </c>
      <c r="B530" s="120" t="s">
        <v>17</v>
      </c>
      <c r="C530" s="2" t="s">
        <v>17</v>
      </c>
      <c r="D530" s="196" t="s">
        <v>47</v>
      </c>
      <c r="E530" s="196">
        <v>80111600</v>
      </c>
      <c r="F530" s="196" t="s">
        <v>58</v>
      </c>
      <c r="G530" s="197">
        <v>44946</v>
      </c>
      <c r="H530" s="197">
        <v>44949</v>
      </c>
      <c r="I530" s="191">
        <v>5</v>
      </c>
      <c r="J530" s="191" t="s">
        <v>20</v>
      </c>
      <c r="K530" s="195" t="s">
        <v>23</v>
      </c>
      <c r="L530" s="191" t="s">
        <v>23</v>
      </c>
      <c r="M530" s="188">
        <v>30000000</v>
      </c>
      <c r="N530" s="208" t="s">
        <v>23</v>
      </c>
      <c r="O530" s="248" t="s">
        <v>23</v>
      </c>
      <c r="P530" s="192" t="s">
        <v>364</v>
      </c>
    </row>
    <row r="531" spans="1:16" ht="90" x14ac:dyDescent="0.3">
      <c r="A531" s="2">
        <v>2023509</v>
      </c>
      <c r="B531" s="2">
        <v>7655</v>
      </c>
      <c r="C531" s="2" t="s">
        <v>25</v>
      </c>
      <c r="D531" s="196" t="s">
        <v>18</v>
      </c>
      <c r="E531" s="196">
        <v>80111600</v>
      </c>
      <c r="F531" s="196" t="s">
        <v>464</v>
      </c>
      <c r="G531" s="193">
        <v>44927</v>
      </c>
      <c r="H531" s="193">
        <v>44941</v>
      </c>
      <c r="I531" s="191">
        <v>10</v>
      </c>
      <c r="J531" s="191" t="s">
        <v>20</v>
      </c>
      <c r="K531" s="195" t="s">
        <v>21</v>
      </c>
      <c r="L531" s="191" t="s">
        <v>27</v>
      </c>
      <c r="M531" s="214">
        <f>12000000+48000000</f>
        <v>60000000</v>
      </c>
      <c r="N531" s="208" t="s">
        <v>28</v>
      </c>
      <c r="O531" s="196" t="s">
        <v>29</v>
      </c>
      <c r="P531" s="192" t="s">
        <v>24</v>
      </c>
    </row>
    <row r="532" spans="1:16" ht="75" x14ac:dyDescent="0.3">
      <c r="A532" s="4">
        <v>2023510</v>
      </c>
      <c r="B532" s="2">
        <v>7655</v>
      </c>
      <c r="C532" s="3" t="s">
        <v>25</v>
      </c>
      <c r="D532" s="191" t="s">
        <v>45</v>
      </c>
      <c r="E532" s="192">
        <v>80111600</v>
      </c>
      <c r="F532" s="191" t="s">
        <v>465</v>
      </c>
      <c r="G532" s="193">
        <v>44967</v>
      </c>
      <c r="H532" s="193">
        <v>44977</v>
      </c>
      <c r="I532" s="191">
        <v>10</v>
      </c>
      <c r="J532" s="191" t="s">
        <v>20</v>
      </c>
      <c r="K532" s="195" t="s">
        <v>21</v>
      </c>
      <c r="L532" s="191" t="s">
        <v>27</v>
      </c>
      <c r="M532" s="214">
        <f>40000000+45000000-45000000+45000000</f>
        <v>85000000</v>
      </c>
      <c r="N532" s="192" t="s">
        <v>46</v>
      </c>
      <c r="O532" s="192" t="s">
        <v>29</v>
      </c>
      <c r="P532" s="192" t="s">
        <v>24</v>
      </c>
    </row>
    <row r="533" spans="1:16" ht="45" x14ac:dyDescent="0.3">
      <c r="A533" s="4">
        <v>2023511</v>
      </c>
      <c r="B533" s="120" t="s">
        <v>17</v>
      </c>
      <c r="C533" s="3" t="s">
        <v>17</v>
      </c>
      <c r="D533" s="191" t="s">
        <v>319</v>
      </c>
      <c r="E533" s="192" t="s">
        <v>409</v>
      </c>
      <c r="F533" s="191" t="s">
        <v>466</v>
      </c>
      <c r="G533" s="193">
        <v>44957</v>
      </c>
      <c r="H533" s="193">
        <v>44967</v>
      </c>
      <c r="I533" s="191">
        <v>3</v>
      </c>
      <c r="J533" s="191" t="s">
        <v>20</v>
      </c>
      <c r="K533" s="195" t="s">
        <v>21</v>
      </c>
      <c r="L533" s="191" t="s">
        <v>23</v>
      </c>
      <c r="M533" s="188">
        <v>30000000</v>
      </c>
      <c r="N533" s="192" t="s">
        <v>23</v>
      </c>
      <c r="O533" s="201" t="s">
        <v>23</v>
      </c>
      <c r="P533" s="192" t="s">
        <v>364</v>
      </c>
    </row>
    <row r="534" spans="1:16" ht="75" x14ac:dyDescent="0.3">
      <c r="A534" s="2">
        <v>2023512</v>
      </c>
      <c r="B534" s="120">
        <v>7655</v>
      </c>
      <c r="C534" s="3" t="s">
        <v>25</v>
      </c>
      <c r="D534" s="191" t="s">
        <v>319</v>
      </c>
      <c r="E534" s="192">
        <v>80111600</v>
      </c>
      <c r="F534" s="191" t="s">
        <v>467</v>
      </c>
      <c r="G534" s="193">
        <v>44952</v>
      </c>
      <c r="H534" s="193">
        <v>44952</v>
      </c>
      <c r="I534" s="191">
        <v>2</v>
      </c>
      <c r="J534" s="191" t="s">
        <v>20</v>
      </c>
      <c r="K534" s="195" t="s">
        <v>21</v>
      </c>
      <c r="L534" s="191" t="s">
        <v>50</v>
      </c>
      <c r="M534" s="214">
        <f>9000000*2</f>
        <v>18000000</v>
      </c>
      <c r="N534" s="192" t="s">
        <v>28</v>
      </c>
      <c r="O534" s="201" t="s">
        <v>29</v>
      </c>
      <c r="P534" s="192" t="s">
        <v>364</v>
      </c>
    </row>
    <row r="535" spans="1:16" ht="60" x14ac:dyDescent="0.3">
      <c r="A535" s="2">
        <v>2023513</v>
      </c>
      <c r="B535" s="120">
        <v>7655</v>
      </c>
      <c r="C535" s="3" t="s">
        <v>25</v>
      </c>
      <c r="D535" s="191" t="s">
        <v>319</v>
      </c>
      <c r="E535" s="192">
        <v>80111600</v>
      </c>
      <c r="F535" s="191" t="s">
        <v>468</v>
      </c>
      <c r="G535" s="193">
        <v>44986</v>
      </c>
      <c r="H535" s="193">
        <v>45000</v>
      </c>
      <c r="I535" s="191">
        <v>6</v>
      </c>
      <c r="J535" s="191" t="s">
        <v>20</v>
      </c>
      <c r="K535" s="195" t="s">
        <v>21</v>
      </c>
      <c r="L535" s="191" t="s">
        <v>27</v>
      </c>
      <c r="M535" s="214">
        <f>(5000000*9)-15000000</f>
        <v>30000000</v>
      </c>
      <c r="N535" s="192" t="s">
        <v>28</v>
      </c>
      <c r="O535" s="201" t="s">
        <v>29</v>
      </c>
      <c r="P535" s="192" t="s">
        <v>24</v>
      </c>
    </row>
    <row r="536" spans="1:16" ht="60" x14ac:dyDescent="0.3">
      <c r="A536" s="4">
        <v>2023514</v>
      </c>
      <c r="B536" s="120">
        <v>7655</v>
      </c>
      <c r="C536" s="3" t="s">
        <v>25</v>
      </c>
      <c r="D536" s="191" t="s">
        <v>319</v>
      </c>
      <c r="E536" s="192">
        <v>80111600</v>
      </c>
      <c r="F536" s="191" t="s">
        <v>334</v>
      </c>
      <c r="G536" s="193">
        <v>44986</v>
      </c>
      <c r="H536" s="193">
        <v>45000</v>
      </c>
      <c r="I536" s="191">
        <v>9</v>
      </c>
      <c r="J536" s="191" t="s">
        <v>20</v>
      </c>
      <c r="K536" s="195" t="s">
        <v>21</v>
      </c>
      <c r="L536" s="191" t="s">
        <v>27</v>
      </c>
      <c r="M536" s="214">
        <f>(2450000*10)-2450000</f>
        <v>22050000</v>
      </c>
      <c r="N536" s="192" t="s">
        <v>28</v>
      </c>
      <c r="O536" s="201" t="s">
        <v>29</v>
      </c>
      <c r="P536" s="192" t="s">
        <v>24</v>
      </c>
    </row>
    <row r="537" spans="1:16" ht="60" x14ac:dyDescent="0.3">
      <c r="A537" s="2">
        <v>2023515</v>
      </c>
      <c r="B537" s="120">
        <v>7655</v>
      </c>
      <c r="C537" s="162" t="s">
        <v>25</v>
      </c>
      <c r="D537" s="200" t="s">
        <v>319</v>
      </c>
      <c r="E537" s="201">
        <v>80111600</v>
      </c>
      <c r="F537" s="200" t="s">
        <v>430</v>
      </c>
      <c r="G537" s="202">
        <v>44986</v>
      </c>
      <c r="H537" s="202">
        <v>45000</v>
      </c>
      <c r="I537" s="200">
        <v>6</v>
      </c>
      <c r="J537" s="200" t="s">
        <v>20</v>
      </c>
      <c r="K537" s="203" t="s">
        <v>21</v>
      </c>
      <c r="L537" s="191" t="s">
        <v>27</v>
      </c>
      <c r="M537" s="215">
        <f>(2450000*10)-9800000</f>
        <v>14700000</v>
      </c>
      <c r="N537" s="201" t="s">
        <v>28</v>
      </c>
      <c r="O537" s="201" t="s">
        <v>29</v>
      </c>
      <c r="P537" s="192" t="s">
        <v>24</v>
      </c>
    </row>
    <row r="538" spans="1:16" ht="45" x14ac:dyDescent="0.3">
      <c r="A538" s="4">
        <v>2023517</v>
      </c>
      <c r="B538" s="120" t="s">
        <v>17</v>
      </c>
      <c r="C538" s="162" t="s">
        <v>17</v>
      </c>
      <c r="D538" s="200" t="s">
        <v>319</v>
      </c>
      <c r="E538" s="201">
        <v>80111600</v>
      </c>
      <c r="F538" s="200" t="s">
        <v>469</v>
      </c>
      <c r="G538" s="202">
        <v>44967</v>
      </c>
      <c r="H538" s="202">
        <v>44958</v>
      </c>
      <c r="I538" s="200">
        <v>4</v>
      </c>
      <c r="J538" s="200" t="s">
        <v>20</v>
      </c>
      <c r="K538" s="203" t="s">
        <v>21</v>
      </c>
      <c r="L538" s="191" t="s">
        <v>23</v>
      </c>
      <c r="M538" s="189">
        <f>8000000*4</f>
        <v>32000000</v>
      </c>
      <c r="N538" s="201" t="s">
        <v>23</v>
      </c>
      <c r="O538" s="201" t="s">
        <v>23</v>
      </c>
      <c r="P538" s="192" t="s">
        <v>24</v>
      </c>
    </row>
    <row r="539" spans="1:16" ht="90" x14ac:dyDescent="0.3">
      <c r="A539" s="4">
        <v>2023519</v>
      </c>
      <c r="B539" s="120">
        <v>7658</v>
      </c>
      <c r="C539" s="162" t="s">
        <v>142</v>
      </c>
      <c r="D539" s="200" t="s">
        <v>125</v>
      </c>
      <c r="E539" s="196">
        <v>80111600</v>
      </c>
      <c r="F539" s="196" t="s">
        <v>470</v>
      </c>
      <c r="G539" s="197">
        <v>44970</v>
      </c>
      <c r="H539" s="197">
        <v>44974</v>
      </c>
      <c r="I539" s="191">
        <v>0.5</v>
      </c>
      <c r="J539" s="200" t="s">
        <v>20</v>
      </c>
      <c r="K539" s="203" t="s">
        <v>21</v>
      </c>
      <c r="L539" s="191" t="s">
        <v>27</v>
      </c>
      <c r="M539" s="188">
        <v>3638000</v>
      </c>
      <c r="N539" s="201" t="s">
        <v>144</v>
      </c>
      <c r="O539" s="201" t="s">
        <v>145</v>
      </c>
      <c r="P539" s="192" t="s">
        <v>364</v>
      </c>
    </row>
    <row r="540" spans="1:16" ht="60" x14ac:dyDescent="0.3">
      <c r="A540" s="2">
        <v>2023520</v>
      </c>
      <c r="B540" s="120" t="s">
        <v>17</v>
      </c>
      <c r="C540" s="162" t="s">
        <v>17</v>
      </c>
      <c r="D540" s="200" t="s">
        <v>125</v>
      </c>
      <c r="E540" s="196" t="s">
        <v>471</v>
      </c>
      <c r="F540" s="196" t="s">
        <v>472</v>
      </c>
      <c r="G540" s="197">
        <v>44956</v>
      </c>
      <c r="H540" s="197">
        <v>44963</v>
      </c>
      <c r="I540" s="191">
        <v>6</v>
      </c>
      <c r="J540" s="200" t="s">
        <v>20</v>
      </c>
      <c r="K540" s="203" t="s">
        <v>21</v>
      </c>
      <c r="L540" s="191" t="s">
        <v>23</v>
      </c>
      <c r="M540" s="188">
        <f>14700000+1900000+4225000-11025000</f>
        <v>9800000</v>
      </c>
      <c r="N540" s="201" t="s">
        <v>23</v>
      </c>
      <c r="O540" s="201" t="s">
        <v>23</v>
      </c>
      <c r="P540" s="192" t="s">
        <v>24</v>
      </c>
    </row>
    <row r="541" spans="1:16" ht="75" x14ac:dyDescent="0.3">
      <c r="A541" s="2">
        <v>2023521</v>
      </c>
      <c r="B541" s="120">
        <v>7658</v>
      </c>
      <c r="C541" s="162" t="s">
        <v>142</v>
      </c>
      <c r="D541" s="200" t="s">
        <v>125</v>
      </c>
      <c r="E541" s="196">
        <v>80111600</v>
      </c>
      <c r="F541" s="196" t="s">
        <v>473</v>
      </c>
      <c r="G541" s="197">
        <v>44963</v>
      </c>
      <c r="H541" s="197">
        <v>44986</v>
      </c>
      <c r="I541" s="191">
        <v>4</v>
      </c>
      <c r="J541" s="200" t="s">
        <v>20</v>
      </c>
      <c r="K541" s="203" t="s">
        <v>21</v>
      </c>
      <c r="L541" s="191" t="s">
        <v>27</v>
      </c>
      <c r="M541" s="188">
        <f>20700000+4259000+12937500+3503500-20700000</f>
        <v>20700000</v>
      </c>
      <c r="N541" s="201" t="s">
        <v>144</v>
      </c>
      <c r="O541" s="201" t="s">
        <v>145</v>
      </c>
      <c r="P541" s="192" t="s">
        <v>24</v>
      </c>
    </row>
    <row r="542" spans="1:16" s="160" customFormat="1" ht="75" x14ac:dyDescent="0.35">
      <c r="A542" s="2">
        <v>2023522</v>
      </c>
      <c r="B542" s="120">
        <v>7637</v>
      </c>
      <c r="C542" s="162" t="s">
        <v>73</v>
      </c>
      <c r="D542" s="200" t="s">
        <v>18</v>
      </c>
      <c r="E542" s="192">
        <v>80111600</v>
      </c>
      <c r="F542" s="191" t="s">
        <v>474</v>
      </c>
      <c r="G542" s="193">
        <v>44927</v>
      </c>
      <c r="H542" s="193">
        <v>44941</v>
      </c>
      <c r="I542" s="191">
        <v>4</v>
      </c>
      <c r="J542" s="200" t="s">
        <v>20</v>
      </c>
      <c r="K542" s="203" t="s">
        <v>21</v>
      </c>
      <c r="L542" s="191" t="s">
        <v>27</v>
      </c>
      <c r="M542" s="188">
        <v>24000000</v>
      </c>
      <c r="N542" s="201" t="s">
        <v>94</v>
      </c>
      <c r="O542" s="201" t="s">
        <v>76</v>
      </c>
      <c r="P542" s="192" t="s">
        <v>24</v>
      </c>
    </row>
    <row r="543" spans="1:16" ht="90" x14ac:dyDescent="0.3">
      <c r="A543" s="4">
        <v>2023523</v>
      </c>
      <c r="B543" s="120">
        <v>7658</v>
      </c>
      <c r="C543" s="162" t="s">
        <v>142</v>
      </c>
      <c r="D543" s="196" t="s">
        <v>221</v>
      </c>
      <c r="E543" s="199">
        <v>80111600</v>
      </c>
      <c r="F543" s="199" t="s">
        <v>475</v>
      </c>
      <c r="G543" s="245">
        <v>44972</v>
      </c>
      <c r="H543" s="245">
        <v>44977</v>
      </c>
      <c r="I543" s="200">
        <v>4</v>
      </c>
      <c r="J543" s="200" t="s">
        <v>20</v>
      </c>
      <c r="K543" s="203" t="s">
        <v>21</v>
      </c>
      <c r="L543" s="200" t="s">
        <v>27</v>
      </c>
      <c r="M543" s="189">
        <v>9800000</v>
      </c>
      <c r="N543" s="248" t="s">
        <v>224</v>
      </c>
      <c r="O543" s="248" t="s">
        <v>163</v>
      </c>
      <c r="P543" s="192" t="s">
        <v>24</v>
      </c>
    </row>
    <row r="544" spans="1:16" ht="90" x14ac:dyDescent="0.3">
      <c r="A544" s="2">
        <v>2023524</v>
      </c>
      <c r="B544" s="120">
        <v>7658</v>
      </c>
      <c r="C544" s="3" t="s">
        <v>142</v>
      </c>
      <c r="D544" s="196" t="s">
        <v>221</v>
      </c>
      <c r="E544" s="199">
        <v>80111600</v>
      </c>
      <c r="F544" s="199" t="s">
        <v>476</v>
      </c>
      <c r="G544" s="245">
        <v>44972</v>
      </c>
      <c r="H544" s="245">
        <v>44977</v>
      </c>
      <c r="I544" s="200">
        <v>4</v>
      </c>
      <c r="J544" s="191" t="s">
        <v>20</v>
      </c>
      <c r="K544" s="203" t="s">
        <v>21</v>
      </c>
      <c r="L544" s="191" t="s">
        <v>27</v>
      </c>
      <c r="M544" s="189">
        <v>13400000</v>
      </c>
      <c r="N544" s="248" t="s">
        <v>224</v>
      </c>
      <c r="O544" s="248" t="s">
        <v>163</v>
      </c>
      <c r="P544" s="192" t="s">
        <v>24</v>
      </c>
    </row>
    <row r="545" spans="1:16" ht="60" x14ac:dyDescent="0.3">
      <c r="A545" s="4">
        <v>2023526</v>
      </c>
      <c r="B545" s="2">
        <v>7655</v>
      </c>
      <c r="C545" s="118" t="s">
        <v>25</v>
      </c>
      <c r="D545" s="191" t="s">
        <v>281</v>
      </c>
      <c r="E545" s="196">
        <v>80111600</v>
      </c>
      <c r="F545" s="191" t="s">
        <v>298</v>
      </c>
      <c r="G545" s="209">
        <v>45094</v>
      </c>
      <c r="H545" s="209">
        <v>45094</v>
      </c>
      <c r="I545" s="191">
        <v>5.8</v>
      </c>
      <c r="J545" s="191" t="s">
        <v>20</v>
      </c>
      <c r="K545" s="195" t="s">
        <v>21</v>
      </c>
      <c r="L545" s="191" t="s">
        <v>27</v>
      </c>
      <c r="M545" s="214">
        <f>43500000+13750000</f>
        <v>57250000</v>
      </c>
      <c r="N545" s="196" t="s">
        <v>28</v>
      </c>
      <c r="O545" s="196" t="s">
        <v>29</v>
      </c>
      <c r="P545" s="192" t="s">
        <v>24</v>
      </c>
    </row>
    <row r="546" spans="1:16" ht="60" x14ac:dyDescent="0.3">
      <c r="A546" s="4">
        <v>2023527</v>
      </c>
      <c r="B546" s="2">
        <v>7655</v>
      </c>
      <c r="C546" s="118" t="s">
        <v>25</v>
      </c>
      <c r="D546" s="191" t="s">
        <v>281</v>
      </c>
      <c r="E546" s="199">
        <v>80111600</v>
      </c>
      <c r="F546" s="200" t="s">
        <v>477</v>
      </c>
      <c r="G546" s="244">
        <v>44973</v>
      </c>
      <c r="H546" s="244">
        <v>44973</v>
      </c>
      <c r="I546" s="200">
        <v>7</v>
      </c>
      <c r="J546" s="191" t="s">
        <v>20</v>
      </c>
      <c r="K546" s="195" t="s">
        <v>21</v>
      </c>
      <c r="L546" s="191" t="s">
        <v>27</v>
      </c>
      <c r="M546" s="215">
        <f>32000000-4000000-4000000</f>
        <v>24000000</v>
      </c>
      <c r="N546" s="196" t="s">
        <v>28</v>
      </c>
      <c r="O546" s="196" t="s">
        <v>29</v>
      </c>
      <c r="P546" s="192" t="s">
        <v>24</v>
      </c>
    </row>
    <row r="547" spans="1:16" ht="60" x14ac:dyDescent="0.3">
      <c r="A547" s="4">
        <v>2023528</v>
      </c>
      <c r="B547" s="2">
        <v>7655</v>
      </c>
      <c r="C547" s="118" t="s">
        <v>25</v>
      </c>
      <c r="D547" s="191" t="s">
        <v>281</v>
      </c>
      <c r="E547" s="199">
        <v>80111600</v>
      </c>
      <c r="F547" s="200" t="s">
        <v>477</v>
      </c>
      <c r="G547" s="244">
        <v>45094</v>
      </c>
      <c r="H547" s="244">
        <v>45094</v>
      </c>
      <c r="I547" s="200">
        <v>3</v>
      </c>
      <c r="J547" s="191" t="s">
        <v>20</v>
      </c>
      <c r="K547" s="195" t="s">
        <v>21</v>
      </c>
      <c r="L547" s="191" t="s">
        <v>27</v>
      </c>
      <c r="M547" s="215">
        <f>42085200+4000000+4000000-218200</f>
        <v>49867000</v>
      </c>
      <c r="N547" s="196" t="s">
        <v>28</v>
      </c>
      <c r="O547" s="196" t="s">
        <v>29</v>
      </c>
      <c r="P547" s="192" t="s">
        <v>24</v>
      </c>
    </row>
    <row r="548" spans="1:16" ht="75" x14ac:dyDescent="0.3">
      <c r="A548" s="4">
        <v>2023529</v>
      </c>
      <c r="B548" s="2">
        <v>7658</v>
      </c>
      <c r="C548" s="118" t="s">
        <v>457</v>
      </c>
      <c r="D548" s="191" t="s">
        <v>281</v>
      </c>
      <c r="E548" s="199">
        <v>80111600</v>
      </c>
      <c r="F548" s="199" t="s">
        <v>478</v>
      </c>
      <c r="G548" s="244">
        <v>44973</v>
      </c>
      <c r="H548" s="244">
        <v>44964</v>
      </c>
      <c r="I548" s="200">
        <v>4</v>
      </c>
      <c r="J548" s="191" t="s">
        <v>20</v>
      </c>
      <c r="K548" s="195" t="s">
        <v>21</v>
      </c>
      <c r="L548" s="191" t="s">
        <v>27</v>
      </c>
      <c r="M548" s="189">
        <f>18000000-7500000</f>
        <v>10500000</v>
      </c>
      <c r="N548" s="192" t="s">
        <v>285</v>
      </c>
      <c r="O548" s="196" t="s">
        <v>286</v>
      </c>
      <c r="P548" s="192" t="s">
        <v>24</v>
      </c>
    </row>
    <row r="549" spans="1:16" ht="75" x14ac:dyDescent="0.3">
      <c r="A549" s="4">
        <v>2023530</v>
      </c>
      <c r="B549" s="2">
        <v>7658</v>
      </c>
      <c r="C549" s="118" t="s">
        <v>457</v>
      </c>
      <c r="D549" s="191" t="s">
        <v>281</v>
      </c>
      <c r="E549" s="199">
        <v>80111600</v>
      </c>
      <c r="F549" s="199" t="s">
        <v>478</v>
      </c>
      <c r="G549" s="244">
        <v>45093</v>
      </c>
      <c r="H549" s="244">
        <v>45093</v>
      </c>
      <c r="I549" s="200">
        <v>6.3</v>
      </c>
      <c r="J549" s="191" t="s">
        <v>20</v>
      </c>
      <c r="K549" s="195" t="s">
        <v>21</v>
      </c>
      <c r="L549" s="200" t="s">
        <v>27</v>
      </c>
      <c r="M549" s="189">
        <f>27000000-3900000+700000+700000</f>
        <v>24500000</v>
      </c>
      <c r="N549" s="192" t="s">
        <v>285</v>
      </c>
      <c r="O549" s="196" t="s">
        <v>286</v>
      </c>
      <c r="P549" s="192" t="s">
        <v>24</v>
      </c>
    </row>
    <row r="550" spans="1:16" ht="75" x14ac:dyDescent="0.3">
      <c r="A550" s="4">
        <v>2023531</v>
      </c>
      <c r="B550" s="2">
        <v>7658</v>
      </c>
      <c r="C550" s="118" t="s">
        <v>142</v>
      </c>
      <c r="D550" s="191" t="s">
        <v>281</v>
      </c>
      <c r="E550" s="199">
        <v>80111600</v>
      </c>
      <c r="F550" s="199" t="s">
        <v>479</v>
      </c>
      <c r="G550" s="244">
        <v>44973</v>
      </c>
      <c r="H550" s="244">
        <v>44973</v>
      </c>
      <c r="I550" s="200">
        <v>4</v>
      </c>
      <c r="J550" s="191" t="s">
        <v>20</v>
      </c>
      <c r="K550" s="195" t="s">
        <v>21</v>
      </c>
      <c r="L550" s="200" t="s">
        <v>27</v>
      </c>
      <c r="M550" s="189">
        <f>9800000-9800000</f>
        <v>0</v>
      </c>
      <c r="N550" s="192" t="s">
        <v>285</v>
      </c>
      <c r="O550" s="196" t="s">
        <v>286</v>
      </c>
      <c r="P550" s="192" t="s">
        <v>24</v>
      </c>
    </row>
    <row r="551" spans="1:16" ht="75" x14ac:dyDescent="0.3">
      <c r="A551" s="4">
        <v>2023532</v>
      </c>
      <c r="B551" s="2">
        <v>7658</v>
      </c>
      <c r="C551" s="118" t="s">
        <v>457</v>
      </c>
      <c r="D551" s="191" t="s">
        <v>281</v>
      </c>
      <c r="E551" s="199">
        <v>80111600</v>
      </c>
      <c r="F551" s="200" t="s">
        <v>479</v>
      </c>
      <c r="G551" s="244">
        <v>44973</v>
      </c>
      <c r="H551" s="244">
        <v>44973</v>
      </c>
      <c r="I551" s="200">
        <v>7</v>
      </c>
      <c r="J551" s="191" t="s">
        <v>20</v>
      </c>
      <c r="K551" s="195" t="s">
        <v>21</v>
      </c>
      <c r="L551" s="191" t="s">
        <v>27</v>
      </c>
      <c r="M551" s="189">
        <f>14700000-7800000-6900000</f>
        <v>0</v>
      </c>
      <c r="N551" s="192" t="s">
        <v>285</v>
      </c>
      <c r="O551" s="196" t="s">
        <v>286</v>
      </c>
      <c r="P551" s="192" t="s">
        <v>24</v>
      </c>
    </row>
    <row r="552" spans="1:16" ht="75" x14ac:dyDescent="0.3">
      <c r="A552" s="4">
        <v>2023533</v>
      </c>
      <c r="B552" s="2">
        <v>7658</v>
      </c>
      <c r="C552" s="118" t="s">
        <v>142</v>
      </c>
      <c r="D552" s="191" t="s">
        <v>281</v>
      </c>
      <c r="E552" s="199">
        <v>80111600</v>
      </c>
      <c r="F552" s="199" t="s">
        <v>315</v>
      </c>
      <c r="G552" s="244">
        <v>44973</v>
      </c>
      <c r="H552" s="244">
        <v>44973</v>
      </c>
      <c r="I552" s="200">
        <v>2</v>
      </c>
      <c r="J552" s="191" t="s">
        <v>20</v>
      </c>
      <c r="K552" s="195" t="s">
        <v>21</v>
      </c>
      <c r="L552" s="191" t="s">
        <v>27</v>
      </c>
      <c r="M552" s="189">
        <f>18000000-3750000-750000</f>
        <v>13500000</v>
      </c>
      <c r="N552" s="192" t="s">
        <v>285</v>
      </c>
      <c r="O552" s="196" t="s">
        <v>286</v>
      </c>
      <c r="P552" s="192" t="s">
        <v>24</v>
      </c>
    </row>
    <row r="553" spans="1:16" ht="75" x14ac:dyDescent="0.3">
      <c r="A553" s="4">
        <v>2023534</v>
      </c>
      <c r="B553" s="2">
        <v>7658</v>
      </c>
      <c r="C553" s="118" t="s">
        <v>457</v>
      </c>
      <c r="D553" s="191" t="s">
        <v>281</v>
      </c>
      <c r="E553" s="199">
        <v>80111600</v>
      </c>
      <c r="F553" s="200" t="s">
        <v>315</v>
      </c>
      <c r="G553" s="244">
        <v>44973</v>
      </c>
      <c r="H553" s="244">
        <v>44973</v>
      </c>
      <c r="I553" s="200">
        <v>4</v>
      </c>
      <c r="J553" s="191" t="s">
        <v>20</v>
      </c>
      <c r="K553" s="195" t="s">
        <v>21</v>
      </c>
      <c r="L553" s="191" t="s">
        <v>27</v>
      </c>
      <c r="M553" s="189">
        <f>18000000+5158080-58080</f>
        <v>23100000</v>
      </c>
      <c r="N553" s="192" t="s">
        <v>285</v>
      </c>
      <c r="O553" s="196" t="s">
        <v>286</v>
      </c>
      <c r="P553" s="192" t="s">
        <v>24</v>
      </c>
    </row>
    <row r="554" spans="1:16" ht="75" x14ac:dyDescent="0.3">
      <c r="A554" s="4">
        <v>2023535</v>
      </c>
      <c r="B554" s="2">
        <v>7658</v>
      </c>
      <c r="C554" s="118" t="s">
        <v>142</v>
      </c>
      <c r="D554" s="191" t="s">
        <v>281</v>
      </c>
      <c r="E554" s="199">
        <v>80111600</v>
      </c>
      <c r="F554" s="199" t="s">
        <v>299</v>
      </c>
      <c r="G554" s="244">
        <v>45094</v>
      </c>
      <c r="H554" s="244">
        <v>45094</v>
      </c>
      <c r="I554" s="200">
        <v>6</v>
      </c>
      <c r="J554" s="191" t="s">
        <v>20</v>
      </c>
      <c r="K554" s="195" t="s">
        <v>21</v>
      </c>
      <c r="L554" s="191" t="s">
        <v>27</v>
      </c>
      <c r="M554" s="189">
        <v>25200000</v>
      </c>
      <c r="N554" s="192" t="s">
        <v>285</v>
      </c>
      <c r="O554" s="196" t="s">
        <v>286</v>
      </c>
      <c r="P554" s="192" t="s">
        <v>24</v>
      </c>
    </row>
    <row r="555" spans="1:16" ht="75" x14ac:dyDescent="0.3">
      <c r="A555" s="4">
        <v>2023536</v>
      </c>
      <c r="B555" s="120">
        <v>7658</v>
      </c>
      <c r="C555" s="156" t="s">
        <v>142</v>
      </c>
      <c r="D555" s="200" t="s">
        <v>281</v>
      </c>
      <c r="E555" s="199">
        <v>80111600</v>
      </c>
      <c r="F555" s="199" t="s">
        <v>303</v>
      </c>
      <c r="G555" s="244">
        <v>45094</v>
      </c>
      <c r="H555" s="244">
        <v>45094</v>
      </c>
      <c r="I555" s="200">
        <v>6</v>
      </c>
      <c r="J555" s="200" t="s">
        <v>20</v>
      </c>
      <c r="K555" s="203" t="s">
        <v>21</v>
      </c>
      <c r="L555" s="200" t="s">
        <v>27</v>
      </c>
      <c r="M555" s="189">
        <v>23100000</v>
      </c>
      <c r="N555" s="201" t="s">
        <v>285</v>
      </c>
      <c r="O555" s="199" t="s">
        <v>286</v>
      </c>
      <c r="P555" s="192" t="s">
        <v>24</v>
      </c>
    </row>
    <row r="556" spans="1:16" ht="75" x14ac:dyDescent="0.3">
      <c r="A556" s="2">
        <v>2023537</v>
      </c>
      <c r="B556" s="120">
        <v>7658</v>
      </c>
      <c r="C556" s="156" t="s">
        <v>142</v>
      </c>
      <c r="D556" s="200" t="s">
        <v>281</v>
      </c>
      <c r="E556" s="199">
        <v>80111600</v>
      </c>
      <c r="F556" s="199" t="s">
        <v>311</v>
      </c>
      <c r="G556" s="244">
        <v>45094</v>
      </c>
      <c r="H556" s="244">
        <v>45094</v>
      </c>
      <c r="I556" s="200">
        <v>3</v>
      </c>
      <c r="J556" s="200" t="s">
        <v>20</v>
      </c>
      <c r="K556" s="203" t="s">
        <v>21</v>
      </c>
      <c r="L556" s="200" t="s">
        <v>27</v>
      </c>
      <c r="M556" s="189">
        <f>36000000+6000000</f>
        <v>42000000</v>
      </c>
      <c r="N556" s="201" t="s">
        <v>285</v>
      </c>
      <c r="O556" s="199" t="s">
        <v>286</v>
      </c>
      <c r="P556" s="192" t="s">
        <v>24</v>
      </c>
    </row>
    <row r="557" spans="1:16" ht="75" x14ac:dyDescent="0.3">
      <c r="A557" s="4">
        <v>2023538</v>
      </c>
      <c r="B557" s="120">
        <v>7658</v>
      </c>
      <c r="C557" s="156" t="s">
        <v>142</v>
      </c>
      <c r="D557" s="200" t="s">
        <v>281</v>
      </c>
      <c r="E557" s="199">
        <v>80111600</v>
      </c>
      <c r="F557" s="200" t="s">
        <v>316</v>
      </c>
      <c r="G557" s="244">
        <v>45094</v>
      </c>
      <c r="H557" s="244">
        <v>45094</v>
      </c>
      <c r="I557" s="200">
        <v>6</v>
      </c>
      <c r="J557" s="200" t="s">
        <v>20</v>
      </c>
      <c r="K557" s="203" t="s">
        <v>21</v>
      </c>
      <c r="L557" s="200" t="s">
        <v>27</v>
      </c>
      <c r="M557" s="189">
        <f>43200000-7200000</f>
        <v>36000000</v>
      </c>
      <c r="N557" s="201" t="s">
        <v>285</v>
      </c>
      <c r="O557" s="199" t="s">
        <v>286</v>
      </c>
      <c r="P557" s="192" t="s">
        <v>24</v>
      </c>
    </row>
    <row r="558" spans="1:16" ht="60" x14ac:dyDescent="0.3">
      <c r="A558" s="4">
        <v>2023539</v>
      </c>
      <c r="B558" s="120">
        <v>7655</v>
      </c>
      <c r="C558" s="156" t="s">
        <v>25</v>
      </c>
      <c r="D558" s="200" t="s">
        <v>281</v>
      </c>
      <c r="E558" s="199">
        <v>80111600</v>
      </c>
      <c r="F558" s="199" t="s">
        <v>298</v>
      </c>
      <c r="G558" s="244">
        <v>44973</v>
      </c>
      <c r="H558" s="244">
        <v>44973</v>
      </c>
      <c r="I558" s="200">
        <v>4</v>
      </c>
      <c r="J558" s="200" t="s">
        <v>20</v>
      </c>
      <c r="K558" s="203" t="s">
        <v>21</v>
      </c>
      <c r="L558" s="200" t="s">
        <v>27</v>
      </c>
      <c r="M558" s="215">
        <v>30000000</v>
      </c>
      <c r="N558" s="199" t="s">
        <v>28</v>
      </c>
      <c r="O558" s="199" t="s">
        <v>29</v>
      </c>
      <c r="P558" s="192" t="s">
        <v>24</v>
      </c>
    </row>
    <row r="559" spans="1:16" ht="75" x14ac:dyDescent="0.3">
      <c r="A559" s="2">
        <v>2023540</v>
      </c>
      <c r="B559" s="120">
        <v>7658</v>
      </c>
      <c r="C559" s="156" t="s">
        <v>142</v>
      </c>
      <c r="D559" s="200" t="s">
        <v>281</v>
      </c>
      <c r="E559" s="199">
        <v>80111600</v>
      </c>
      <c r="F559" s="200" t="s">
        <v>316</v>
      </c>
      <c r="G559" s="244">
        <v>45094</v>
      </c>
      <c r="H559" s="244">
        <v>45094</v>
      </c>
      <c r="I559" s="200">
        <v>6</v>
      </c>
      <c r="J559" s="200" t="s">
        <v>20</v>
      </c>
      <c r="K559" s="203" t="s">
        <v>21</v>
      </c>
      <c r="L559" s="200" t="s">
        <v>27</v>
      </c>
      <c r="M559" s="189">
        <v>31200000</v>
      </c>
      <c r="N559" s="201" t="s">
        <v>285</v>
      </c>
      <c r="O559" s="199" t="s">
        <v>286</v>
      </c>
      <c r="P559" s="192" t="s">
        <v>24</v>
      </c>
    </row>
    <row r="560" spans="1:16" ht="75" x14ac:dyDescent="0.3">
      <c r="A560" s="2">
        <v>2023541</v>
      </c>
      <c r="B560" s="120">
        <v>7658</v>
      </c>
      <c r="C560" s="156" t="s">
        <v>142</v>
      </c>
      <c r="D560" s="191" t="s">
        <v>281</v>
      </c>
      <c r="E560" s="196">
        <v>80111600</v>
      </c>
      <c r="F560" s="191" t="s">
        <v>304</v>
      </c>
      <c r="G560" s="209">
        <v>44973</v>
      </c>
      <c r="H560" s="209">
        <v>44973</v>
      </c>
      <c r="I560" s="191">
        <v>4</v>
      </c>
      <c r="J560" s="200" t="s">
        <v>20</v>
      </c>
      <c r="K560" s="203" t="s">
        <v>21</v>
      </c>
      <c r="L560" s="191" t="s">
        <v>27</v>
      </c>
      <c r="M560" s="188">
        <f>11200000-11200000</f>
        <v>0</v>
      </c>
      <c r="N560" s="192" t="s">
        <v>285</v>
      </c>
      <c r="O560" s="196" t="s">
        <v>286</v>
      </c>
      <c r="P560" s="192" t="s">
        <v>24</v>
      </c>
    </row>
    <row r="561" spans="1:16" s="211" customFormat="1" ht="75" x14ac:dyDescent="0.3">
      <c r="A561" s="4">
        <v>2023542</v>
      </c>
      <c r="B561" s="120">
        <v>7658</v>
      </c>
      <c r="C561" s="156" t="s">
        <v>142</v>
      </c>
      <c r="D561" s="191" t="s">
        <v>281</v>
      </c>
      <c r="E561" s="242">
        <v>80111600</v>
      </c>
      <c r="F561" s="191" t="s">
        <v>304</v>
      </c>
      <c r="G561" s="209">
        <v>45094</v>
      </c>
      <c r="H561" s="209">
        <v>45094</v>
      </c>
      <c r="I561" s="191">
        <v>6</v>
      </c>
      <c r="J561" s="191" t="s">
        <v>20</v>
      </c>
      <c r="K561" s="203" t="s">
        <v>21</v>
      </c>
      <c r="L561" s="191" t="s">
        <v>27</v>
      </c>
      <c r="M561" s="188">
        <f>14000000-14000000</f>
        <v>0</v>
      </c>
      <c r="N561" s="192" t="s">
        <v>285</v>
      </c>
      <c r="O561" s="196" t="s">
        <v>286</v>
      </c>
      <c r="P561" s="192" t="s">
        <v>24</v>
      </c>
    </row>
    <row r="562" spans="1:16" ht="75" x14ac:dyDescent="0.3">
      <c r="A562" s="4">
        <v>2023543</v>
      </c>
      <c r="B562" s="2">
        <v>7658</v>
      </c>
      <c r="C562" s="118" t="s">
        <v>142</v>
      </c>
      <c r="D562" s="191" t="s">
        <v>281</v>
      </c>
      <c r="E562" s="196">
        <v>80111600</v>
      </c>
      <c r="F562" s="191" t="s">
        <v>308</v>
      </c>
      <c r="G562" s="209">
        <v>44973</v>
      </c>
      <c r="H562" s="209">
        <v>44973</v>
      </c>
      <c r="I562" s="191">
        <v>7</v>
      </c>
      <c r="J562" s="191" t="s">
        <v>20</v>
      </c>
      <c r="K562" s="195" t="s">
        <v>21</v>
      </c>
      <c r="L562" s="191" t="s">
        <v>27</v>
      </c>
      <c r="M562" s="188">
        <f>18000000-75000-3350000-1075000</f>
        <v>13500000</v>
      </c>
      <c r="N562" s="192" t="s">
        <v>285</v>
      </c>
      <c r="O562" s="196" t="s">
        <v>286</v>
      </c>
      <c r="P562" s="192" t="s">
        <v>24</v>
      </c>
    </row>
    <row r="563" spans="1:16" ht="75" x14ac:dyDescent="0.3">
      <c r="A563" s="2">
        <v>2023544</v>
      </c>
      <c r="B563" s="2">
        <v>7658</v>
      </c>
      <c r="C563" s="118" t="s">
        <v>142</v>
      </c>
      <c r="D563" s="191" t="s">
        <v>281</v>
      </c>
      <c r="E563" s="196">
        <v>80111600</v>
      </c>
      <c r="F563" s="191" t="s">
        <v>310</v>
      </c>
      <c r="G563" s="209">
        <v>44973</v>
      </c>
      <c r="H563" s="209">
        <v>44973</v>
      </c>
      <c r="I563" s="191">
        <v>4</v>
      </c>
      <c r="J563" s="191" t="s">
        <v>20</v>
      </c>
      <c r="K563" s="195" t="s">
        <v>21</v>
      </c>
      <c r="L563" s="191" t="s">
        <v>27</v>
      </c>
      <c r="M563" s="188">
        <f>18000000-18000000</f>
        <v>0</v>
      </c>
      <c r="N563" s="192" t="s">
        <v>285</v>
      </c>
      <c r="O563" s="196" t="s">
        <v>286</v>
      </c>
      <c r="P563" s="192" t="s">
        <v>24</v>
      </c>
    </row>
    <row r="564" spans="1:16" ht="75" x14ac:dyDescent="0.3">
      <c r="A564" s="2">
        <v>2023545</v>
      </c>
      <c r="B564" s="2">
        <v>7658</v>
      </c>
      <c r="C564" s="118" t="s">
        <v>142</v>
      </c>
      <c r="D564" s="191" t="s">
        <v>281</v>
      </c>
      <c r="E564" s="196">
        <v>80111600</v>
      </c>
      <c r="F564" s="191" t="s">
        <v>317</v>
      </c>
      <c r="G564" s="209">
        <v>44973</v>
      </c>
      <c r="H564" s="209">
        <v>44973</v>
      </c>
      <c r="I564" s="191">
        <v>4</v>
      </c>
      <c r="J564" s="191" t="s">
        <v>20</v>
      </c>
      <c r="K564" s="195" t="s">
        <v>21</v>
      </c>
      <c r="L564" s="191" t="s">
        <v>27</v>
      </c>
      <c r="M564" s="188">
        <f>15400000-15400000</f>
        <v>0</v>
      </c>
      <c r="N564" s="192" t="s">
        <v>285</v>
      </c>
      <c r="O564" s="196" t="s">
        <v>286</v>
      </c>
      <c r="P564" s="192" t="s">
        <v>24</v>
      </c>
    </row>
    <row r="565" spans="1:16" ht="75" x14ac:dyDescent="0.3">
      <c r="A565" s="2">
        <v>2023546</v>
      </c>
      <c r="B565" s="2">
        <v>7658</v>
      </c>
      <c r="C565" s="118" t="s">
        <v>142</v>
      </c>
      <c r="D565" s="191" t="s">
        <v>281</v>
      </c>
      <c r="E565" s="196">
        <v>80111600</v>
      </c>
      <c r="F565" s="196" t="s">
        <v>317</v>
      </c>
      <c r="G565" s="209">
        <v>44973</v>
      </c>
      <c r="H565" s="209">
        <v>44973</v>
      </c>
      <c r="I565" s="191">
        <v>4.5</v>
      </c>
      <c r="J565" s="191" t="s">
        <v>20</v>
      </c>
      <c r="K565" s="195" t="s">
        <v>21</v>
      </c>
      <c r="L565" s="191" t="s">
        <v>27</v>
      </c>
      <c r="M565" s="188">
        <f>17325000-17325000</f>
        <v>0</v>
      </c>
      <c r="N565" s="192" t="s">
        <v>285</v>
      </c>
      <c r="O565" s="196" t="s">
        <v>286</v>
      </c>
      <c r="P565" s="192" t="s">
        <v>24</v>
      </c>
    </row>
    <row r="566" spans="1:16" ht="75" x14ac:dyDescent="0.3">
      <c r="A566" s="2">
        <v>2023547</v>
      </c>
      <c r="B566" s="2">
        <v>7655</v>
      </c>
      <c r="C566" s="118" t="s">
        <v>25</v>
      </c>
      <c r="D566" s="191" t="s">
        <v>18</v>
      </c>
      <c r="E566" s="196">
        <v>80111600</v>
      </c>
      <c r="F566" s="196" t="s">
        <v>480</v>
      </c>
      <c r="G566" s="209">
        <v>44927</v>
      </c>
      <c r="H566" s="209">
        <v>44941</v>
      </c>
      <c r="I566" s="191">
        <v>8.5</v>
      </c>
      <c r="J566" s="191" t="s">
        <v>20</v>
      </c>
      <c r="K566" s="195" t="s">
        <v>21</v>
      </c>
      <c r="L566" s="191" t="s">
        <v>27</v>
      </c>
      <c r="M566" s="214">
        <f>7000000*8.5</f>
        <v>59500000</v>
      </c>
      <c r="N566" s="196" t="s">
        <v>28</v>
      </c>
      <c r="O566" s="196" t="s">
        <v>29</v>
      </c>
      <c r="P566" s="192" t="s">
        <v>24</v>
      </c>
    </row>
    <row r="567" spans="1:16" ht="60" x14ac:dyDescent="0.3">
      <c r="A567" s="2">
        <v>2023548</v>
      </c>
      <c r="B567" s="2">
        <v>7655</v>
      </c>
      <c r="C567" s="118" t="s">
        <v>25</v>
      </c>
      <c r="D567" s="191" t="s">
        <v>195</v>
      </c>
      <c r="E567" s="196">
        <v>80111600</v>
      </c>
      <c r="F567" s="196" t="s">
        <v>481</v>
      </c>
      <c r="G567" s="197">
        <v>45033</v>
      </c>
      <c r="H567" s="197">
        <v>45046</v>
      </c>
      <c r="I567" s="191">
        <v>8</v>
      </c>
      <c r="J567" s="191" t="s">
        <v>20</v>
      </c>
      <c r="K567" s="195" t="s">
        <v>21</v>
      </c>
      <c r="L567" s="191" t="s">
        <v>27</v>
      </c>
      <c r="M567" s="214">
        <f>28000000-7000000</f>
        <v>21000000</v>
      </c>
      <c r="N567" s="196" t="s">
        <v>28</v>
      </c>
      <c r="O567" s="196" t="s">
        <v>29</v>
      </c>
      <c r="P567" s="192" t="s">
        <v>24</v>
      </c>
    </row>
    <row r="568" spans="1:16" ht="60" x14ac:dyDescent="0.3">
      <c r="A568" s="2">
        <v>2023549</v>
      </c>
      <c r="B568" s="2">
        <v>7655</v>
      </c>
      <c r="C568" s="118" t="s">
        <v>25</v>
      </c>
      <c r="D568" s="191" t="s">
        <v>195</v>
      </c>
      <c r="E568" s="196">
        <v>80111600</v>
      </c>
      <c r="F568" s="196" t="s">
        <v>482</v>
      </c>
      <c r="G568" s="197">
        <v>44986</v>
      </c>
      <c r="H568" s="197">
        <v>45015</v>
      </c>
      <c r="I568" s="191">
        <v>10</v>
      </c>
      <c r="J568" s="191" t="s">
        <v>20</v>
      </c>
      <c r="K568" s="195" t="s">
        <v>21</v>
      </c>
      <c r="L568" s="191" t="s">
        <v>27</v>
      </c>
      <c r="M568" s="214">
        <f>36380000+39123000+2469500-5158080-54420</f>
        <v>72760000</v>
      </c>
      <c r="N568" s="196" t="s">
        <v>28</v>
      </c>
      <c r="O568" s="196" t="s">
        <v>29</v>
      </c>
      <c r="P568" s="192" t="s">
        <v>24</v>
      </c>
    </row>
    <row r="569" spans="1:16" ht="90" x14ac:dyDescent="0.3">
      <c r="A569" s="4">
        <v>2023550</v>
      </c>
      <c r="B569" s="2">
        <v>7658</v>
      </c>
      <c r="C569" s="3" t="s">
        <v>142</v>
      </c>
      <c r="D569" s="196" t="s">
        <v>221</v>
      </c>
      <c r="E569" s="196">
        <v>80111600</v>
      </c>
      <c r="F569" s="196" t="s">
        <v>483</v>
      </c>
      <c r="G569" s="197">
        <v>44986</v>
      </c>
      <c r="H569" s="197">
        <v>45000</v>
      </c>
      <c r="I569" s="191">
        <v>10</v>
      </c>
      <c r="J569" s="191" t="s">
        <v>20</v>
      </c>
      <c r="K569" s="195" t="s">
        <v>21</v>
      </c>
      <c r="L569" s="191" t="s">
        <v>27</v>
      </c>
      <c r="M569" s="188">
        <f>52034000-2034000</f>
        <v>50000000</v>
      </c>
      <c r="N569" s="208" t="s">
        <v>224</v>
      </c>
      <c r="O569" s="208" t="s">
        <v>163</v>
      </c>
      <c r="P569" s="192" t="s">
        <v>24</v>
      </c>
    </row>
    <row r="570" spans="1:16" ht="90" x14ac:dyDescent="0.3">
      <c r="A570" s="4">
        <v>2023551</v>
      </c>
      <c r="B570" s="2">
        <v>7658</v>
      </c>
      <c r="C570" s="3" t="s">
        <v>142</v>
      </c>
      <c r="D570" s="196" t="s">
        <v>221</v>
      </c>
      <c r="E570" s="196">
        <v>80111600</v>
      </c>
      <c r="F570" s="196" t="s">
        <v>484</v>
      </c>
      <c r="G570" s="197">
        <v>45005</v>
      </c>
      <c r="H570" s="197">
        <v>45005</v>
      </c>
      <c r="I570" s="191">
        <v>8</v>
      </c>
      <c r="J570" s="191" t="s">
        <v>20</v>
      </c>
      <c r="K570" s="195" t="s">
        <v>21</v>
      </c>
      <c r="L570" s="191" t="s">
        <v>27</v>
      </c>
      <c r="M570" s="188">
        <v>32960000</v>
      </c>
      <c r="N570" s="208" t="s">
        <v>224</v>
      </c>
      <c r="O570" s="208" t="s">
        <v>163</v>
      </c>
      <c r="P570" s="192" t="s">
        <v>24</v>
      </c>
    </row>
    <row r="571" spans="1:16" ht="105" x14ac:dyDescent="0.3">
      <c r="A571" s="2">
        <v>2023552</v>
      </c>
      <c r="B571" s="2">
        <v>7658</v>
      </c>
      <c r="C571" s="118" t="s">
        <v>142</v>
      </c>
      <c r="D571" s="191" t="s">
        <v>45</v>
      </c>
      <c r="E571" s="196">
        <v>80111600</v>
      </c>
      <c r="F571" s="191" t="s">
        <v>485</v>
      </c>
      <c r="G571" s="193">
        <v>44977</v>
      </c>
      <c r="H571" s="193">
        <v>44986</v>
      </c>
      <c r="I571" s="191">
        <v>4</v>
      </c>
      <c r="J571" s="191" t="s">
        <v>20</v>
      </c>
      <c r="K571" s="195" t="s">
        <v>21</v>
      </c>
      <c r="L571" s="191" t="s">
        <v>27</v>
      </c>
      <c r="M571" s="188">
        <f>4500000*I571</f>
        <v>18000000</v>
      </c>
      <c r="N571" s="196" t="s">
        <v>166</v>
      </c>
      <c r="O571" s="196" t="s">
        <v>163</v>
      </c>
      <c r="P571" s="192" t="s">
        <v>24</v>
      </c>
    </row>
    <row r="572" spans="1:16" ht="90" x14ac:dyDescent="0.3">
      <c r="A572" s="2">
        <v>2023553</v>
      </c>
      <c r="B572" s="2">
        <v>7658</v>
      </c>
      <c r="C572" s="118" t="s">
        <v>142</v>
      </c>
      <c r="D572" s="191" t="s">
        <v>45</v>
      </c>
      <c r="E572" s="196">
        <v>80111600</v>
      </c>
      <c r="F572" s="191" t="s">
        <v>486</v>
      </c>
      <c r="G572" s="193">
        <v>44977</v>
      </c>
      <c r="H572" s="193">
        <v>44986</v>
      </c>
      <c r="I572" s="191">
        <v>10</v>
      </c>
      <c r="J572" s="191" t="s">
        <v>20</v>
      </c>
      <c r="K572" s="195" t="s">
        <v>21</v>
      </c>
      <c r="L572" s="191" t="s">
        <v>27</v>
      </c>
      <c r="M572" s="188">
        <f>6000000*I572</f>
        <v>60000000</v>
      </c>
      <c r="N572" s="196" t="s">
        <v>166</v>
      </c>
      <c r="O572" s="196" t="s">
        <v>163</v>
      </c>
      <c r="P572" s="192" t="s">
        <v>24</v>
      </c>
    </row>
    <row r="573" spans="1:16" ht="90" x14ac:dyDescent="0.3">
      <c r="A573" s="4">
        <v>2023554</v>
      </c>
      <c r="B573" s="2">
        <v>7658</v>
      </c>
      <c r="C573" s="118" t="s">
        <v>142</v>
      </c>
      <c r="D573" s="191" t="s">
        <v>319</v>
      </c>
      <c r="E573" s="196">
        <v>80111600</v>
      </c>
      <c r="F573" s="191" t="s">
        <v>387</v>
      </c>
      <c r="G573" s="193">
        <v>45078</v>
      </c>
      <c r="H573" s="193">
        <v>45092</v>
      </c>
      <c r="I573" s="191">
        <v>6</v>
      </c>
      <c r="J573" s="191" t="s">
        <v>20</v>
      </c>
      <c r="K573" s="195" t="s">
        <v>21</v>
      </c>
      <c r="L573" s="191" t="s">
        <v>27</v>
      </c>
      <c r="M573" s="188">
        <f>(7300000*6)-3622480-18277520</f>
        <v>21900000</v>
      </c>
      <c r="N573" s="196" t="s">
        <v>340</v>
      </c>
      <c r="O573" s="196" t="s">
        <v>163</v>
      </c>
      <c r="P573" s="192" t="s">
        <v>24</v>
      </c>
    </row>
    <row r="574" spans="1:16" ht="45" x14ac:dyDescent="0.3">
      <c r="A574" s="4">
        <v>2023555</v>
      </c>
      <c r="B574" s="2" t="s">
        <v>17</v>
      </c>
      <c r="C574" s="118" t="s">
        <v>17</v>
      </c>
      <c r="D574" s="191" t="s">
        <v>319</v>
      </c>
      <c r="E574" s="196" t="s">
        <v>407</v>
      </c>
      <c r="F574" s="191" t="s">
        <v>487</v>
      </c>
      <c r="G574" s="193">
        <v>44977</v>
      </c>
      <c r="H574" s="193">
        <v>44985</v>
      </c>
      <c r="I574" s="191">
        <v>1</v>
      </c>
      <c r="J574" s="191" t="s">
        <v>159</v>
      </c>
      <c r="K574" s="195" t="s">
        <v>21</v>
      </c>
      <c r="L574" s="191" t="s">
        <v>23</v>
      </c>
      <c r="M574" s="188">
        <f>280000000-43551200-31139234-30000000-16551200-36000000-5139234-58854956</f>
        <v>58764176</v>
      </c>
      <c r="N574" s="196" t="s">
        <v>23</v>
      </c>
      <c r="O574" s="196" t="s">
        <v>23</v>
      </c>
      <c r="P574" s="192" t="s">
        <v>364</v>
      </c>
    </row>
    <row r="575" spans="1:16" ht="90" x14ac:dyDescent="0.3">
      <c r="A575" s="4">
        <v>2023556</v>
      </c>
      <c r="B575" s="120">
        <v>7658</v>
      </c>
      <c r="C575" s="118" t="s">
        <v>142</v>
      </c>
      <c r="D575" s="191" t="s">
        <v>319</v>
      </c>
      <c r="E575" s="196">
        <v>80111600</v>
      </c>
      <c r="F575" s="191" t="s">
        <v>488</v>
      </c>
      <c r="G575" s="193">
        <v>44977</v>
      </c>
      <c r="H575" s="193">
        <v>44986</v>
      </c>
      <c r="I575" s="191">
        <v>9</v>
      </c>
      <c r="J575" s="191" t="s">
        <v>20</v>
      </c>
      <c r="K575" s="195" t="s">
        <v>21</v>
      </c>
      <c r="L575" s="191" t="s">
        <v>27</v>
      </c>
      <c r="M575" s="188">
        <f>6000000*9</f>
        <v>54000000</v>
      </c>
      <c r="N575" s="196" t="s">
        <v>340</v>
      </c>
      <c r="O575" s="196" t="s">
        <v>163</v>
      </c>
      <c r="P575" s="192" t="s">
        <v>24</v>
      </c>
    </row>
    <row r="576" spans="1:16" ht="60" x14ac:dyDescent="0.3">
      <c r="A576" s="4">
        <v>2023557</v>
      </c>
      <c r="B576" s="120">
        <v>7655</v>
      </c>
      <c r="C576" s="118" t="s">
        <v>25</v>
      </c>
      <c r="D576" s="191" t="s">
        <v>319</v>
      </c>
      <c r="E576" s="196">
        <v>80111600</v>
      </c>
      <c r="F576" s="191" t="s">
        <v>332</v>
      </c>
      <c r="G576" s="193">
        <v>44985</v>
      </c>
      <c r="H576" s="193">
        <v>44995</v>
      </c>
      <c r="I576" s="191">
        <v>8</v>
      </c>
      <c r="J576" s="191" t="s">
        <v>20</v>
      </c>
      <c r="K576" s="195" t="s">
        <v>21</v>
      </c>
      <c r="L576" s="191" t="s">
        <v>27</v>
      </c>
      <c r="M576" s="214">
        <f>2450000*8</f>
        <v>19600000</v>
      </c>
      <c r="N576" s="196" t="s">
        <v>28</v>
      </c>
      <c r="O576" s="196" t="s">
        <v>29</v>
      </c>
      <c r="P576" s="192" t="s">
        <v>24</v>
      </c>
    </row>
    <row r="577" spans="1:16" ht="90" x14ac:dyDescent="0.3">
      <c r="A577" s="4">
        <v>2023558</v>
      </c>
      <c r="B577" s="120">
        <v>7658</v>
      </c>
      <c r="C577" s="118" t="s">
        <v>142</v>
      </c>
      <c r="D577" s="191" t="s">
        <v>319</v>
      </c>
      <c r="E577" s="196">
        <v>80111600</v>
      </c>
      <c r="F577" s="191" t="s">
        <v>489</v>
      </c>
      <c r="G577" s="193">
        <v>44977</v>
      </c>
      <c r="H577" s="193">
        <v>44986</v>
      </c>
      <c r="I577" s="191">
        <v>7</v>
      </c>
      <c r="J577" s="191" t="s">
        <v>20</v>
      </c>
      <c r="K577" s="195" t="s">
        <v>21</v>
      </c>
      <c r="L577" s="191" t="s">
        <v>27</v>
      </c>
      <c r="M577" s="188">
        <f>4500000*7</f>
        <v>31500000</v>
      </c>
      <c r="N577" s="196" t="s">
        <v>340</v>
      </c>
      <c r="O577" s="196" t="s">
        <v>163</v>
      </c>
      <c r="P577" s="192" t="s">
        <v>24</v>
      </c>
    </row>
    <row r="578" spans="1:16" ht="60" x14ac:dyDescent="0.3">
      <c r="A578" s="4">
        <v>2023559</v>
      </c>
      <c r="B578" s="120">
        <v>7655</v>
      </c>
      <c r="C578" s="118" t="s">
        <v>25</v>
      </c>
      <c r="D578" s="191" t="s">
        <v>215</v>
      </c>
      <c r="E578" s="196">
        <v>80111600</v>
      </c>
      <c r="F578" s="191" t="s">
        <v>490</v>
      </c>
      <c r="G578" s="193">
        <v>44986</v>
      </c>
      <c r="H578" s="193">
        <v>44995</v>
      </c>
      <c r="I578" s="191">
        <v>8</v>
      </c>
      <c r="J578" s="191" t="s">
        <v>20</v>
      </c>
      <c r="K578" s="195" t="s">
        <v>21</v>
      </c>
      <c r="L578" s="191" t="s">
        <v>27</v>
      </c>
      <c r="M578" s="214">
        <f>44000000-11000000</f>
        <v>33000000</v>
      </c>
      <c r="N578" s="196" t="s">
        <v>28</v>
      </c>
      <c r="O578" s="196" t="s">
        <v>29</v>
      </c>
      <c r="P578" s="192" t="s">
        <v>24</v>
      </c>
    </row>
    <row r="579" spans="1:16" ht="90" x14ac:dyDescent="0.3">
      <c r="A579" s="4">
        <v>2023560</v>
      </c>
      <c r="B579" s="120">
        <v>7658</v>
      </c>
      <c r="C579" s="118" t="s">
        <v>142</v>
      </c>
      <c r="D579" s="191" t="s">
        <v>319</v>
      </c>
      <c r="E579" s="196">
        <v>80111600</v>
      </c>
      <c r="F579" s="191" t="s">
        <v>373</v>
      </c>
      <c r="G579" s="193">
        <v>44977</v>
      </c>
      <c r="H579" s="193">
        <v>44986</v>
      </c>
      <c r="I579" s="191">
        <v>9</v>
      </c>
      <c r="J579" s="191" t="s">
        <v>20</v>
      </c>
      <c r="K579" s="195" t="s">
        <v>21</v>
      </c>
      <c r="L579" s="191" t="s">
        <v>27</v>
      </c>
      <c r="M579" s="188">
        <f>2450000*9</f>
        <v>22050000</v>
      </c>
      <c r="N579" s="196" t="s">
        <v>340</v>
      </c>
      <c r="O579" s="196" t="s">
        <v>163</v>
      </c>
      <c r="P579" s="192" t="s">
        <v>24</v>
      </c>
    </row>
    <row r="580" spans="1:16" ht="105" x14ac:dyDescent="0.3">
      <c r="A580" s="4">
        <v>2023561</v>
      </c>
      <c r="B580" s="120">
        <v>7658</v>
      </c>
      <c r="C580" s="118" t="s">
        <v>142</v>
      </c>
      <c r="D580" s="191" t="s">
        <v>281</v>
      </c>
      <c r="E580" s="196" t="s">
        <v>283</v>
      </c>
      <c r="F580" s="191" t="s">
        <v>491</v>
      </c>
      <c r="G580" s="193">
        <v>44941</v>
      </c>
      <c r="H580" s="193">
        <v>45000</v>
      </c>
      <c r="I580" s="191">
        <v>2.2999999999999998</v>
      </c>
      <c r="J580" s="191" t="s">
        <v>154</v>
      </c>
      <c r="K580" s="195" t="s">
        <v>21</v>
      </c>
      <c r="L580" s="191" t="s">
        <v>27</v>
      </c>
      <c r="M580" s="188">
        <v>229931285</v>
      </c>
      <c r="N580" s="196" t="s">
        <v>285</v>
      </c>
      <c r="O580" s="196" t="s">
        <v>286</v>
      </c>
      <c r="P580" s="196" t="s">
        <v>364</v>
      </c>
    </row>
    <row r="581" spans="1:16" ht="90" x14ac:dyDescent="0.3">
      <c r="A581" s="4">
        <v>2023562</v>
      </c>
      <c r="B581" s="120">
        <v>7655</v>
      </c>
      <c r="C581" s="118" t="s">
        <v>25</v>
      </c>
      <c r="D581" s="191" t="s">
        <v>319</v>
      </c>
      <c r="E581" s="196">
        <v>80111600</v>
      </c>
      <c r="F581" s="191" t="s">
        <v>488</v>
      </c>
      <c r="G581" s="193">
        <v>44986</v>
      </c>
      <c r="H581" s="193">
        <v>45000</v>
      </c>
      <c r="I581" s="191">
        <v>7</v>
      </c>
      <c r="J581" s="191" t="s">
        <v>20</v>
      </c>
      <c r="K581" s="195" t="s">
        <v>21</v>
      </c>
      <c r="L581" s="191" t="s">
        <v>50</v>
      </c>
      <c r="M581" s="214">
        <f>5500000*7</f>
        <v>38500000</v>
      </c>
      <c r="N581" s="196" t="s">
        <v>28</v>
      </c>
      <c r="O581" s="196" t="s">
        <v>29</v>
      </c>
      <c r="P581" s="192" t="s">
        <v>24</v>
      </c>
    </row>
    <row r="582" spans="1:16" ht="75" x14ac:dyDescent="0.3">
      <c r="A582" s="4">
        <v>2023563</v>
      </c>
      <c r="B582" s="120">
        <v>7658</v>
      </c>
      <c r="C582" s="118" t="s">
        <v>142</v>
      </c>
      <c r="D582" s="191" t="s">
        <v>125</v>
      </c>
      <c r="E582" s="196">
        <v>80111600</v>
      </c>
      <c r="F582" s="191" t="s">
        <v>492</v>
      </c>
      <c r="G582" s="193">
        <v>44974</v>
      </c>
      <c r="H582" s="193">
        <v>44986</v>
      </c>
      <c r="I582" s="191">
        <v>10</v>
      </c>
      <c r="J582" s="191" t="s">
        <v>20</v>
      </c>
      <c r="K582" s="195" t="s">
        <v>21</v>
      </c>
      <c r="L582" s="191" t="s">
        <v>27</v>
      </c>
      <c r="M582" s="188">
        <f>38500000-5366000-4259000-17325000</f>
        <v>11550000</v>
      </c>
      <c r="N582" s="196" t="s">
        <v>144</v>
      </c>
      <c r="O582" s="196" t="s">
        <v>145</v>
      </c>
      <c r="P582" s="196" t="s">
        <v>24</v>
      </c>
    </row>
    <row r="583" spans="1:16" ht="75" x14ac:dyDescent="0.3">
      <c r="A583" s="4">
        <v>2023564</v>
      </c>
      <c r="B583" s="120">
        <v>7658</v>
      </c>
      <c r="C583" s="118" t="s">
        <v>142</v>
      </c>
      <c r="D583" s="196" t="s">
        <v>125</v>
      </c>
      <c r="E583" s="196">
        <v>80111600</v>
      </c>
      <c r="F583" s="196" t="s">
        <v>147</v>
      </c>
      <c r="G583" s="197">
        <v>44974</v>
      </c>
      <c r="H583" s="197">
        <v>44986</v>
      </c>
      <c r="I583" s="191">
        <v>4</v>
      </c>
      <c r="J583" s="191" t="s">
        <v>20</v>
      </c>
      <c r="K583" s="195" t="s">
        <v>21</v>
      </c>
      <c r="L583" s="191" t="s">
        <v>27</v>
      </c>
      <c r="M583" s="188">
        <f>9800000+9800000-9800000</f>
        <v>9800000</v>
      </c>
      <c r="N583" s="196" t="s">
        <v>144</v>
      </c>
      <c r="O583" s="196" t="s">
        <v>145</v>
      </c>
      <c r="P583" s="192" t="s">
        <v>24</v>
      </c>
    </row>
    <row r="584" spans="1:16" ht="45" x14ac:dyDescent="0.3">
      <c r="A584" s="4">
        <v>2023566</v>
      </c>
      <c r="B584" s="120" t="s">
        <v>17</v>
      </c>
      <c r="C584" s="118" t="s">
        <v>17</v>
      </c>
      <c r="D584" s="196" t="s">
        <v>125</v>
      </c>
      <c r="E584" s="196">
        <v>80111600</v>
      </c>
      <c r="F584" s="196" t="s">
        <v>493</v>
      </c>
      <c r="G584" s="197">
        <v>44977</v>
      </c>
      <c r="H584" s="197">
        <v>44986</v>
      </c>
      <c r="I584" s="191">
        <v>4</v>
      </c>
      <c r="J584" s="191" t="s">
        <v>20</v>
      </c>
      <c r="K584" s="195" t="s">
        <v>21</v>
      </c>
      <c r="L584" s="191" t="s">
        <v>23</v>
      </c>
      <c r="M584" s="188">
        <f>14000000+5348500+4900000+251500-14000000+900000</f>
        <v>11400000</v>
      </c>
      <c r="N584" s="196" t="s">
        <v>23</v>
      </c>
      <c r="O584" s="196" t="s">
        <v>23</v>
      </c>
      <c r="P584" s="192" t="s">
        <v>24</v>
      </c>
    </row>
    <row r="585" spans="1:16" ht="60" x14ac:dyDescent="0.3">
      <c r="A585" s="4">
        <v>2023567</v>
      </c>
      <c r="B585" s="120">
        <v>7655</v>
      </c>
      <c r="C585" s="118" t="s">
        <v>25</v>
      </c>
      <c r="D585" s="196" t="s">
        <v>125</v>
      </c>
      <c r="E585" s="196">
        <v>80111600</v>
      </c>
      <c r="F585" s="196" t="s">
        <v>494</v>
      </c>
      <c r="G585" s="197">
        <v>44997</v>
      </c>
      <c r="H585" s="197">
        <v>45000</v>
      </c>
      <c r="I585" s="191">
        <v>3</v>
      </c>
      <c r="J585" s="191" t="s">
        <v>20</v>
      </c>
      <c r="K585" s="195" t="s">
        <v>21</v>
      </c>
      <c r="L585" s="191" t="s">
        <v>27</v>
      </c>
      <c r="M585" s="214">
        <f>11400000+5700000-1166667-2500000-1306000</f>
        <v>12127333</v>
      </c>
      <c r="N585" s="196" t="s">
        <v>28</v>
      </c>
      <c r="O585" s="196" t="s">
        <v>29</v>
      </c>
      <c r="P585" s="192" t="s">
        <v>24</v>
      </c>
    </row>
    <row r="586" spans="1:16" ht="75" x14ac:dyDescent="0.3">
      <c r="A586" s="4">
        <v>2023568</v>
      </c>
      <c r="B586" s="120">
        <v>7658</v>
      </c>
      <c r="C586" s="118" t="s">
        <v>142</v>
      </c>
      <c r="D586" s="196" t="s">
        <v>125</v>
      </c>
      <c r="E586" s="196">
        <v>80111600</v>
      </c>
      <c r="F586" s="196" t="s">
        <v>147</v>
      </c>
      <c r="G586" s="197">
        <v>44974</v>
      </c>
      <c r="H586" s="197">
        <v>44986</v>
      </c>
      <c r="I586" s="191">
        <v>4</v>
      </c>
      <c r="J586" s="191" t="s">
        <v>20</v>
      </c>
      <c r="K586" s="195" t="s">
        <v>21</v>
      </c>
      <c r="L586" s="191" t="s">
        <v>27</v>
      </c>
      <c r="M586" s="188">
        <f>9800000-9800000</f>
        <v>0</v>
      </c>
      <c r="N586" s="196" t="s">
        <v>144</v>
      </c>
      <c r="O586" s="196" t="s">
        <v>145</v>
      </c>
      <c r="P586" s="192" t="s">
        <v>24</v>
      </c>
    </row>
    <row r="587" spans="1:16" ht="45" x14ac:dyDescent="0.3">
      <c r="A587" s="4">
        <v>2023569</v>
      </c>
      <c r="B587" s="120" t="s">
        <v>17</v>
      </c>
      <c r="C587" s="118" t="s">
        <v>17</v>
      </c>
      <c r="D587" s="196" t="s">
        <v>125</v>
      </c>
      <c r="E587" s="196">
        <v>80111600</v>
      </c>
      <c r="F587" s="196" t="s">
        <v>441</v>
      </c>
      <c r="G587" s="197">
        <v>44977</v>
      </c>
      <c r="H587" s="197">
        <v>44986</v>
      </c>
      <c r="I587" s="191">
        <v>9</v>
      </c>
      <c r="J587" s="191" t="s">
        <v>20</v>
      </c>
      <c r="K587" s="195" t="s">
        <v>21</v>
      </c>
      <c r="L587" s="191" t="s">
        <v>23</v>
      </c>
      <c r="M587" s="188">
        <f>22050000-22050000</f>
        <v>0</v>
      </c>
      <c r="N587" s="196" t="s">
        <v>23</v>
      </c>
      <c r="O587" s="196" t="s">
        <v>23</v>
      </c>
      <c r="P587" s="192" t="s">
        <v>24</v>
      </c>
    </row>
    <row r="588" spans="1:16" ht="60" x14ac:dyDescent="0.3">
      <c r="A588" s="4">
        <v>2023570</v>
      </c>
      <c r="B588" s="120">
        <v>7655</v>
      </c>
      <c r="C588" s="118" t="s">
        <v>25</v>
      </c>
      <c r="D588" s="196" t="s">
        <v>319</v>
      </c>
      <c r="E588" s="196">
        <v>80111600</v>
      </c>
      <c r="F588" s="196" t="s">
        <v>495</v>
      </c>
      <c r="G588" s="197">
        <v>44979</v>
      </c>
      <c r="H588" s="197">
        <v>44985</v>
      </c>
      <c r="I588" s="191">
        <v>2.5</v>
      </c>
      <c r="J588" s="191" t="s">
        <v>20</v>
      </c>
      <c r="K588" s="195" t="s">
        <v>21</v>
      </c>
      <c r="L588" s="191" t="s">
        <v>27</v>
      </c>
      <c r="M588" s="214">
        <f>9000000</f>
        <v>9000000</v>
      </c>
      <c r="N588" s="196" t="s">
        <v>28</v>
      </c>
      <c r="O588" s="196" t="s">
        <v>29</v>
      </c>
      <c r="P588" s="192" t="s">
        <v>364</v>
      </c>
    </row>
    <row r="589" spans="1:16" ht="75" x14ac:dyDescent="0.3">
      <c r="A589" s="4">
        <v>2023571</v>
      </c>
      <c r="B589" s="120">
        <v>7655</v>
      </c>
      <c r="C589" s="118" t="s">
        <v>25</v>
      </c>
      <c r="D589" s="196" t="s">
        <v>319</v>
      </c>
      <c r="E589" s="196">
        <v>80111600</v>
      </c>
      <c r="F589" s="196" t="s">
        <v>496</v>
      </c>
      <c r="G589" s="197">
        <v>44979</v>
      </c>
      <c r="H589" s="197">
        <v>44985</v>
      </c>
      <c r="I589" s="191">
        <v>0.5</v>
      </c>
      <c r="J589" s="191" t="s">
        <v>20</v>
      </c>
      <c r="K589" s="195" t="s">
        <v>21</v>
      </c>
      <c r="L589" s="191" t="s">
        <v>27</v>
      </c>
      <c r="M589" s="214">
        <f>6800000/30*15</f>
        <v>3400000</v>
      </c>
      <c r="N589" s="196" t="s">
        <v>28</v>
      </c>
      <c r="O589" s="196" t="s">
        <v>29</v>
      </c>
      <c r="P589" s="192" t="s">
        <v>364</v>
      </c>
    </row>
    <row r="590" spans="1:16" ht="60" x14ac:dyDescent="0.3">
      <c r="A590" s="4">
        <v>2023572</v>
      </c>
      <c r="B590" s="120">
        <v>7655</v>
      </c>
      <c r="C590" s="118" t="s">
        <v>25</v>
      </c>
      <c r="D590" s="196" t="s">
        <v>125</v>
      </c>
      <c r="E590" s="196">
        <v>80111600</v>
      </c>
      <c r="F590" s="196" t="s">
        <v>460</v>
      </c>
      <c r="G590" s="197">
        <v>45018</v>
      </c>
      <c r="H590" s="197">
        <v>45023</v>
      </c>
      <c r="I590" s="191">
        <v>4</v>
      </c>
      <c r="J590" s="191" t="s">
        <v>20</v>
      </c>
      <c r="K590" s="195" t="s">
        <v>21</v>
      </c>
      <c r="L590" s="191" t="s">
        <v>27</v>
      </c>
      <c r="M590" s="214">
        <f>17388000+2173500+1119000+4125000+7650000+4494000-8694000-8694000</f>
        <v>19561500</v>
      </c>
      <c r="N590" s="196" t="s">
        <v>28</v>
      </c>
      <c r="O590" s="196" t="s">
        <v>29</v>
      </c>
      <c r="P590" s="192" t="s">
        <v>24</v>
      </c>
    </row>
    <row r="591" spans="1:16" ht="60" x14ac:dyDescent="0.3">
      <c r="A591" s="4">
        <v>2023573</v>
      </c>
      <c r="B591" s="120">
        <v>7655</v>
      </c>
      <c r="C591" s="118" t="s">
        <v>25</v>
      </c>
      <c r="D591" s="196" t="s">
        <v>125</v>
      </c>
      <c r="E591" s="196">
        <v>80111600</v>
      </c>
      <c r="F591" s="196" t="s">
        <v>497</v>
      </c>
      <c r="G591" s="197">
        <v>44985</v>
      </c>
      <c r="H591" s="197">
        <v>44986</v>
      </c>
      <c r="I591" s="191">
        <v>4</v>
      </c>
      <c r="J591" s="191" t="s">
        <v>20</v>
      </c>
      <c r="K591" s="195" t="s">
        <v>21</v>
      </c>
      <c r="L591" s="191" t="s">
        <v>27</v>
      </c>
      <c r="M591" s="214">
        <f>16000000+4347000+3200000+6732500+1720500-16000000</f>
        <v>16000000</v>
      </c>
      <c r="N591" s="196" t="s">
        <v>28</v>
      </c>
      <c r="O591" s="196" t="s">
        <v>29</v>
      </c>
      <c r="P591" s="192" t="s">
        <v>24</v>
      </c>
    </row>
    <row r="592" spans="1:16" ht="90" x14ac:dyDescent="0.3">
      <c r="A592" s="4">
        <v>2023576</v>
      </c>
      <c r="B592" s="2">
        <v>7658</v>
      </c>
      <c r="C592" s="118" t="s">
        <v>142</v>
      </c>
      <c r="D592" s="191" t="s">
        <v>45</v>
      </c>
      <c r="E592" s="196" t="s">
        <v>750</v>
      </c>
      <c r="F592" s="210" t="s">
        <v>705</v>
      </c>
      <c r="G592" s="193">
        <v>45153</v>
      </c>
      <c r="H592" s="193">
        <v>45170</v>
      </c>
      <c r="I592" s="191">
        <v>6</v>
      </c>
      <c r="J592" s="191" t="s">
        <v>118</v>
      </c>
      <c r="K592" s="195" t="s">
        <v>21</v>
      </c>
      <c r="L592" s="191" t="s">
        <v>161</v>
      </c>
      <c r="M592" s="188">
        <f>28500000-7800000</f>
        <v>20700000</v>
      </c>
      <c r="N592" s="196" t="s">
        <v>166</v>
      </c>
      <c r="O592" s="196" t="s">
        <v>163</v>
      </c>
      <c r="P592" s="192" t="s">
        <v>24</v>
      </c>
    </row>
    <row r="593" spans="1:16" ht="90" x14ac:dyDescent="0.3">
      <c r="A593" s="2">
        <v>2023577</v>
      </c>
      <c r="B593" s="2">
        <v>7658</v>
      </c>
      <c r="C593" s="118" t="s">
        <v>142</v>
      </c>
      <c r="D593" s="191" t="s">
        <v>45</v>
      </c>
      <c r="E593" s="196">
        <v>80111600</v>
      </c>
      <c r="F593" s="210" t="s">
        <v>175</v>
      </c>
      <c r="G593" s="193">
        <v>45000</v>
      </c>
      <c r="H593" s="193">
        <v>45017</v>
      </c>
      <c r="I593" s="191">
        <v>9.5</v>
      </c>
      <c r="J593" s="191" t="s">
        <v>20</v>
      </c>
      <c r="K593" s="195" t="s">
        <v>21</v>
      </c>
      <c r="L593" s="191" t="s">
        <v>27</v>
      </c>
      <c r="M593" s="188">
        <v>23275000</v>
      </c>
      <c r="N593" s="196" t="s">
        <v>166</v>
      </c>
      <c r="O593" s="196" t="s">
        <v>163</v>
      </c>
      <c r="P593" s="192" t="s">
        <v>24</v>
      </c>
    </row>
    <row r="594" spans="1:16" ht="30" x14ac:dyDescent="0.3">
      <c r="A594" s="2">
        <v>2023578</v>
      </c>
      <c r="B594" s="2" t="s">
        <v>17</v>
      </c>
      <c r="C594" s="118" t="s">
        <v>17</v>
      </c>
      <c r="D594" s="191" t="s">
        <v>18</v>
      </c>
      <c r="E594" s="191">
        <v>43233205</v>
      </c>
      <c r="F594" s="210" t="s">
        <v>498</v>
      </c>
      <c r="G594" s="193">
        <v>45142</v>
      </c>
      <c r="H594" s="193">
        <v>45149</v>
      </c>
      <c r="I594" s="191">
        <v>2</v>
      </c>
      <c r="J594" s="191" t="s">
        <v>118</v>
      </c>
      <c r="K594" s="195" t="s">
        <v>21</v>
      </c>
      <c r="L594" s="191" t="s">
        <v>719</v>
      </c>
      <c r="M594" s="188">
        <v>1000000</v>
      </c>
      <c r="N594" s="196" t="s">
        <v>23</v>
      </c>
      <c r="O594" s="196" t="s">
        <v>23</v>
      </c>
      <c r="P594" s="192" t="s">
        <v>24</v>
      </c>
    </row>
    <row r="595" spans="1:16" ht="60" x14ac:dyDescent="0.3">
      <c r="A595" s="4">
        <v>2023579</v>
      </c>
      <c r="B595" s="2" t="s">
        <v>17</v>
      </c>
      <c r="C595" s="118" t="s">
        <v>17</v>
      </c>
      <c r="D595" s="191" t="s">
        <v>18</v>
      </c>
      <c r="E595" s="196" t="s">
        <v>70</v>
      </c>
      <c r="F595" s="191" t="s">
        <v>499</v>
      </c>
      <c r="G595" s="193">
        <v>44999</v>
      </c>
      <c r="H595" s="193">
        <v>45009</v>
      </c>
      <c r="I595" s="191">
        <v>1</v>
      </c>
      <c r="J595" s="191" t="s">
        <v>20</v>
      </c>
      <c r="K595" s="195" t="s">
        <v>21</v>
      </c>
      <c r="L595" s="191" t="s">
        <v>72</v>
      </c>
      <c r="M595" s="188">
        <v>20000000</v>
      </c>
      <c r="N595" s="242" t="s">
        <v>23</v>
      </c>
      <c r="O595" s="196" t="s">
        <v>23</v>
      </c>
      <c r="P595" s="192" t="s">
        <v>364</v>
      </c>
    </row>
    <row r="596" spans="1:16" ht="90" x14ac:dyDescent="0.3">
      <c r="A596" s="4">
        <v>2023580</v>
      </c>
      <c r="B596" s="2">
        <v>7658</v>
      </c>
      <c r="C596" s="118" t="s">
        <v>142</v>
      </c>
      <c r="D596" s="191" t="s">
        <v>221</v>
      </c>
      <c r="E596" s="191" t="s">
        <v>385</v>
      </c>
      <c r="F596" s="196" t="s">
        <v>500</v>
      </c>
      <c r="G596" s="197">
        <v>45000</v>
      </c>
      <c r="H596" s="197">
        <v>45000</v>
      </c>
      <c r="I596" s="191">
        <v>1</v>
      </c>
      <c r="J596" s="191" t="s">
        <v>385</v>
      </c>
      <c r="K596" s="195" t="s">
        <v>386</v>
      </c>
      <c r="L596" s="191" t="s">
        <v>234</v>
      </c>
      <c r="M596" s="188">
        <v>183600</v>
      </c>
      <c r="N596" s="196" t="s">
        <v>224</v>
      </c>
      <c r="O596" s="196" t="s">
        <v>163</v>
      </c>
      <c r="P596" s="192" t="s">
        <v>364</v>
      </c>
    </row>
    <row r="597" spans="1:16" ht="75" x14ac:dyDescent="0.3">
      <c r="A597" s="2">
        <v>2023581</v>
      </c>
      <c r="B597" s="2">
        <v>7658</v>
      </c>
      <c r="C597" s="118" t="s">
        <v>142</v>
      </c>
      <c r="D597" s="191" t="s">
        <v>281</v>
      </c>
      <c r="E597" s="191" t="s">
        <v>287</v>
      </c>
      <c r="F597" s="196" t="s">
        <v>501</v>
      </c>
      <c r="G597" s="197">
        <v>45022</v>
      </c>
      <c r="H597" s="197">
        <v>45078</v>
      </c>
      <c r="I597" s="191">
        <v>6</v>
      </c>
      <c r="J597" s="191" t="s">
        <v>154</v>
      </c>
      <c r="K597" s="195" t="s">
        <v>21</v>
      </c>
      <c r="L597" s="191" t="s">
        <v>27</v>
      </c>
      <c r="M597" s="188">
        <f>83128962-55419308</f>
        <v>27709654</v>
      </c>
      <c r="N597" s="196" t="s">
        <v>285</v>
      </c>
      <c r="O597" s="196" t="s">
        <v>286</v>
      </c>
      <c r="P597" s="192" t="s">
        <v>364</v>
      </c>
    </row>
    <row r="598" spans="1:16" ht="60" x14ac:dyDescent="0.3">
      <c r="A598" s="2">
        <v>2023582</v>
      </c>
      <c r="B598" s="2">
        <v>7655</v>
      </c>
      <c r="C598" s="118" t="s">
        <v>25</v>
      </c>
      <c r="D598" s="191" t="s">
        <v>319</v>
      </c>
      <c r="E598" s="196">
        <v>80111600</v>
      </c>
      <c r="F598" s="191" t="s">
        <v>332</v>
      </c>
      <c r="G598" s="193">
        <v>45078</v>
      </c>
      <c r="H598" s="193">
        <v>45087</v>
      </c>
      <c r="I598" s="191">
        <v>6</v>
      </c>
      <c r="J598" s="191" t="s">
        <v>20</v>
      </c>
      <c r="K598" s="195" t="s">
        <v>21</v>
      </c>
      <c r="L598" s="191" t="s">
        <v>27</v>
      </c>
      <c r="M598" s="214">
        <f>2450000*6</f>
        <v>14700000</v>
      </c>
      <c r="N598" s="196" t="s">
        <v>28</v>
      </c>
      <c r="O598" s="196" t="s">
        <v>29</v>
      </c>
      <c r="P598" s="196" t="s">
        <v>24</v>
      </c>
    </row>
    <row r="599" spans="1:16" ht="75" x14ac:dyDescent="0.3">
      <c r="A599" s="4">
        <v>2023583</v>
      </c>
      <c r="B599" s="2">
        <v>7637</v>
      </c>
      <c r="C599" s="3" t="s">
        <v>73</v>
      </c>
      <c r="D599" s="191" t="s">
        <v>18</v>
      </c>
      <c r="E599" s="196">
        <v>81161712</v>
      </c>
      <c r="F599" s="191" t="s">
        <v>502</v>
      </c>
      <c r="G599" s="193">
        <v>45149</v>
      </c>
      <c r="H599" s="193">
        <v>45163</v>
      </c>
      <c r="I599" s="191">
        <v>12</v>
      </c>
      <c r="J599" s="191" t="s">
        <v>118</v>
      </c>
      <c r="K599" s="195" t="s">
        <v>21</v>
      </c>
      <c r="L599" s="191" t="s">
        <v>97</v>
      </c>
      <c r="M599" s="188">
        <f>40000000-10000000</f>
        <v>30000000</v>
      </c>
      <c r="N599" s="196" t="s">
        <v>75</v>
      </c>
      <c r="O599" s="196" t="s">
        <v>76</v>
      </c>
      <c r="P599" s="192" t="s">
        <v>24</v>
      </c>
    </row>
    <row r="600" spans="1:16" ht="60" x14ac:dyDescent="0.3">
      <c r="A600" s="4">
        <v>2023585</v>
      </c>
      <c r="B600" s="2">
        <v>7655</v>
      </c>
      <c r="C600" s="118" t="s">
        <v>25</v>
      </c>
      <c r="D600" s="196" t="s">
        <v>125</v>
      </c>
      <c r="E600" s="196">
        <v>80111600</v>
      </c>
      <c r="F600" s="196" t="s">
        <v>143</v>
      </c>
      <c r="G600" s="197">
        <v>44986</v>
      </c>
      <c r="H600" s="197">
        <v>45017</v>
      </c>
      <c r="I600" s="191">
        <v>9</v>
      </c>
      <c r="J600" s="191" t="s">
        <v>20</v>
      </c>
      <c r="K600" s="195" t="s">
        <v>21</v>
      </c>
      <c r="L600" s="191" t="s">
        <v>27</v>
      </c>
      <c r="M600" s="214">
        <f>46675000-100000</f>
        <v>46575000</v>
      </c>
      <c r="N600" s="196" t="s">
        <v>28</v>
      </c>
      <c r="O600" s="196" t="s">
        <v>29</v>
      </c>
      <c r="P600" s="192" t="s">
        <v>24</v>
      </c>
    </row>
    <row r="601" spans="1:16" ht="90" x14ac:dyDescent="0.3">
      <c r="A601" s="2">
        <v>2023586</v>
      </c>
      <c r="B601" s="2">
        <v>7658</v>
      </c>
      <c r="C601" s="118" t="s">
        <v>142</v>
      </c>
      <c r="D601" s="196" t="s">
        <v>45</v>
      </c>
      <c r="E601" s="196">
        <v>80111600</v>
      </c>
      <c r="F601" s="191" t="s">
        <v>175</v>
      </c>
      <c r="G601" s="193">
        <v>45017</v>
      </c>
      <c r="H601" s="193">
        <v>45031</v>
      </c>
      <c r="I601" s="191">
        <v>9</v>
      </c>
      <c r="J601" s="191" t="s">
        <v>20</v>
      </c>
      <c r="K601" s="195" t="s">
        <v>21</v>
      </c>
      <c r="L601" s="191" t="s">
        <v>27</v>
      </c>
      <c r="M601" s="188">
        <f>22050000-4900000</f>
        <v>17150000</v>
      </c>
      <c r="N601" s="196" t="s">
        <v>166</v>
      </c>
      <c r="O601" s="196" t="s">
        <v>163</v>
      </c>
      <c r="P601" s="192" t="s">
        <v>24</v>
      </c>
    </row>
    <row r="602" spans="1:16" ht="105" x14ac:dyDescent="0.3">
      <c r="A602" s="4">
        <v>2023587</v>
      </c>
      <c r="B602" s="2" t="s">
        <v>17</v>
      </c>
      <c r="C602" s="118" t="s">
        <v>17</v>
      </c>
      <c r="D602" s="196" t="s">
        <v>319</v>
      </c>
      <c r="E602" s="196" t="s">
        <v>419</v>
      </c>
      <c r="F602" s="191" t="s">
        <v>503</v>
      </c>
      <c r="G602" s="193">
        <v>45000</v>
      </c>
      <c r="H602" s="193">
        <v>45007</v>
      </c>
      <c r="I602" s="191">
        <v>4</v>
      </c>
      <c r="J602" s="191" t="s">
        <v>154</v>
      </c>
      <c r="K602" s="195" t="s">
        <v>21</v>
      </c>
      <c r="L602" s="191" t="s">
        <v>23</v>
      </c>
      <c r="M602" s="188">
        <v>13362480</v>
      </c>
      <c r="N602" s="196" t="s">
        <v>23</v>
      </c>
      <c r="O602" s="196" t="s">
        <v>23</v>
      </c>
      <c r="P602" s="192" t="s">
        <v>364</v>
      </c>
    </row>
    <row r="603" spans="1:16" ht="90" x14ac:dyDescent="0.3">
      <c r="A603" s="4">
        <v>2023589</v>
      </c>
      <c r="B603" s="2">
        <v>7658</v>
      </c>
      <c r="C603" s="118" t="s">
        <v>142</v>
      </c>
      <c r="D603" s="196" t="s">
        <v>319</v>
      </c>
      <c r="E603" s="196" t="s">
        <v>504</v>
      </c>
      <c r="F603" s="191" t="s">
        <v>505</v>
      </c>
      <c r="G603" s="193">
        <v>45005</v>
      </c>
      <c r="H603" s="193">
        <v>45036</v>
      </c>
      <c r="I603" s="191">
        <v>1</v>
      </c>
      <c r="J603" s="191" t="s">
        <v>20</v>
      </c>
      <c r="K603" s="195" t="s">
        <v>21</v>
      </c>
      <c r="L603" s="191" t="s">
        <v>681</v>
      </c>
      <c r="M603" s="188">
        <v>38376059</v>
      </c>
      <c r="N603" s="196" t="s">
        <v>381</v>
      </c>
      <c r="O603" s="196" t="s">
        <v>382</v>
      </c>
      <c r="P603" s="192" t="s">
        <v>364</v>
      </c>
    </row>
    <row r="604" spans="1:16" ht="60" x14ac:dyDescent="0.3">
      <c r="A604" s="2">
        <v>2023593</v>
      </c>
      <c r="B604" s="2">
        <v>7655</v>
      </c>
      <c r="C604" s="118" t="s">
        <v>25</v>
      </c>
      <c r="D604" s="196" t="s">
        <v>319</v>
      </c>
      <c r="E604" s="196">
        <v>80111600</v>
      </c>
      <c r="F604" s="191" t="s">
        <v>430</v>
      </c>
      <c r="G604" s="193">
        <v>45017</v>
      </c>
      <c r="H604" s="193">
        <v>45031</v>
      </c>
      <c r="I604" s="191">
        <v>7</v>
      </c>
      <c r="J604" s="191" t="s">
        <v>20</v>
      </c>
      <c r="K604" s="195" t="s">
        <v>21</v>
      </c>
      <c r="L604" s="191" t="s">
        <v>27</v>
      </c>
      <c r="M604" s="214">
        <f>2450000*6</f>
        <v>14700000</v>
      </c>
      <c r="N604" s="196" t="s">
        <v>28</v>
      </c>
      <c r="O604" s="196" t="s">
        <v>29</v>
      </c>
      <c r="P604" s="192" t="s">
        <v>24</v>
      </c>
    </row>
    <row r="605" spans="1:16" ht="75" x14ac:dyDescent="0.3">
      <c r="A605" s="2">
        <v>2023594</v>
      </c>
      <c r="B605" s="2">
        <v>7658</v>
      </c>
      <c r="C605" s="118" t="s">
        <v>142</v>
      </c>
      <c r="D605" s="196" t="s">
        <v>125</v>
      </c>
      <c r="E605" s="196">
        <v>80111600</v>
      </c>
      <c r="F605" s="191" t="s">
        <v>506</v>
      </c>
      <c r="G605" s="193">
        <v>45006</v>
      </c>
      <c r="H605" s="193">
        <v>45010</v>
      </c>
      <c r="I605" s="191">
        <v>9</v>
      </c>
      <c r="J605" s="191" t="s">
        <v>20</v>
      </c>
      <c r="K605" s="195" t="s">
        <v>21</v>
      </c>
      <c r="L605" s="191" t="s">
        <v>27</v>
      </c>
      <c r="M605" s="188">
        <f>22050000-295380-221287</f>
        <v>21533333</v>
      </c>
      <c r="N605" s="196" t="s">
        <v>144</v>
      </c>
      <c r="O605" s="196" t="s">
        <v>145</v>
      </c>
      <c r="P605" s="192" t="s">
        <v>24</v>
      </c>
    </row>
    <row r="606" spans="1:16" ht="75" x14ac:dyDescent="0.3">
      <c r="A606" s="4">
        <v>2023595</v>
      </c>
      <c r="B606" s="2">
        <v>7658</v>
      </c>
      <c r="C606" s="118" t="s">
        <v>142</v>
      </c>
      <c r="D606" s="196" t="s">
        <v>125</v>
      </c>
      <c r="E606" s="196">
        <v>80111600</v>
      </c>
      <c r="F606" s="191" t="s">
        <v>507</v>
      </c>
      <c r="G606" s="193">
        <v>45005</v>
      </c>
      <c r="H606" s="193">
        <v>45008</v>
      </c>
      <c r="I606" s="191">
        <v>3</v>
      </c>
      <c r="J606" s="191" t="s">
        <v>20</v>
      </c>
      <c r="K606" s="195" t="s">
        <v>21</v>
      </c>
      <c r="L606" s="191" t="s">
        <v>27</v>
      </c>
      <c r="M606" s="188">
        <f>6665500+7000000+1859500+5707000+7000000+13472620+295380-30000000</f>
        <v>12000000</v>
      </c>
      <c r="N606" s="196" t="s">
        <v>144</v>
      </c>
      <c r="O606" s="196" t="s">
        <v>145</v>
      </c>
      <c r="P606" s="192" t="s">
        <v>24</v>
      </c>
    </row>
    <row r="607" spans="1:16" ht="75" x14ac:dyDescent="0.3">
      <c r="A607" s="4">
        <v>2023596</v>
      </c>
      <c r="B607" s="2">
        <v>7658</v>
      </c>
      <c r="C607" s="118" t="s">
        <v>142</v>
      </c>
      <c r="D607" s="196" t="s">
        <v>125</v>
      </c>
      <c r="E607" s="196">
        <v>80111600</v>
      </c>
      <c r="F607" s="191" t="s">
        <v>494</v>
      </c>
      <c r="G607" s="193">
        <v>45005</v>
      </c>
      <c r="H607" s="193">
        <v>45008</v>
      </c>
      <c r="I607" s="191">
        <v>3</v>
      </c>
      <c r="J607" s="191" t="s">
        <v>20</v>
      </c>
      <c r="K607" s="195" t="s">
        <v>21</v>
      </c>
      <c r="L607" s="191" t="s">
        <v>27</v>
      </c>
      <c r="M607" s="188">
        <f>3142000+8258000-5693000-5707000</f>
        <v>0</v>
      </c>
      <c r="N607" s="196" t="s">
        <v>144</v>
      </c>
      <c r="O607" s="196" t="s">
        <v>145</v>
      </c>
      <c r="P607" s="192" t="s">
        <v>24</v>
      </c>
    </row>
    <row r="608" spans="1:16" ht="75" x14ac:dyDescent="0.3">
      <c r="A608" s="2">
        <v>2023597</v>
      </c>
      <c r="B608" s="2">
        <v>7658</v>
      </c>
      <c r="C608" s="118" t="s">
        <v>142</v>
      </c>
      <c r="D608" s="196" t="s">
        <v>125</v>
      </c>
      <c r="E608" s="196">
        <v>80111600</v>
      </c>
      <c r="F608" s="191" t="s">
        <v>508</v>
      </c>
      <c r="G608" s="193">
        <v>45018</v>
      </c>
      <c r="H608" s="193">
        <v>45021</v>
      </c>
      <c r="I608" s="191">
        <v>1</v>
      </c>
      <c r="J608" s="191" t="s">
        <v>20</v>
      </c>
      <c r="K608" s="195" t="s">
        <v>21</v>
      </c>
      <c r="L608" s="191" t="s">
        <v>27</v>
      </c>
      <c r="M608" s="188">
        <f>4347000/30*22</f>
        <v>3187800</v>
      </c>
      <c r="N608" s="196" t="s">
        <v>144</v>
      </c>
      <c r="O608" s="196" t="s">
        <v>145</v>
      </c>
      <c r="P608" s="192" t="s">
        <v>364</v>
      </c>
    </row>
    <row r="609" spans="1:16" ht="90" x14ac:dyDescent="0.3">
      <c r="A609" s="2">
        <v>2023598</v>
      </c>
      <c r="B609" s="2">
        <v>7655</v>
      </c>
      <c r="C609" s="118" t="s">
        <v>25</v>
      </c>
      <c r="D609" s="191" t="s">
        <v>45</v>
      </c>
      <c r="E609" s="196">
        <v>80111600</v>
      </c>
      <c r="F609" s="210" t="s">
        <v>509</v>
      </c>
      <c r="G609" s="193">
        <v>45017</v>
      </c>
      <c r="H609" s="193">
        <v>45031</v>
      </c>
      <c r="I609" s="191">
        <v>5</v>
      </c>
      <c r="J609" s="191" t="s">
        <v>20</v>
      </c>
      <c r="K609" s="195" t="s">
        <v>21</v>
      </c>
      <c r="L609" s="191" t="s">
        <v>27</v>
      </c>
      <c r="M609" s="214">
        <v>29775000</v>
      </c>
      <c r="N609" s="196" t="s">
        <v>46</v>
      </c>
      <c r="O609" s="196" t="s">
        <v>29</v>
      </c>
      <c r="P609" s="192" t="s">
        <v>24</v>
      </c>
    </row>
    <row r="610" spans="1:16" ht="75" x14ac:dyDescent="0.3">
      <c r="A610" s="4">
        <v>2023599</v>
      </c>
      <c r="B610" s="2">
        <v>7655</v>
      </c>
      <c r="C610" s="118" t="s">
        <v>25</v>
      </c>
      <c r="D610" s="191" t="s">
        <v>45</v>
      </c>
      <c r="E610" s="196">
        <v>80111600</v>
      </c>
      <c r="F610" s="210" t="s">
        <v>510</v>
      </c>
      <c r="G610" s="193">
        <v>45017</v>
      </c>
      <c r="H610" s="193">
        <v>45031</v>
      </c>
      <c r="I610" s="191">
        <v>5</v>
      </c>
      <c r="J610" s="191" t="s">
        <v>20</v>
      </c>
      <c r="K610" s="195" t="s">
        <v>21</v>
      </c>
      <c r="L610" s="191" t="s">
        <v>27</v>
      </c>
      <c r="M610" s="214">
        <v>29775000</v>
      </c>
      <c r="N610" s="196" t="s">
        <v>46</v>
      </c>
      <c r="O610" s="196" t="s">
        <v>29</v>
      </c>
      <c r="P610" s="192" t="s">
        <v>24</v>
      </c>
    </row>
    <row r="611" spans="1:16" ht="75" x14ac:dyDescent="0.3">
      <c r="A611" s="4">
        <v>2023601</v>
      </c>
      <c r="B611" s="2">
        <v>7655</v>
      </c>
      <c r="C611" s="118" t="s">
        <v>25</v>
      </c>
      <c r="D611" s="191" t="s">
        <v>45</v>
      </c>
      <c r="E611" s="196">
        <v>80111600</v>
      </c>
      <c r="F611" s="210" t="s">
        <v>510</v>
      </c>
      <c r="G611" s="193">
        <v>45017</v>
      </c>
      <c r="H611" s="193">
        <v>45031</v>
      </c>
      <c r="I611" s="191">
        <v>5</v>
      </c>
      <c r="J611" s="191" t="s">
        <v>20</v>
      </c>
      <c r="K611" s="195" t="s">
        <v>21</v>
      </c>
      <c r="L611" s="191" t="s">
        <v>27</v>
      </c>
      <c r="M611" s="214">
        <v>29775000</v>
      </c>
      <c r="N611" s="196" t="s">
        <v>46</v>
      </c>
      <c r="O611" s="196" t="s">
        <v>29</v>
      </c>
      <c r="P611" s="192" t="s">
        <v>24</v>
      </c>
    </row>
    <row r="612" spans="1:16" ht="135" x14ac:dyDescent="0.3">
      <c r="A612" s="2">
        <v>2023602</v>
      </c>
      <c r="B612" s="2">
        <v>7658</v>
      </c>
      <c r="C612" s="118" t="s">
        <v>142</v>
      </c>
      <c r="D612" s="191" t="s">
        <v>45</v>
      </c>
      <c r="E612" s="196">
        <v>80111600</v>
      </c>
      <c r="F612" s="210" t="s">
        <v>511</v>
      </c>
      <c r="G612" s="193">
        <v>45017</v>
      </c>
      <c r="H612" s="193">
        <v>45031</v>
      </c>
      <c r="I612" s="191">
        <v>6</v>
      </c>
      <c r="J612" s="191" t="s">
        <v>20</v>
      </c>
      <c r="K612" s="195" t="s">
        <v>21</v>
      </c>
      <c r="L612" s="191" t="s">
        <v>27</v>
      </c>
      <c r="M612" s="188">
        <f>22800000+2100000+2100000+2100000+2100000+2100000+2100000+2100000+2100000</f>
        <v>39600000</v>
      </c>
      <c r="N612" s="196" t="s">
        <v>166</v>
      </c>
      <c r="O612" s="196" t="s">
        <v>163</v>
      </c>
      <c r="P612" s="192" t="s">
        <v>24</v>
      </c>
    </row>
    <row r="613" spans="1:16" ht="90" x14ac:dyDescent="0.3">
      <c r="A613" s="2">
        <v>2023603</v>
      </c>
      <c r="B613" s="2">
        <v>7658</v>
      </c>
      <c r="C613" s="118" t="s">
        <v>142</v>
      </c>
      <c r="D613" s="191" t="s">
        <v>45</v>
      </c>
      <c r="E613" s="196">
        <v>80111600</v>
      </c>
      <c r="F613" s="210" t="s">
        <v>512</v>
      </c>
      <c r="G613" s="193">
        <v>45017</v>
      </c>
      <c r="H613" s="193">
        <v>45031</v>
      </c>
      <c r="I613" s="191">
        <v>8.5</v>
      </c>
      <c r="J613" s="191" t="s">
        <v>20</v>
      </c>
      <c r="K613" s="195" t="s">
        <v>21</v>
      </c>
      <c r="L613" s="191" t="s">
        <v>27</v>
      </c>
      <c r="M613" s="188">
        <v>32725000</v>
      </c>
      <c r="N613" s="196" t="s">
        <v>166</v>
      </c>
      <c r="O613" s="196" t="s">
        <v>163</v>
      </c>
      <c r="P613" s="192" t="s">
        <v>24</v>
      </c>
    </row>
    <row r="614" spans="1:16" ht="60" x14ac:dyDescent="0.3">
      <c r="A614" s="4">
        <v>2023604</v>
      </c>
      <c r="B614" s="2">
        <v>7655</v>
      </c>
      <c r="C614" s="118" t="s">
        <v>25</v>
      </c>
      <c r="D614" s="196" t="s">
        <v>215</v>
      </c>
      <c r="E614" s="196">
        <v>80111600</v>
      </c>
      <c r="F614" s="191" t="s">
        <v>513</v>
      </c>
      <c r="G614" s="193">
        <v>45026</v>
      </c>
      <c r="H614" s="193">
        <v>45019</v>
      </c>
      <c r="I614" s="191">
        <v>6</v>
      </c>
      <c r="J614" s="191" t="s">
        <v>20</v>
      </c>
      <c r="K614" s="195" t="s">
        <v>21</v>
      </c>
      <c r="L614" s="191" t="s">
        <v>27</v>
      </c>
      <c r="M614" s="214">
        <v>33000000</v>
      </c>
      <c r="N614" s="196" t="s">
        <v>28</v>
      </c>
      <c r="O614" s="196" t="s">
        <v>29</v>
      </c>
      <c r="P614" s="192" t="s">
        <v>24</v>
      </c>
    </row>
    <row r="615" spans="1:16" ht="90" x14ac:dyDescent="0.3">
      <c r="A615" s="4">
        <v>2023605</v>
      </c>
      <c r="B615" s="2">
        <v>7658</v>
      </c>
      <c r="C615" s="118" t="s">
        <v>142</v>
      </c>
      <c r="D615" s="196" t="s">
        <v>221</v>
      </c>
      <c r="E615" s="241">
        <v>25172500</v>
      </c>
      <c r="F615" s="191" t="s">
        <v>514</v>
      </c>
      <c r="G615" s="193">
        <v>45017</v>
      </c>
      <c r="H615" s="193">
        <v>45021</v>
      </c>
      <c r="I615" s="191">
        <v>10</v>
      </c>
      <c r="J615" s="191" t="s">
        <v>101</v>
      </c>
      <c r="K615" s="195" t="s">
        <v>21</v>
      </c>
      <c r="L615" s="191" t="s">
        <v>161</v>
      </c>
      <c r="M615" s="188">
        <v>30000000</v>
      </c>
      <c r="N615" s="196" t="s">
        <v>224</v>
      </c>
      <c r="O615" s="196" t="s">
        <v>163</v>
      </c>
      <c r="P615" s="192" t="s">
        <v>364</v>
      </c>
    </row>
    <row r="616" spans="1:16" ht="60" x14ac:dyDescent="0.3">
      <c r="A616" s="4">
        <v>2023606</v>
      </c>
      <c r="B616" s="2">
        <v>7655</v>
      </c>
      <c r="C616" s="118" t="s">
        <v>25</v>
      </c>
      <c r="D616" s="196" t="s">
        <v>125</v>
      </c>
      <c r="E616" s="196">
        <v>80111600</v>
      </c>
      <c r="F616" s="196" t="s">
        <v>141</v>
      </c>
      <c r="G616" s="197">
        <v>45019</v>
      </c>
      <c r="H616" s="197">
        <v>45026</v>
      </c>
      <c r="I616" s="191">
        <v>7</v>
      </c>
      <c r="J616" s="191" t="s">
        <v>20</v>
      </c>
      <c r="K616" s="195" t="s">
        <v>21</v>
      </c>
      <c r="L616" s="191" t="s">
        <v>27</v>
      </c>
      <c r="M616" s="214">
        <f>24500000-1700000</f>
        <v>22800000</v>
      </c>
      <c r="N616" s="208" t="s">
        <v>28</v>
      </c>
      <c r="O616" s="196" t="s">
        <v>29</v>
      </c>
      <c r="P616" s="192" t="s">
        <v>24</v>
      </c>
    </row>
    <row r="617" spans="1:16" ht="60" x14ac:dyDescent="0.3">
      <c r="A617" s="4">
        <v>2023607</v>
      </c>
      <c r="B617" s="2">
        <v>7655</v>
      </c>
      <c r="C617" s="118" t="s">
        <v>25</v>
      </c>
      <c r="D617" s="196" t="s">
        <v>18</v>
      </c>
      <c r="E617" s="196">
        <v>80111600</v>
      </c>
      <c r="F617" s="191" t="s">
        <v>515</v>
      </c>
      <c r="G617" s="193">
        <v>45017</v>
      </c>
      <c r="H617" s="193">
        <v>45031</v>
      </c>
      <c r="I617" s="191">
        <v>4</v>
      </c>
      <c r="J617" s="191" t="s">
        <v>20</v>
      </c>
      <c r="K617" s="195" t="s">
        <v>21</v>
      </c>
      <c r="L617" s="191" t="s">
        <v>27</v>
      </c>
      <c r="M617" s="214">
        <v>20000000</v>
      </c>
      <c r="N617" s="196" t="s">
        <v>28</v>
      </c>
      <c r="O617" s="196" t="s">
        <v>29</v>
      </c>
      <c r="P617" s="192" t="s">
        <v>24</v>
      </c>
    </row>
    <row r="618" spans="1:16" ht="75" x14ac:dyDescent="0.3">
      <c r="A618" s="4">
        <v>2023608</v>
      </c>
      <c r="B618" s="2">
        <v>7655</v>
      </c>
      <c r="C618" s="118" t="s">
        <v>25</v>
      </c>
      <c r="D618" s="196" t="s">
        <v>125</v>
      </c>
      <c r="E618" s="196">
        <v>80111600</v>
      </c>
      <c r="F618" s="191" t="s">
        <v>516</v>
      </c>
      <c r="G618" s="193">
        <v>45032</v>
      </c>
      <c r="H618" s="193">
        <v>45034</v>
      </c>
      <c r="I618" s="191">
        <v>1</v>
      </c>
      <c r="J618" s="191" t="s">
        <v>20</v>
      </c>
      <c r="K618" s="195" t="s">
        <v>21</v>
      </c>
      <c r="L618" s="191" t="s">
        <v>27</v>
      </c>
      <c r="M618" s="214">
        <v>5693000</v>
      </c>
      <c r="N618" s="192" t="s">
        <v>28</v>
      </c>
      <c r="O618" s="192" t="s">
        <v>29</v>
      </c>
      <c r="P618" s="192" t="s">
        <v>364</v>
      </c>
    </row>
    <row r="619" spans="1:16" ht="75" x14ac:dyDescent="0.3">
      <c r="A619" s="4">
        <v>2023609</v>
      </c>
      <c r="B619" s="2">
        <v>7658</v>
      </c>
      <c r="C619" s="118" t="s">
        <v>457</v>
      </c>
      <c r="D619" s="196" t="s">
        <v>125</v>
      </c>
      <c r="E619" s="196">
        <v>80111600</v>
      </c>
      <c r="F619" s="191" t="s">
        <v>517</v>
      </c>
      <c r="G619" s="193">
        <v>45032</v>
      </c>
      <c r="H619" s="193">
        <v>45034</v>
      </c>
      <c r="I619" s="191">
        <v>1</v>
      </c>
      <c r="J619" s="191" t="s">
        <v>20</v>
      </c>
      <c r="K619" s="195" t="s">
        <v>21</v>
      </c>
      <c r="L619" s="191" t="s">
        <v>27</v>
      </c>
      <c r="M619" s="188">
        <v>5693000</v>
      </c>
      <c r="N619" s="196" t="s">
        <v>144</v>
      </c>
      <c r="O619" s="196" t="s">
        <v>145</v>
      </c>
      <c r="P619" s="192" t="s">
        <v>364</v>
      </c>
    </row>
    <row r="620" spans="1:16" ht="60" x14ac:dyDescent="0.3">
      <c r="A620" s="2">
        <v>2023610</v>
      </c>
      <c r="B620" s="2">
        <v>7655</v>
      </c>
      <c r="C620" s="118" t="s">
        <v>25</v>
      </c>
      <c r="D620" s="196" t="s">
        <v>195</v>
      </c>
      <c r="E620" s="196">
        <v>80111600</v>
      </c>
      <c r="F620" s="191" t="s">
        <v>518</v>
      </c>
      <c r="G620" s="193">
        <v>45031</v>
      </c>
      <c r="H620" s="193">
        <v>45046</v>
      </c>
      <c r="I620" s="191">
        <v>5</v>
      </c>
      <c r="J620" s="191" t="s">
        <v>20</v>
      </c>
      <c r="K620" s="195" t="s">
        <v>21</v>
      </c>
      <c r="L620" s="191" t="s">
        <v>27</v>
      </c>
      <c r="M620" s="214">
        <f>17800000+11266667+1000000-66667</f>
        <v>30000000</v>
      </c>
      <c r="N620" s="196" t="s">
        <v>28</v>
      </c>
      <c r="O620" s="196" t="s">
        <v>29</v>
      </c>
      <c r="P620" s="192" t="s">
        <v>24</v>
      </c>
    </row>
    <row r="621" spans="1:16" ht="75" x14ac:dyDescent="0.3">
      <c r="A621" s="2">
        <v>2023611</v>
      </c>
      <c r="B621" s="2">
        <v>7655</v>
      </c>
      <c r="C621" s="118" t="s">
        <v>25</v>
      </c>
      <c r="D621" s="196" t="s">
        <v>195</v>
      </c>
      <c r="E621" s="196">
        <v>80111600</v>
      </c>
      <c r="F621" s="191" t="s">
        <v>519</v>
      </c>
      <c r="G621" s="193">
        <v>45031</v>
      </c>
      <c r="H621" s="193">
        <v>45046</v>
      </c>
      <c r="I621" s="191">
        <v>5</v>
      </c>
      <c r="J621" s="191" t="s">
        <v>20</v>
      </c>
      <c r="K621" s="195" t="s">
        <v>21</v>
      </c>
      <c r="L621" s="191" t="s">
        <v>27</v>
      </c>
      <c r="M621" s="214">
        <f>25050000+11746333-296333</f>
        <v>36500000</v>
      </c>
      <c r="N621" s="196" t="s">
        <v>28</v>
      </c>
      <c r="O621" s="196" t="s">
        <v>29</v>
      </c>
      <c r="P621" s="192" t="s">
        <v>24</v>
      </c>
    </row>
    <row r="622" spans="1:16" ht="75" x14ac:dyDescent="0.3">
      <c r="A622" s="4">
        <v>2023612</v>
      </c>
      <c r="B622" s="2">
        <v>7655</v>
      </c>
      <c r="C622" s="118" t="s">
        <v>25</v>
      </c>
      <c r="D622" s="196" t="s">
        <v>195</v>
      </c>
      <c r="E622" s="196">
        <v>80111600</v>
      </c>
      <c r="F622" s="191" t="s">
        <v>519</v>
      </c>
      <c r="G622" s="193">
        <v>45031</v>
      </c>
      <c r="H622" s="193">
        <v>45046</v>
      </c>
      <c r="I622" s="191">
        <v>4</v>
      </c>
      <c r="J622" s="191" t="s">
        <v>20</v>
      </c>
      <c r="K622" s="195" t="s">
        <v>21</v>
      </c>
      <c r="L622" s="191" t="s">
        <v>27</v>
      </c>
      <c r="M622" s="214">
        <f>21000000+8035400-4235400</f>
        <v>24800000</v>
      </c>
      <c r="N622" s="196" t="s">
        <v>28</v>
      </c>
      <c r="O622" s="196" t="s">
        <v>29</v>
      </c>
      <c r="P622" s="192" t="s">
        <v>24</v>
      </c>
    </row>
    <row r="623" spans="1:16" ht="90" x14ac:dyDescent="0.3">
      <c r="A623" s="2">
        <v>2023613</v>
      </c>
      <c r="B623" s="2">
        <v>7658</v>
      </c>
      <c r="C623" s="3" t="s">
        <v>142</v>
      </c>
      <c r="D623" s="196" t="s">
        <v>221</v>
      </c>
      <c r="E623" s="196">
        <v>80111600</v>
      </c>
      <c r="F623" s="191" t="s">
        <v>520</v>
      </c>
      <c r="G623" s="193">
        <v>45036</v>
      </c>
      <c r="H623" s="193">
        <v>45036</v>
      </c>
      <c r="I623" s="191">
        <v>9</v>
      </c>
      <c r="J623" s="191" t="s">
        <v>20</v>
      </c>
      <c r="K623" s="195" t="s">
        <v>21</v>
      </c>
      <c r="L623" s="191" t="s">
        <v>27</v>
      </c>
      <c r="M623" s="188">
        <v>63000000</v>
      </c>
      <c r="N623" s="192" t="s">
        <v>229</v>
      </c>
      <c r="O623" s="192" t="s">
        <v>163</v>
      </c>
      <c r="P623" s="192" t="s">
        <v>24</v>
      </c>
    </row>
    <row r="624" spans="1:16" ht="90" x14ac:dyDescent="0.3">
      <c r="A624" s="4">
        <v>2023614</v>
      </c>
      <c r="B624" s="2">
        <v>7658</v>
      </c>
      <c r="C624" s="3" t="s">
        <v>142</v>
      </c>
      <c r="D624" s="196" t="s">
        <v>221</v>
      </c>
      <c r="E624" s="196">
        <v>80111600</v>
      </c>
      <c r="F624" s="191" t="s">
        <v>521</v>
      </c>
      <c r="G624" s="193">
        <v>45036</v>
      </c>
      <c r="H624" s="193">
        <v>45036</v>
      </c>
      <c r="I624" s="191">
        <v>7</v>
      </c>
      <c r="J624" s="191" t="s">
        <v>20</v>
      </c>
      <c r="K624" s="195" t="s">
        <v>21</v>
      </c>
      <c r="L624" s="191" t="s">
        <v>27</v>
      </c>
      <c r="M624" s="188">
        <v>21000000</v>
      </c>
      <c r="N624" s="192" t="s">
        <v>224</v>
      </c>
      <c r="O624" s="192" t="s">
        <v>163</v>
      </c>
      <c r="P624" s="192" t="s">
        <v>24</v>
      </c>
    </row>
    <row r="625" spans="1:16" ht="90" x14ac:dyDescent="0.3">
      <c r="A625" s="4">
        <v>2023615</v>
      </c>
      <c r="B625" s="2">
        <v>7658</v>
      </c>
      <c r="C625" s="3" t="s">
        <v>142</v>
      </c>
      <c r="D625" s="196" t="s">
        <v>221</v>
      </c>
      <c r="E625" s="192">
        <v>78181505</v>
      </c>
      <c r="F625" s="191" t="s">
        <v>522</v>
      </c>
      <c r="G625" s="193">
        <v>45041</v>
      </c>
      <c r="H625" s="193">
        <v>45041</v>
      </c>
      <c r="I625" s="191">
        <v>8</v>
      </c>
      <c r="J625" s="191" t="s">
        <v>20</v>
      </c>
      <c r="K625" s="195" t="s">
        <v>21</v>
      </c>
      <c r="L625" s="191" t="s">
        <v>161</v>
      </c>
      <c r="M625" s="188">
        <v>110000000</v>
      </c>
      <c r="N625" s="192" t="s">
        <v>224</v>
      </c>
      <c r="O625" s="192" t="s">
        <v>163</v>
      </c>
      <c r="P625" s="192" t="s">
        <v>24</v>
      </c>
    </row>
    <row r="626" spans="1:16" ht="120" x14ac:dyDescent="0.3">
      <c r="A626" s="2">
        <v>2023616</v>
      </c>
      <c r="B626" s="2">
        <v>7655</v>
      </c>
      <c r="C626" s="118" t="s">
        <v>25</v>
      </c>
      <c r="D626" s="196" t="s">
        <v>192</v>
      </c>
      <c r="E626" s="196">
        <v>80111600</v>
      </c>
      <c r="F626" s="196" t="s">
        <v>523</v>
      </c>
      <c r="G626" s="197">
        <v>45062</v>
      </c>
      <c r="H626" s="197">
        <v>45069</v>
      </c>
      <c r="I626" s="191">
        <v>6</v>
      </c>
      <c r="J626" s="191" t="s">
        <v>20</v>
      </c>
      <c r="K626" s="195" t="s">
        <v>21</v>
      </c>
      <c r="L626" s="191" t="s">
        <v>27</v>
      </c>
      <c r="M626" s="214">
        <v>22848498</v>
      </c>
      <c r="N626" s="196" t="s">
        <v>28</v>
      </c>
      <c r="O626" s="196" t="s">
        <v>29</v>
      </c>
      <c r="P626" s="192" t="s">
        <v>24</v>
      </c>
    </row>
    <row r="627" spans="1:16" ht="60" x14ac:dyDescent="0.3">
      <c r="A627" s="2">
        <v>2023617</v>
      </c>
      <c r="B627" s="2">
        <v>7655</v>
      </c>
      <c r="C627" s="118" t="s">
        <v>25</v>
      </c>
      <c r="D627" s="196" t="s">
        <v>192</v>
      </c>
      <c r="E627" s="196">
        <v>80111600</v>
      </c>
      <c r="F627" s="196" t="s">
        <v>194</v>
      </c>
      <c r="G627" s="197">
        <v>45062</v>
      </c>
      <c r="H627" s="197">
        <v>45069</v>
      </c>
      <c r="I627" s="191">
        <v>6</v>
      </c>
      <c r="J627" s="191" t="s">
        <v>20</v>
      </c>
      <c r="K627" s="195" t="s">
        <v>21</v>
      </c>
      <c r="L627" s="191" t="s">
        <v>27</v>
      </c>
      <c r="M627" s="214">
        <v>39675498</v>
      </c>
      <c r="N627" s="196" t="s">
        <v>28</v>
      </c>
      <c r="O627" s="196" t="s">
        <v>29</v>
      </c>
      <c r="P627" s="192" t="s">
        <v>24</v>
      </c>
    </row>
    <row r="628" spans="1:16" ht="60" x14ac:dyDescent="0.3">
      <c r="A628" s="4">
        <v>2023618</v>
      </c>
      <c r="B628" s="2">
        <v>7655</v>
      </c>
      <c r="C628" s="118" t="s">
        <v>25</v>
      </c>
      <c r="D628" s="196" t="s">
        <v>192</v>
      </c>
      <c r="E628" s="196">
        <v>80111600</v>
      </c>
      <c r="F628" s="196" t="s">
        <v>194</v>
      </c>
      <c r="G628" s="197">
        <v>45078</v>
      </c>
      <c r="H628" s="197">
        <v>45085</v>
      </c>
      <c r="I628" s="191">
        <v>6</v>
      </c>
      <c r="J628" s="191" t="s">
        <v>20</v>
      </c>
      <c r="K628" s="195" t="s">
        <v>21</v>
      </c>
      <c r="L628" s="191" t="s">
        <v>27</v>
      </c>
      <c r="M628" s="214">
        <v>39675498</v>
      </c>
      <c r="N628" s="196" t="s">
        <v>28</v>
      </c>
      <c r="O628" s="196" t="s">
        <v>29</v>
      </c>
      <c r="P628" s="192" t="s">
        <v>24</v>
      </c>
    </row>
    <row r="629" spans="1:16" ht="75" x14ac:dyDescent="0.3">
      <c r="A629" s="4">
        <v>2023619</v>
      </c>
      <c r="B629" s="2">
        <v>7658</v>
      </c>
      <c r="C629" s="118" t="s">
        <v>142</v>
      </c>
      <c r="D629" s="196" t="s">
        <v>319</v>
      </c>
      <c r="E629" s="196" t="s">
        <v>524</v>
      </c>
      <c r="F629" s="196" t="s">
        <v>525</v>
      </c>
      <c r="G629" s="197">
        <v>45060</v>
      </c>
      <c r="H629" s="197">
        <v>45107</v>
      </c>
      <c r="I629" s="191">
        <v>1</v>
      </c>
      <c r="J629" s="191" t="s">
        <v>154</v>
      </c>
      <c r="K629" s="195" t="s">
        <v>21</v>
      </c>
      <c r="L629" s="191" t="s">
        <v>681</v>
      </c>
      <c r="M629" s="188">
        <v>150000000</v>
      </c>
      <c r="N629" s="196" t="s">
        <v>389</v>
      </c>
      <c r="O629" s="196" t="s">
        <v>390</v>
      </c>
      <c r="P629" s="192" t="s">
        <v>364</v>
      </c>
    </row>
    <row r="630" spans="1:16" ht="105" x14ac:dyDescent="0.3">
      <c r="A630" s="2">
        <v>2023620</v>
      </c>
      <c r="B630" s="2">
        <v>7658</v>
      </c>
      <c r="C630" s="118" t="s">
        <v>142</v>
      </c>
      <c r="D630" s="196" t="s">
        <v>319</v>
      </c>
      <c r="E630" s="196" t="s">
        <v>526</v>
      </c>
      <c r="F630" s="196" t="s">
        <v>527</v>
      </c>
      <c r="G630" s="197">
        <v>45060</v>
      </c>
      <c r="H630" s="197">
        <v>45107</v>
      </c>
      <c r="I630" s="191">
        <v>1</v>
      </c>
      <c r="J630" s="200" t="s">
        <v>357</v>
      </c>
      <c r="K630" s="195" t="s">
        <v>21</v>
      </c>
      <c r="L630" s="191" t="s">
        <v>681</v>
      </c>
      <c r="M630" s="188">
        <f>17600000-9639+100</f>
        <v>17590461</v>
      </c>
      <c r="N630" s="196" t="s">
        <v>389</v>
      </c>
      <c r="O630" s="196" t="s">
        <v>390</v>
      </c>
      <c r="P630" s="192" t="s">
        <v>364</v>
      </c>
    </row>
    <row r="631" spans="1:16" ht="90" x14ac:dyDescent="0.3">
      <c r="A631" s="2">
        <v>2023621</v>
      </c>
      <c r="B631" s="2">
        <v>7658</v>
      </c>
      <c r="C631" s="118" t="s">
        <v>142</v>
      </c>
      <c r="D631" s="196" t="s">
        <v>319</v>
      </c>
      <c r="E631" s="196">
        <v>80111600</v>
      </c>
      <c r="F631" s="196" t="s">
        <v>373</v>
      </c>
      <c r="G631" s="197">
        <v>45060</v>
      </c>
      <c r="H631" s="197">
        <v>45107</v>
      </c>
      <c r="I631" s="191">
        <v>6</v>
      </c>
      <c r="J631" s="200" t="s">
        <v>20</v>
      </c>
      <c r="K631" s="195" t="s">
        <v>21</v>
      </c>
      <c r="L631" s="191" t="s">
        <v>27</v>
      </c>
      <c r="M631" s="188">
        <v>14700000</v>
      </c>
      <c r="N631" s="196" t="s">
        <v>340</v>
      </c>
      <c r="O631" s="196" t="s">
        <v>163</v>
      </c>
      <c r="P631" s="192" t="s">
        <v>24</v>
      </c>
    </row>
    <row r="632" spans="1:16" ht="90" x14ac:dyDescent="0.3">
      <c r="A632" s="2">
        <v>2023622</v>
      </c>
      <c r="B632" s="2">
        <v>7658</v>
      </c>
      <c r="C632" s="118" t="s">
        <v>142</v>
      </c>
      <c r="D632" s="196" t="s">
        <v>319</v>
      </c>
      <c r="E632" s="196">
        <v>80111600</v>
      </c>
      <c r="F632" s="196" t="s">
        <v>373</v>
      </c>
      <c r="G632" s="197">
        <v>45060</v>
      </c>
      <c r="H632" s="197">
        <v>45107</v>
      </c>
      <c r="I632" s="191">
        <v>6</v>
      </c>
      <c r="J632" s="200" t="s">
        <v>20</v>
      </c>
      <c r="K632" s="195" t="s">
        <v>21</v>
      </c>
      <c r="L632" s="191" t="s">
        <v>27</v>
      </c>
      <c r="M632" s="188">
        <v>14700000</v>
      </c>
      <c r="N632" s="196" t="s">
        <v>340</v>
      </c>
      <c r="O632" s="196" t="s">
        <v>163</v>
      </c>
      <c r="P632" s="192" t="s">
        <v>24</v>
      </c>
    </row>
    <row r="633" spans="1:16" ht="75" x14ac:dyDescent="0.3">
      <c r="A633" s="2">
        <v>2023623</v>
      </c>
      <c r="B633" s="2">
        <v>7658</v>
      </c>
      <c r="C633" s="118" t="s">
        <v>142</v>
      </c>
      <c r="D633" s="196" t="s">
        <v>319</v>
      </c>
      <c r="E633" s="196" t="s">
        <v>347</v>
      </c>
      <c r="F633" s="196" t="s">
        <v>528</v>
      </c>
      <c r="G633" s="197">
        <v>45060</v>
      </c>
      <c r="H633" s="197">
        <v>45107</v>
      </c>
      <c r="I633" s="191">
        <v>1</v>
      </c>
      <c r="J633" s="200" t="s">
        <v>159</v>
      </c>
      <c r="K633" s="195" t="s">
        <v>21</v>
      </c>
      <c r="L633" s="191" t="s">
        <v>681</v>
      </c>
      <c r="M633" s="188">
        <v>44621436</v>
      </c>
      <c r="N633" s="196" t="s">
        <v>381</v>
      </c>
      <c r="O633" s="196" t="s">
        <v>382</v>
      </c>
      <c r="P633" s="192" t="s">
        <v>364</v>
      </c>
    </row>
    <row r="634" spans="1:16" ht="105" x14ac:dyDescent="0.3">
      <c r="A634" s="2">
        <v>2023624</v>
      </c>
      <c r="B634" s="2">
        <v>7658</v>
      </c>
      <c r="C634" s="118" t="s">
        <v>142</v>
      </c>
      <c r="D634" s="196" t="s">
        <v>319</v>
      </c>
      <c r="E634" s="196" t="s">
        <v>356</v>
      </c>
      <c r="F634" s="196" t="s">
        <v>529</v>
      </c>
      <c r="G634" s="197">
        <v>45060</v>
      </c>
      <c r="H634" s="197">
        <v>45107</v>
      </c>
      <c r="I634" s="191">
        <v>1</v>
      </c>
      <c r="J634" s="200" t="s">
        <v>357</v>
      </c>
      <c r="K634" s="195" t="s">
        <v>21</v>
      </c>
      <c r="L634" s="191" t="s">
        <v>681</v>
      </c>
      <c r="M634" s="188">
        <f>12339643-1</f>
        <v>12339642</v>
      </c>
      <c r="N634" s="196" t="s">
        <v>381</v>
      </c>
      <c r="O634" s="196" t="s">
        <v>382</v>
      </c>
      <c r="P634" s="192" t="s">
        <v>364</v>
      </c>
    </row>
    <row r="635" spans="1:16" ht="120" x14ac:dyDescent="0.3">
      <c r="A635" s="2">
        <v>2023625</v>
      </c>
      <c r="B635" s="2">
        <v>7658</v>
      </c>
      <c r="C635" s="118" t="s">
        <v>142</v>
      </c>
      <c r="D635" s="196" t="s">
        <v>319</v>
      </c>
      <c r="E635" s="196" t="s">
        <v>356</v>
      </c>
      <c r="F635" s="196" t="s">
        <v>530</v>
      </c>
      <c r="G635" s="197">
        <v>45060</v>
      </c>
      <c r="H635" s="197">
        <v>45107</v>
      </c>
      <c r="I635" s="191">
        <v>1</v>
      </c>
      <c r="J635" s="200" t="s">
        <v>357</v>
      </c>
      <c r="K635" s="195" t="s">
        <v>21</v>
      </c>
      <c r="L635" s="191" t="s">
        <v>681</v>
      </c>
      <c r="M635" s="188">
        <v>21099937</v>
      </c>
      <c r="N635" s="196" t="s">
        <v>381</v>
      </c>
      <c r="O635" s="196" t="s">
        <v>382</v>
      </c>
      <c r="P635" s="192" t="s">
        <v>364</v>
      </c>
    </row>
    <row r="636" spans="1:16" ht="75" x14ac:dyDescent="0.3">
      <c r="A636" s="2">
        <v>2023626</v>
      </c>
      <c r="B636" s="2" t="s">
        <v>17</v>
      </c>
      <c r="C636" s="118" t="s">
        <v>17</v>
      </c>
      <c r="D636" s="196" t="s">
        <v>319</v>
      </c>
      <c r="E636" s="196" t="s">
        <v>531</v>
      </c>
      <c r="F636" s="196" t="s">
        <v>532</v>
      </c>
      <c r="G636" s="197">
        <v>45060</v>
      </c>
      <c r="H636" s="197">
        <v>45107</v>
      </c>
      <c r="I636" s="191">
        <v>2</v>
      </c>
      <c r="J636" s="200" t="s">
        <v>118</v>
      </c>
      <c r="K636" s="195" t="s">
        <v>21</v>
      </c>
      <c r="L636" s="191" t="s">
        <v>23</v>
      </c>
      <c r="M636" s="188">
        <v>1685516</v>
      </c>
      <c r="N636" s="196" t="s">
        <v>23</v>
      </c>
      <c r="O636" s="196" t="s">
        <v>23</v>
      </c>
      <c r="P636" s="192" t="s">
        <v>24</v>
      </c>
    </row>
    <row r="637" spans="1:16" ht="75" x14ac:dyDescent="0.3">
      <c r="A637" s="2">
        <v>2023627</v>
      </c>
      <c r="B637" s="2" t="s">
        <v>17</v>
      </c>
      <c r="C637" s="118" t="s">
        <v>17</v>
      </c>
      <c r="D637" s="196" t="s">
        <v>319</v>
      </c>
      <c r="E637" s="196">
        <v>80111600</v>
      </c>
      <c r="F637" s="196" t="s">
        <v>427</v>
      </c>
      <c r="G637" s="197">
        <v>45107</v>
      </c>
      <c r="H637" s="197">
        <v>45092</v>
      </c>
      <c r="I637" s="191">
        <v>6</v>
      </c>
      <c r="J637" s="200" t="s">
        <v>20</v>
      </c>
      <c r="K637" s="195" t="s">
        <v>21</v>
      </c>
      <c r="L637" s="191" t="s">
        <v>23</v>
      </c>
      <c r="M637" s="188">
        <f>(4500000*6)+16551200</f>
        <v>43551200</v>
      </c>
      <c r="N637" s="196" t="s">
        <v>23</v>
      </c>
      <c r="O637" s="196" t="s">
        <v>23</v>
      </c>
      <c r="P637" s="192" t="s">
        <v>24</v>
      </c>
    </row>
    <row r="638" spans="1:16" ht="75" x14ac:dyDescent="0.3">
      <c r="A638" s="2">
        <v>2023628</v>
      </c>
      <c r="B638" s="2" t="s">
        <v>17</v>
      </c>
      <c r="C638" s="118" t="s">
        <v>17</v>
      </c>
      <c r="D638" s="196" t="s">
        <v>319</v>
      </c>
      <c r="E638" s="196">
        <v>80111600</v>
      </c>
      <c r="F638" s="196" t="s">
        <v>427</v>
      </c>
      <c r="G638" s="197">
        <v>45107</v>
      </c>
      <c r="H638" s="197">
        <v>45092</v>
      </c>
      <c r="I638" s="191">
        <v>6</v>
      </c>
      <c r="J638" s="200" t="s">
        <v>20</v>
      </c>
      <c r="K638" s="195" t="s">
        <v>21</v>
      </c>
      <c r="L638" s="191" t="s">
        <v>23</v>
      </c>
      <c r="M638" s="188">
        <f>3850000*6</f>
        <v>23100000</v>
      </c>
      <c r="N638" s="196" t="s">
        <v>23</v>
      </c>
      <c r="O638" s="196" t="s">
        <v>23</v>
      </c>
      <c r="P638" s="192" t="s">
        <v>24</v>
      </c>
    </row>
    <row r="639" spans="1:16" ht="45" x14ac:dyDescent="0.3">
      <c r="A639" s="2">
        <v>2023629</v>
      </c>
      <c r="B639" s="2" t="s">
        <v>17</v>
      </c>
      <c r="C639" s="118" t="s">
        <v>17</v>
      </c>
      <c r="D639" s="196" t="s">
        <v>319</v>
      </c>
      <c r="E639" s="196">
        <v>80111600</v>
      </c>
      <c r="F639" s="196" t="s">
        <v>332</v>
      </c>
      <c r="G639" s="197">
        <v>45107</v>
      </c>
      <c r="H639" s="197">
        <v>45092</v>
      </c>
      <c r="I639" s="191">
        <v>6</v>
      </c>
      <c r="J639" s="191" t="s">
        <v>20</v>
      </c>
      <c r="K639" s="195" t="s">
        <v>21</v>
      </c>
      <c r="L639" s="191" t="s">
        <v>23</v>
      </c>
      <c r="M639" s="188">
        <f>2450000*7</f>
        <v>17150000</v>
      </c>
      <c r="N639" s="196" t="s">
        <v>23</v>
      </c>
      <c r="O639" s="196" t="s">
        <v>23</v>
      </c>
      <c r="P639" s="192" t="s">
        <v>24</v>
      </c>
    </row>
    <row r="640" spans="1:16" ht="60" x14ac:dyDescent="0.3">
      <c r="A640" s="2">
        <v>2023631</v>
      </c>
      <c r="B640" s="2">
        <v>7655</v>
      </c>
      <c r="C640" s="118" t="s">
        <v>25</v>
      </c>
      <c r="D640" s="196" t="s">
        <v>319</v>
      </c>
      <c r="E640" s="196">
        <v>80111600</v>
      </c>
      <c r="F640" s="196" t="s">
        <v>334</v>
      </c>
      <c r="G640" s="197">
        <v>45047</v>
      </c>
      <c r="H640" s="197">
        <v>45061</v>
      </c>
      <c r="I640" s="191">
        <v>5</v>
      </c>
      <c r="J640" s="200" t="s">
        <v>20</v>
      </c>
      <c r="K640" s="195" t="s">
        <v>21</v>
      </c>
      <c r="L640" s="191" t="s">
        <v>27</v>
      </c>
      <c r="M640" s="214">
        <f>2450000*5</f>
        <v>12250000</v>
      </c>
      <c r="N640" s="196" t="s">
        <v>28</v>
      </c>
      <c r="O640" s="196" t="s">
        <v>29</v>
      </c>
      <c r="P640" s="192" t="s">
        <v>24</v>
      </c>
    </row>
    <row r="641" spans="1:17" ht="60" x14ac:dyDescent="0.3">
      <c r="A641" s="4">
        <v>2023632</v>
      </c>
      <c r="B641" s="2">
        <v>7655</v>
      </c>
      <c r="C641" s="118" t="s">
        <v>25</v>
      </c>
      <c r="D641" s="196" t="s">
        <v>319</v>
      </c>
      <c r="E641" s="196">
        <v>80111600</v>
      </c>
      <c r="F641" s="196" t="s">
        <v>334</v>
      </c>
      <c r="G641" s="197">
        <v>45047</v>
      </c>
      <c r="H641" s="197">
        <v>45061</v>
      </c>
      <c r="I641" s="191">
        <v>5</v>
      </c>
      <c r="J641" s="191" t="s">
        <v>20</v>
      </c>
      <c r="K641" s="195" t="s">
        <v>21</v>
      </c>
      <c r="L641" s="191" t="s">
        <v>27</v>
      </c>
      <c r="M641" s="214">
        <f>2450000*5</f>
        <v>12250000</v>
      </c>
      <c r="N641" s="196" t="s">
        <v>28</v>
      </c>
      <c r="O641" s="196" t="s">
        <v>29</v>
      </c>
      <c r="P641" s="192" t="s">
        <v>24</v>
      </c>
    </row>
    <row r="642" spans="1:17" ht="60" x14ac:dyDescent="0.3">
      <c r="A642" s="4">
        <v>2023633</v>
      </c>
      <c r="B642" s="2">
        <v>7655</v>
      </c>
      <c r="C642" s="118" t="s">
        <v>25</v>
      </c>
      <c r="D642" s="196" t="s">
        <v>319</v>
      </c>
      <c r="E642" s="196">
        <v>80111600</v>
      </c>
      <c r="F642" s="196" t="s">
        <v>334</v>
      </c>
      <c r="G642" s="197">
        <v>45047</v>
      </c>
      <c r="H642" s="197">
        <v>45061</v>
      </c>
      <c r="I642" s="191">
        <v>5</v>
      </c>
      <c r="J642" s="191" t="s">
        <v>20</v>
      </c>
      <c r="K642" s="195" t="s">
        <v>21</v>
      </c>
      <c r="L642" s="191" t="s">
        <v>27</v>
      </c>
      <c r="M642" s="214">
        <f>2450000*5</f>
        <v>12250000</v>
      </c>
      <c r="N642" s="196" t="s">
        <v>28</v>
      </c>
      <c r="O642" s="196" t="s">
        <v>29</v>
      </c>
      <c r="P642" s="192" t="s">
        <v>24</v>
      </c>
    </row>
    <row r="643" spans="1:17" ht="60" x14ac:dyDescent="0.3">
      <c r="A643" s="2">
        <v>2023634</v>
      </c>
      <c r="B643" s="2">
        <v>7655</v>
      </c>
      <c r="C643" s="118" t="s">
        <v>25</v>
      </c>
      <c r="D643" s="196" t="s">
        <v>319</v>
      </c>
      <c r="E643" s="196">
        <v>80111600</v>
      </c>
      <c r="F643" s="196" t="s">
        <v>334</v>
      </c>
      <c r="G643" s="197">
        <v>45047</v>
      </c>
      <c r="H643" s="197">
        <v>45061</v>
      </c>
      <c r="I643" s="191">
        <v>5</v>
      </c>
      <c r="J643" s="191" t="s">
        <v>20</v>
      </c>
      <c r="K643" s="195" t="s">
        <v>21</v>
      </c>
      <c r="L643" s="191" t="s">
        <v>27</v>
      </c>
      <c r="M643" s="214">
        <f>2450000*5</f>
        <v>12250000</v>
      </c>
      <c r="N643" s="196" t="s">
        <v>28</v>
      </c>
      <c r="O643" s="196" t="s">
        <v>29</v>
      </c>
      <c r="P643" s="192" t="s">
        <v>24</v>
      </c>
    </row>
    <row r="644" spans="1:17" ht="60" x14ac:dyDescent="0.3">
      <c r="A644" s="2">
        <v>2023637</v>
      </c>
      <c r="B644" s="2">
        <v>7655</v>
      </c>
      <c r="C644" s="118" t="s">
        <v>25</v>
      </c>
      <c r="D644" s="196" t="s">
        <v>319</v>
      </c>
      <c r="E644" s="196">
        <v>80111600</v>
      </c>
      <c r="F644" s="196" t="s">
        <v>533</v>
      </c>
      <c r="G644" s="197">
        <v>45047</v>
      </c>
      <c r="H644" s="197">
        <v>45061</v>
      </c>
      <c r="I644" s="191">
        <v>3</v>
      </c>
      <c r="J644" s="191" t="s">
        <v>20</v>
      </c>
      <c r="K644" s="195" t="s">
        <v>21</v>
      </c>
      <c r="L644" s="191" t="s">
        <v>27</v>
      </c>
      <c r="M644" s="214">
        <f>5000000*3</f>
        <v>15000000</v>
      </c>
      <c r="N644" s="196" t="s">
        <v>28</v>
      </c>
      <c r="O644" s="196" t="s">
        <v>29</v>
      </c>
      <c r="P644" s="192" t="s">
        <v>364</v>
      </c>
    </row>
    <row r="645" spans="1:17" ht="90" x14ac:dyDescent="0.3">
      <c r="A645" s="2">
        <v>2023638</v>
      </c>
      <c r="B645" s="2">
        <v>7658</v>
      </c>
      <c r="C645" s="3" t="s">
        <v>142</v>
      </c>
      <c r="D645" s="191" t="s">
        <v>221</v>
      </c>
      <c r="E645" s="196">
        <v>80111600</v>
      </c>
      <c r="F645" s="191" t="s">
        <v>534</v>
      </c>
      <c r="G645" s="193">
        <v>45047</v>
      </c>
      <c r="H645" s="193">
        <v>45047</v>
      </c>
      <c r="I645" s="191">
        <v>8</v>
      </c>
      <c r="J645" s="191" t="s">
        <v>20</v>
      </c>
      <c r="K645" s="195" t="s">
        <v>21</v>
      </c>
      <c r="L645" s="191" t="s">
        <v>27</v>
      </c>
      <c r="M645" s="188">
        <f>25805000+4435000</f>
        <v>30240000</v>
      </c>
      <c r="N645" s="196" t="s">
        <v>229</v>
      </c>
      <c r="O645" s="196" t="s">
        <v>163</v>
      </c>
      <c r="P645" s="192" t="s">
        <v>24</v>
      </c>
    </row>
    <row r="646" spans="1:17" ht="90" x14ac:dyDescent="0.3">
      <c r="A646" s="2">
        <v>2023639</v>
      </c>
      <c r="B646" s="2">
        <v>7658</v>
      </c>
      <c r="C646" s="3" t="s">
        <v>142</v>
      </c>
      <c r="D646" s="191" t="s">
        <v>221</v>
      </c>
      <c r="E646" s="196">
        <v>80111600</v>
      </c>
      <c r="F646" s="191" t="s">
        <v>535</v>
      </c>
      <c r="G646" s="193">
        <v>45078</v>
      </c>
      <c r="H646" s="193">
        <v>45078</v>
      </c>
      <c r="I646" s="191">
        <v>7</v>
      </c>
      <c r="J646" s="191" t="s">
        <v>20</v>
      </c>
      <c r="K646" s="195" t="s">
        <v>21</v>
      </c>
      <c r="L646" s="191" t="s">
        <v>27</v>
      </c>
      <c r="M646" s="188">
        <f>22330000-6970000</f>
        <v>15360000</v>
      </c>
      <c r="N646" s="196" t="s">
        <v>229</v>
      </c>
      <c r="O646" s="196" t="s">
        <v>163</v>
      </c>
      <c r="P646" s="192" t="s">
        <v>24</v>
      </c>
    </row>
    <row r="647" spans="1:17" ht="90" x14ac:dyDescent="0.3">
      <c r="A647" s="2">
        <v>2023640</v>
      </c>
      <c r="B647" s="2">
        <v>7658</v>
      </c>
      <c r="C647" s="3" t="s">
        <v>142</v>
      </c>
      <c r="D647" s="191" t="s">
        <v>221</v>
      </c>
      <c r="E647" s="196">
        <v>80111600</v>
      </c>
      <c r="F647" s="191" t="s">
        <v>536</v>
      </c>
      <c r="G647" s="193">
        <v>45078</v>
      </c>
      <c r="H647" s="193">
        <v>45078</v>
      </c>
      <c r="I647" s="191">
        <v>7</v>
      </c>
      <c r="J647" s="191" t="s">
        <v>20</v>
      </c>
      <c r="K647" s="195" t="s">
        <v>21</v>
      </c>
      <c r="L647" s="191" t="s">
        <v>27</v>
      </c>
      <c r="M647" s="188">
        <f>25805000+1295000-33334</f>
        <v>27066666</v>
      </c>
      <c r="N647" s="196" t="s">
        <v>229</v>
      </c>
      <c r="O647" s="196" t="s">
        <v>163</v>
      </c>
      <c r="P647" s="192" t="s">
        <v>24</v>
      </c>
    </row>
    <row r="648" spans="1:17" ht="90" x14ac:dyDescent="0.3">
      <c r="A648" s="2">
        <v>2023641</v>
      </c>
      <c r="B648" s="2">
        <v>7658</v>
      </c>
      <c r="C648" s="3" t="s">
        <v>142</v>
      </c>
      <c r="D648" s="191" t="s">
        <v>221</v>
      </c>
      <c r="E648" s="196">
        <v>80111600</v>
      </c>
      <c r="F648" s="191" t="s">
        <v>264</v>
      </c>
      <c r="G648" s="193">
        <v>45078</v>
      </c>
      <c r="H648" s="193">
        <v>45078</v>
      </c>
      <c r="I648" s="191">
        <v>7</v>
      </c>
      <c r="J648" s="191" t="s">
        <v>20</v>
      </c>
      <c r="K648" s="195" t="s">
        <v>21</v>
      </c>
      <c r="L648" s="191" t="s">
        <v>27</v>
      </c>
      <c r="M648" s="188">
        <f>20735000-5115000</f>
        <v>15620000</v>
      </c>
      <c r="N648" s="194" t="s">
        <v>224</v>
      </c>
      <c r="O648" s="196" t="s">
        <v>163</v>
      </c>
      <c r="P648" s="192" t="s">
        <v>24</v>
      </c>
    </row>
    <row r="649" spans="1:17" ht="90" x14ac:dyDescent="0.3">
      <c r="A649" s="2">
        <v>2023642</v>
      </c>
      <c r="B649" s="2">
        <v>7658</v>
      </c>
      <c r="C649" s="3" t="s">
        <v>142</v>
      </c>
      <c r="D649" s="191" t="s">
        <v>221</v>
      </c>
      <c r="E649" s="196">
        <v>80111600</v>
      </c>
      <c r="F649" s="191" t="s">
        <v>537</v>
      </c>
      <c r="G649" s="193">
        <v>45078</v>
      </c>
      <c r="H649" s="193">
        <v>45078</v>
      </c>
      <c r="I649" s="191">
        <v>7</v>
      </c>
      <c r="J649" s="191" t="s">
        <v>20</v>
      </c>
      <c r="K649" s="195" t="s">
        <v>21</v>
      </c>
      <c r="L649" s="191" t="s">
        <v>27</v>
      </c>
      <c r="M649" s="188">
        <f>25025000+1775000</f>
        <v>26800000</v>
      </c>
      <c r="N649" s="196" t="s">
        <v>229</v>
      </c>
      <c r="O649" s="196" t="s">
        <v>163</v>
      </c>
      <c r="P649" s="192" t="s">
        <v>24</v>
      </c>
    </row>
    <row r="650" spans="1:17" ht="90" x14ac:dyDescent="0.3">
      <c r="A650" s="2">
        <v>2023643</v>
      </c>
      <c r="B650" s="2">
        <v>7658</v>
      </c>
      <c r="C650" s="3" t="s">
        <v>142</v>
      </c>
      <c r="D650" s="191" t="s">
        <v>221</v>
      </c>
      <c r="E650" s="196">
        <v>80111600</v>
      </c>
      <c r="F650" s="191" t="s">
        <v>538</v>
      </c>
      <c r="G650" s="193">
        <v>45078</v>
      </c>
      <c r="H650" s="193">
        <v>45078</v>
      </c>
      <c r="I650" s="191">
        <v>7</v>
      </c>
      <c r="J650" s="191" t="s">
        <v>20</v>
      </c>
      <c r="K650" s="195" t="s">
        <v>21</v>
      </c>
      <c r="L650" s="191" t="s">
        <v>27</v>
      </c>
      <c r="M650" s="188">
        <f>53560000+1648000</f>
        <v>55208000</v>
      </c>
      <c r="N650" s="196" t="s">
        <v>229</v>
      </c>
      <c r="O650" s="196" t="s">
        <v>163</v>
      </c>
      <c r="P650" s="192" t="s">
        <v>24</v>
      </c>
    </row>
    <row r="651" spans="1:17" ht="90" x14ac:dyDescent="0.3">
      <c r="A651" s="2">
        <v>2023644</v>
      </c>
      <c r="B651" s="2">
        <v>7658</v>
      </c>
      <c r="C651" s="3" t="s">
        <v>142</v>
      </c>
      <c r="D651" s="191" t="s">
        <v>221</v>
      </c>
      <c r="E651" s="196">
        <v>80111600</v>
      </c>
      <c r="F651" s="191" t="s">
        <v>539</v>
      </c>
      <c r="G651" s="193">
        <v>45078</v>
      </c>
      <c r="H651" s="193">
        <v>45078</v>
      </c>
      <c r="I651" s="191">
        <v>7</v>
      </c>
      <c r="J651" s="191" t="s">
        <v>20</v>
      </c>
      <c r="K651" s="195" t="s">
        <v>21</v>
      </c>
      <c r="L651" s="191" t="s">
        <v>27</v>
      </c>
      <c r="M651" s="188">
        <f>15925000+825000</f>
        <v>16750000</v>
      </c>
      <c r="N651" s="194" t="s">
        <v>224</v>
      </c>
      <c r="O651" s="196" t="s">
        <v>163</v>
      </c>
      <c r="P651" s="192" t="s">
        <v>24</v>
      </c>
    </row>
    <row r="652" spans="1:17" ht="90" x14ac:dyDescent="0.3">
      <c r="A652" s="2">
        <v>2023645</v>
      </c>
      <c r="B652" s="2">
        <v>7658</v>
      </c>
      <c r="C652" s="3" t="s">
        <v>142</v>
      </c>
      <c r="D652" s="191" t="s">
        <v>221</v>
      </c>
      <c r="E652" s="196">
        <v>80111600</v>
      </c>
      <c r="F652" s="191" t="s">
        <v>540</v>
      </c>
      <c r="G652" s="193">
        <v>45078</v>
      </c>
      <c r="H652" s="193">
        <v>45078</v>
      </c>
      <c r="I652" s="191">
        <v>7</v>
      </c>
      <c r="J652" s="191" t="s">
        <v>20</v>
      </c>
      <c r="K652" s="195" t="s">
        <v>21</v>
      </c>
      <c r="L652" s="191" t="s">
        <v>27</v>
      </c>
      <c r="M652" s="188">
        <v>22171520</v>
      </c>
      <c r="N652" s="194" t="s">
        <v>224</v>
      </c>
      <c r="O652" s="196" t="s">
        <v>163</v>
      </c>
      <c r="P652" s="192" t="s">
        <v>24</v>
      </c>
    </row>
    <row r="653" spans="1:17" ht="90" x14ac:dyDescent="0.3">
      <c r="A653" s="2">
        <v>2023646</v>
      </c>
      <c r="B653" s="2">
        <v>7658</v>
      </c>
      <c r="C653" s="3" t="s">
        <v>142</v>
      </c>
      <c r="D653" s="191" t="s">
        <v>221</v>
      </c>
      <c r="E653" s="196">
        <v>80111600</v>
      </c>
      <c r="F653" s="191" t="s">
        <v>541</v>
      </c>
      <c r="G653" s="193">
        <v>45078</v>
      </c>
      <c r="H653" s="193">
        <v>45078</v>
      </c>
      <c r="I653" s="191">
        <v>7</v>
      </c>
      <c r="J653" s="191" t="s">
        <v>20</v>
      </c>
      <c r="K653" s="195" t="s">
        <v>21</v>
      </c>
      <c r="L653" s="191" t="s">
        <v>27</v>
      </c>
      <c r="M653" s="188">
        <f>30000000-2530000</f>
        <v>27470000</v>
      </c>
      <c r="N653" s="194" t="s">
        <v>224</v>
      </c>
      <c r="O653" s="196" t="s">
        <v>163</v>
      </c>
      <c r="P653" s="192" t="s">
        <v>24</v>
      </c>
      <c r="Q653" s="155"/>
    </row>
    <row r="654" spans="1:17" ht="90" x14ac:dyDescent="0.3">
      <c r="A654" s="2">
        <v>2023647</v>
      </c>
      <c r="B654" s="2">
        <v>7658</v>
      </c>
      <c r="C654" s="3" t="s">
        <v>142</v>
      </c>
      <c r="D654" s="191" t="s">
        <v>221</v>
      </c>
      <c r="E654" s="196">
        <v>80111600</v>
      </c>
      <c r="F654" s="191" t="s">
        <v>542</v>
      </c>
      <c r="G654" s="193">
        <v>45078</v>
      </c>
      <c r="H654" s="193">
        <v>45078</v>
      </c>
      <c r="I654" s="191">
        <v>7</v>
      </c>
      <c r="J654" s="191" t="s">
        <v>20</v>
      </c>
      <c r="K654" s="195" t="s">
        <v>21</v>
      </c>
      <c r="L654" s="191" t="s">
        <v>27</v>
      </c>
      <c r="M654" s="188">
        <v>29250000</v>
      </c>
      <c r="N654" s="194" t="s">
        <v>224</v>
      </c>
      <c r="O654" s="196" t="s">
        <v>163</v>
      </c>
      <c r="P654" s="192" t="s">
        <v>24</v>
      </c>
      <c r="Q654" s="155"/>
    </row>
    <row r="655" spans="1:17" ht="90" x14ac:dyDescent="0.3">
      <c r="A655" s="2">
        <v>2023649</v>
      </c>
      <c r="B655" s="2">
        <v>7658</v>
      </c>
      <c r="C655" s="3" t="s">
        <v>142</v>
      </c>
      <c r="D655" s="191" t="s">
        <v>221</v>
      </c>
      <c r="E655" s="196">
        <v>80111600</v>
      </c>
      <c r="F655" s="191" t="s">
        <v>543</v>
      </c>
      <c r="G655" s="193">
        <v>45078</v>
      </c>
      <c r="H655" s="193">
        <v>45078</v>
      </c>
      <c r="I655" s="191">
        <v>7</v>
      </c>
      <c r="J655" s="191" t="s">
        <v>20</v>
      </c>
      <c r="K655" s="195" t="s">
        <v>21</v>
      </c>
      <c r="L655" s="191" t="s">
        <v>27</v>
      </c>
      <c r="M655" s="188">
        <f>30550000-6550000-1500000</f>
        <v>22500000</v>
      </c>
      <c r="N655" s="196" t="s">
        <v>229</v>
      </c>
      <c r="O655" s="196" t="s">
        <v>163</v>
      </c>
      <c r="P655" s="192" t="s">
        <v>24</v>
      </c>
      <c r="Q655" s="155"/>
    </row>
    <row r="656" spans="1:17" ht="90" x14ac:dyDescent="0.3">
      <c r="A656" s="2">
        <v>2023650</v>
      </c>
      <c r="B656" s="2">
        <v>7658</v>
      </c>
      <c r="C656" s="3" t="s">
        <v>142</v>
      </c>
      <c r="D656" s="191" t="s">
        <v>221</v>
      </c>
      <c r="E656" s="196">
        <v>80111600</v>
      </c>
      <c r="F656" s="191" t="s">
        <v>544</v>
      </c>
      <c r="G656" s="193">
        <v>45078</v>
      </c>
      <c r="H656" s="193">
        <v>45078</v>
      </c>
      <c r="I656" s="191">
        <v>7</v>
      </c>
      <c r="J656" s="191" t="s">
        <v>20</v>
      </c>
      <c r="K656" s="195" t="s">
        <v>21</v>
      </c>
      <c r="L656" s="191" t="s">
        <v>27</v>
      </c>
      <c r="M656" s="188">
        <f>20735000-4235000-1500000</f>
        <v>15000000</v>
      </c>
      <c r="N656" s="194" t="s">
        <v>224</v>
      </c>
      <c r="O656" s="196" t="s">
        <v>163</v>
      </c>
      <c r="P656" s="192" t="s">
        <v>24</v>
      </c>
      <c r="Q656" s="155"/>
    </row>
    <row r="657" spans="1:17" ht="90" x14ac:dyDescent="0.3">
      <c r="A657" s="2">
        <v>2023651</v>
      </c>
      <c r="B657" s="2">
        <v>7658</v>
      </c>
      <c r="C657" s="3" t="s">
        <v>142</v>
      </c>
      <c r="D657" s="191" t="s">
        <v>221</v>
      </c>
      <c r="E657" s="196">
        <v>80111600</v>
      </c>
      <c r="F657" s="191" t="s">
        <v>545</v>
      </c>
      <c r="G657" s="193">
        <v>45078</v>
      </c>
      <c r="H657" s="193">
        <v>45078</v>
      </c>
      <c r="I657" s="191">
        <v>7</v>
      </c>
      <c r="J657" s="191" t="s">
        <v>20</v>
      </c>
      <c r="K657" s="195" t="s">
        <v>21</v>
      </c>
      <c r="L657" s="191" t="s">
        <v>27</v>
      </c>
      <c r="M657" s="188">
        <f>20800000-6150000-36667</f>
        <v>14613333</v>
      </c>
      <c r="N657" s="194" t="s">
        <v>224</v>
      </c>
      <c r="O657" s="196" t="s">
        <v>163</v>
      </c>
      <c r="P657" s="192" t="s">
        <v>24</v>
      </c>
      <c r="Q657" s="155"/>
    </row>
    <row r="658" spans="1:17" ht="90" x14ac:dyDescent="0.3">
      <c r="A658" s="2">
        <v>2023652</v>
      </c>
      <c r="B658" s="2">
        <v>7658</v>
      </c>
      <c r="C658" s="3" t="s">
        <v>142</v>
      </c>
      <c r="D658" s="191" t="s">
        <v>221</v>
      </c>
      <c r="E658" s="196">
        <v>80111600</v>
      </c>
      <c r="F658" s="191" t="s">
        <v>546</v>
      </c>
      <c r="G658" s="193">
        <v>45078</v>
      </c>
      <c r="H658" s="193">
        <v>45078</v>
      </c>
      <c r="I658" s="191">
        <v>7</v>
      </c>
      <c r="J658" s="191" t="s">
        <v>20</v>
      </c>
      <c r="K658" s="195" t="s">
        <v>21</v>
      </c>
      <c r="L658" s="191" t="s">
        <v>27</v>
      </c>
      <c r="M658" s="188">
        <f>25805000-7655000-16667</f>
        <v>18133333</v>
      </c>
      <c r="N658" s="194" t="s">
        <v>224</v>
      </c>
      <c r="O658" s="196" t="s">
        <v>163</v>
      </c>
      <c r="P658" s="192" t="s">
        <v>24</v>
      </c>
      <c r="Q658" s="155"/>
    </row>
    <row r="659" spans="1:17" ht="90" x14ac:dyDescent="0.3">
      <c r="A659" s="2">
        <v>2023653</v>
      </c>
      <c r="B659" s="2">
        <v>7658</v>
      </c>
      <c r="C659" s="3" t="s">
        <v>142</v>
      </c>
      <c r="D659" s="191" t="s">
        <v>221</v>
      </c>
      <c r="E659" s="196">
        <v>80111600</v>
      </c>
      <c r="F659" s="191" t="s">
        <v>547</v>
      </c>
      <c r="G659" s="193">
        <v>45078</v>
      </c>
      <c r="H659" s="193">
        <v>45078</v>
      </c>
      <c r="I659" s="191">
        <v>7</v>
      </c>
      <c r="J659" s="191" t="s">
        <v>20</v>
      </c>
      <c r="K659" s="195" t="s">
        <v>21</v>
      </c>
      <c r="L659" s="191" t="s">
        <v>27</v>
      </c>
      <c r="M659" s="188">
        <f>20735000+715000</f>
        <v>21450000</v>
      </c>
      <c r="N659" s="194" t="s">
        <v>224</v>
      </c>
      <c r="O659" s="196" t="s">
        <v>163</v>
      </c>
      <c r="P659" s="192" t="s">
        <v>24</v>
      </c>
      <c r="Q659" s="155"/>
    </row>
    <row r="660" spans="1:17" ht="90" x14ac:dyDescent="0.3">
      <c r="A660" s="2">
        <v>2023654</v>
      </c>
      <c r="B660" s="2">
        <v>7658</v>
      </c>
      <c r="C660" s="3" t="s">
        <v>142</v>
      </c>
      <c r="D660" s="191" t="s">
        <v>221</v>
      </c>
      <c r="E660" s="196">
        <v>80111600</v>
      </c>
      <c r="F660" s="191" t="s">
        <v>548</v>
      </c>
      <c r="G660" s="193">
        <v>45078</v>
      </c>
      <c r="H660" s="193">
        <v>45078</v>
      </c>
      <c r="I660" s="191">
        <v>7</v>
      </c>
      <c r="J660" s="191" t="s">
        <v>20</v>
      </c>
      <c r="K660" s="195" t="s">
        <v>21</v>
      </c>
      <c r="L660" s="191" t="s">
        <v>27</v>
      </c>
      <c r="M660" s="188">
        <f>30550000+1950000</f>
        <v>32500000</v>
      </c>
      <c r="N660" s="194" t="s">
        <v>224</v>
      </c>
      <c r="O660" s="196" t="s">
        <v>163</v>
      </c>
      <c r="P660" s="192" t="s">
        <v>24</v>
      </c>
      <c r="Q660" s="155"/>
    </row>
    <row r="661" spans="1:17" ht="90" x14ac:dyDescent="0.3">
      <c r="A661" s="2">
        <v>2023655</v>
      </c>
      <c r="B661" s="2">
        <v>7658</v>
      </c>
      <c r="C661" s="3" t="s">
        <v>142</v>
      </c>
      <c r="D661" s="191" t="s">
        <v>221</v>
      </c>
      <c r="E661" s="196">
        <v>80111600</v>
      </c>
      <c r="F661" s="191" t="s">
        <v>549</v>
      </c>
      <c r="G661" s="193">
        <v>45078</v>
      </c>
      <c r="H661" s="193">
        <v>45078</v>
      </c>
      <c r="I661" s="191">
        <v>7</v>
      </c>
      <c r="J661" s="191" t="s">
        <v>20</v>
      </c>
      <c r="K661" s="195" t="s">
        <v>21</v>
      </c>
      <c r="L661" s="191" t="s">
        <v>27</v>
      </c>
      <c r="M661" s="188">
        <f>54925000-16900000</f>
        <v>38025000</v>
      </c>
      <c r="N661" s="194" t="s">
        <v>224</v>
      </c>
      <c r="O661" s="196" t="s">
        <v>163</v>
      </c>
      <c r="P661" s="192" t="s">
        <v>24</v>
      </c>
      <c r="Q661" s="155"/>
    </row>
    <row r="662" spans="1:17" ht="90" x14ac:dyDescent="0.3">
      <c r="A662" s="2">
        <v>2023656</v>
      </c>
      <c r="B662" s="2">
        <v>7658</v>
      </c>
      <c r="C662" s="3" t="s">
        <v>142</v>
      </c>
      <c r="D662" s="191" t="s">
        <v>221</v>
      </c>
      <c r="E662" s="196">
        <v>80111600</v>
      </c>
      <c r="F662" s="191" t="s">
        <v>550</v>
      </c>
      <c r="G662" s="193">
        <v>45078</v>
      </c>
      <c r="H662" s="193">
        <v>45078</v>
      </c>
      <c r="I662" s="191">
        <v>7</v>
      </c>
      <c r="J662" s="191" t="s">
        <v>20</v>
      </c>
      <c r="K662" s="195" t="s">
        <v>21</v>
      </c>
      <c r="L662" s="191" t="s">
        <v>27</v>
      </c>
      <c r="M662" s="188">
        <f>29250000-600000</f>
        <v>28650000</v>
      </c>
      <c r="N662" s="194" t="s">
        <v>224</v>
      </c>
      <c r="O662" s="196" t="s">
        <v>163</v>
      </c>
      <c r="P662" s="192" t="s">
        <v>24</v>
      </c>
      <c r="Q662" s="155"/>
    </row>
    <row r="663" spans="1:17" ht="90" x14ac:dyDescent="0.3">
      <c r="A663" s="2">
        <v>2023657</v>
      </c>
      <c r="B663" s="2">
        <v>7658</v>
      </c>
      <c r="C663" s="3" t="s">
        <v>142</v>
      </c>
      <c r="D663" s="191" t="s">
        <v>221</v>
      </c>
      <c r="E663" s="196">
        <v>80111600</v>
      </c>
      <c r="F663" s="191" t="s">
        <v>540</v>
      </c>
      <c r="G663" s="193">
        <v>45078</v>
      </c>
      <c r="H663" s="193">
        <v>45078</v>
      </c>
      <c r="I663" s="191">
        <v>7</v>
      </c>
      <c r="J663" s="191" t="s">
        <v>20</v>
      </c>
      <c r="K663" s="195" t="s">
        <v>21</v>
      </c>
      <c r="L663" s="191" t="s">
        <v>27</v>
      </c>
      <c r="M663" s="188">
        <f>18000000-4750000-23334</f>
        <v>13226666</v>
      </c>
      <c r="N663" s="194" t="s">
        <v>224</v>
      </c>
      <c r="O663" s="196" t="s">
        <v>163</v>
      </c>
      <c r="P663" s="192" t="s">
        <v>24</v>
      </c>
      <c r="Q663" s="155"/>
    </row>
    <row r="664" spans="1:17" ht="90" x14ac:dyDescent="0.3">
      <c r="A664" s="2">
        <v>2023658</v>
      </c>
      <c r="B664" s="2">
        <v>7658</v>
      </c>
      <c r="C664" s="3" t="s">
        <v>142</v>
      </c>
      <c r="D664" s="191" t="s">
        <v>221</v>
      </c>
      <c r="E664" s="196">
        <v>80111600</v>
      </c>
      <c r="F664" s="191" t="s">
        <v>551</v>
      </c>
      <c r="G664" s="193">
        <v>45078</v>
      </c>
      <c r="H664" s="193">
        <v>45078</v>
      </c>
      <c r="I664" s="191">
        <v>7</v>
      </c>
      <c r="J664" s="191" t="s">
        <v>20</v>
      </c>
      <c r="K664" s="195" t="s">
        <v>21</v>
      </c>
      <c r="L664" s="191" t="s">
        <v>27</v>
      </c>
      <c r="M664" s="188">
        <f>44200000+7600000</f>
        <v>51800000</v>
      </c>
      <c r="N664" s="194" t="s">
        <v>224</v>
      </c>
      <c r="O664" s="196" t="s">
        <v>163</v>
      </c>
      <c r="P664" s="192" t="s">
        <v>24</v>
      </c>
      <c r="Q664" s="155"/>
    </row>
    <row r="665" spans="1:17" ht="90" x14ac:dyDescent="0.3">
      <c r="A665" s="2">
        <v>2023659</v>
      </c>
      <c r="B665" s="2">
        <v>7658</v>
      </c>
      <c r="C665" s="3" t="s">
        <v>142</v>
      </c>
      <c r="D665" s="191" t="s">
        <v>221</v>
      </c>
      <c r="E665" s="196">
        <v>80111600</v>
      </c>
      <c r="F665" s="191" t="s">
        <v>552</v>
      </c>
      <c r="G665" s="193">
        <v>45078</v>
      </c>
      <c r="H665" s="193">
        <v>45078</v>
      </c>
      <c r="I665" s="191">
        <v>7</v>
      </c>
      <c r="J665" s="191" t="s">
        <v>20</v>
      </c>
      <c r="K665" s="195" t="s">
        <v>21</v>
      </c>
      <c r="L665" s="191" t="s">
        <v>27</v>
      </c>
      <c r="M665" s="188">
        <f>36000000+800000</f>
        <v>36800000</v>
      </c>
      <c r="N665" s="196" t="s">
        <v>229</v>
      </c>
      <c r="O665" s="196" t="s">
        <v>163</v>
      </c>
      <c r="P665" s="192" t="s">
        <v>24</v>
      </c>
      <c r="Q665" s="155"/>
    </row>
    <row r="666" spans="1:17" ht="90" x14ac:dyDescent="0.3">
      <c r="A666" s="2">
        <v>2023660</v>
      </c>
      <c r="B666" s="2">
        <v>7658</v>
      </c>
      <c r="C666" s="3" t="s">
        <v>142</v>
      </c>
      <c r="D666" s="191" t="s">
        <v>221</v>
      </c>
      <c r="E666" s="196">
        <v>80111600</v>
      </c>
      <c r="F666" s="191" t="s">
        <v>553</v>
      </c>
      <c r="G666" s="193">
        <v>45078</v>
      </c>
      <c r="H666" s="193">
        <v>45078</v>
      </c>
      <c r="I666" s="191">
        <v>7</v>
      </c>
      <c r="J666" s="191" t="s">
        <v>20</v>
      </c>
      <c r="K666" s="195" t="s">
        <v>21</v>
      </c>
      <c r="L666" s="191" t="s">
        <v>27</v>
      </c>
      <c r="M666" s="188">
        <f>30550000-1750000</f>
        <v>28800000</v>
      </c>
      <c r="N666" s="194" t="s">
        <v>224</v>
      </c>
      <c r="O666" s="196" t="s">
        <v>163</v>
      </c>
      <c r="P666" s="192" t="s">
        <v>24</v>
      </c>
      <c r="Q666" s="155"/>
    </row>
    <row r="667" spans="1:17" ht="90" x14ac:dyDescent="0.3">
      <c r="A667" s="2">
        <v>2023661</v>
      </c>
      <c r="B667" s="2">
        <v>7658</v>
      </c>
      <c r="C667" s="3" t="s">
        <v>142</v>
      </c>
      <c r="D667" s="191" t="s">
        <v>221</v>
      </c>
      <c r="E667" s="196">
        <v>80111600</v>
      </c>
      <c r="F667" s="191" t="s">
        <v>554</v>
      </c>
      <c r="G667" s="193">
        <v>45078</v>
      </c>
      <c r="H667" s="193">
        <v>45078</v>
      </c>
      <c r="I667" s="191">
        <v>7</v>
      </c>
      <c r="J667" s="191" t="s">
        <v>20</v>
      </c>
      <c r="K667" s="195" t="s">
        <v>21</v>
      </c>
      <c r="L667" s="191" t="s">
        <v>27</v>
      </c>
      <c r="M667" s="188">
        <f>22330000-2530000-4800000</f>
        <v>15000000</v>
      </c>
      <c r="N667" s="194" t="s">
        <v>224</v>
      </c>
      <c r="O667" s="196" t="s">
        <v>163</v>
      </c>
      <c r="P667" s="192" t="s">
        <v>24</v>
      </c>
      <c r="Q667" s="155"/>
    </row>
    <row r="668" spans="1:17" ht="90" x14ac:dyDescent="0.3">
      <c r="A668" s="2">
        <v>2023662</v>
      </c>
      <c r="B668" s="2">
        <v>7658</v>
      </c>
      <c r="C668" s="3" t="s">
        <v>142</v>
      </c>
      <c r="D668" s="191" t="s">
        <v>221</v>
      </c>
      <c r="E668" s="196">
        <v>80111600</v>
      </c>
      <c r="F668" s="191" t="s">
        <v>555</v>
      </c>
      <c r="G668" s="193">
        <v>45078</v>
      </c>
      <c r="H668" s="193">
        <v>45078</v>
      </c>
      <c r="I668" s="191">
        <v>7</v>
      </c>
      <c r="J668" s="191" t="s">
        <v>20</v>
      </c>
      <c r="K668" s="195" t="s">
        <v>21</v>
      </c>
      <c r="L668" s="191" t="s">
        <v>27</v>
      </c>
      <c r="M668" s="188">
        <f>25600000-9600000</f>
        <v>16000000</v>
      </c>
      <c r="N668" s="196" t="s">
        <v>229</v>
      </c>
      <c r="O668" s="196" t="s">
        <v>163</v>
      </c>
      <c r="P668" s="192" t="s">
        <v>24</v>
      </c>
      <c r="Q668" s="155"/>
    </row>
    <row r="669" spans="1:17" ht="90" x14ac:dyDescent="0.3">
      <c r="A669" s="2">
        <v>2023663</v>
      </c>
      <c r="B669" s="2">
        <v>7658</v>
      </c>
      <c r="C669" s="3" t="s">
        <v>142</v>
      </c>
      <c r="D669" s="191" t="s">
        <v>45</v>
      </c>
      <c r="E669" s="196">
        <v>80111600</v>
      </c>
      <c r="F669" s="191" t="s">
        <v>556</v>
      </c>
      <c r="G669" s="193">
        <v>45047</v>
      </c>
      <c r="H669" s="193">
        <v>45061</v>
      </c>
      <c r="I669" s="191">
        <v>8</v>
      </c>
      <c r="J669" s="191" t="s">
        <v>20</v>
      </c>
      <c r="K669" s="195" t="s">
        <v>21</v>
      </c>
      <c r="L669" s="191" t="s">
        <v>27</v>
      </c>
      <c r="M669" s="188">
        <f>(5382000*8)</f>
        <v>43056000</v>
      </c>
      <c r="N669" s="196" t="s">
        <v>166</v>
      </c>
      <c r="O669" s="196" t="s">
        <v>163</v>
      </c>
      <c r="P669" s="192" t="s">
        <v>24</v>
      </c>
      <c r="Q669" s="155"/>
    </row>
    <row r="670" spans="1:17" ht="90" x14ac:dyDescent="0.3">
      <c r="A670" s="2">
        <v>2023664</v>
      </c>
      <c r="B670" s="2">
        <v>7658</v>
      </c>
      <c r="C670" s="3" t="s">
        <v>142</v>
      </c>
      <c r="D670" s="191" t="s">
        <v>45</v>
      </c>
      <c r="E670" s="196">
        <v>80111600</v>
      </c>
      <c r="F670" s="191" t="s">
        <v>556</v>
      </c>
      <c r="G670" s="193">
        <v>45047</v>
      </c>
      <c r="H670" s="193">
        <v>45061</v>
      </c>
      <c r="I670" s="191">
        <v>8</v>
      </c>
      <c r="J670" s="191" t="s">
        <v>20</v>
      </c>
      <c r="K670" s="195" t="s">
        <v>21</v>
      </c>
      <c r="L670" s="191" t="s">
        <v>27</v>
      </c>
      <c r="M670" s="188">
        <f>(5382000*8)</f>
        <v>43056000</v>
      </c>
      <c r="N670" s="196" t="s">
        <v>166</v>
      </c>
      <c r="O670" s="196" t="s">
        <v>163</v>
      </c>
      <c r="P670" s="192" t="s">
        <v>24</v>
      </c>
      <c r="Q670" s="155"/>
    </row>
    <row r="671" spans="1:17" ht="135" x14ac:dyDescent="0.3">
      <c r="A671" s="2">
        <v>2023665</v>
      </c>
      <c r="B671" s="2" t="s">
        <v>17</v>
      </c>
      <c r="C671" s="3" t="s">
        <v>17</v>
      </c>
      <c r="D671" s="191" t="s">
        <v>125</v>
      </c>
      <c r="E671" s="192" t="s">
        <v>449</v>
      </c>
      <c r="F671" s="191" t="s">
        <v>557</v>
      </c>
      <c r="G671" s="193">
        <v>45047</v>
      </c>
      <c r="H671" s="193">
        <v>45047</v>
      </c>
      <c r="I671" s="191">
        <v>2</v>
      </c>
      <c r="J671" s="191" t="s">
        <v>154</v>
      </c>
      <c r="K671" s="195" t="s">
        <v>21</v>
      </c>
      <c r="L671" s="191" t="s">
        <v>681</v>
      </c>
      <c r="M671" s="188">
        <v>32000000</v>
      </c>
      <c r="N671" s="192" t="s">
        <v>23</v>
      </c>
      <c r="O671" s="192" t="s">
        <v>23</v>
      </c>
      <c r="P671" s="192" t="s">
        <v>364</v>
      </c>
      <c r="Q671" s="155"/>
    </row>
    <row r="672" spans="1:17" ht="90" x14ac:dyDescent="0.3">
      <c r="A672" s="2">
        <v>2023666</v>
      </c>
      <c r="B672" s="2">
        <v>7658</v>
      </c>
      <c r="C672" s="3" t="s">
        <v>142</v>
      </c>
      <c r="D672" s="191" t="s">
        <v>221</v>
      </c>
      <c r="E672" s="192">
        <v>72101509</v>
      </c>
      <c r="F672" s="191" t="s">
        <v>558</v>
      </c>
      <c r="G672" s="193">
        <v>45061</v>
      </c>
      <c r="H672" s="193">
        <v>45061</v>
      </c>
      <c r="I672" s="191">
        <v>6</v>
      </c>
      <c r="J672" s="191" t="s">
        <v>101</v>
      </c>
      <c r="K672" s="195" t="s">
        <v>21</v>
      </c>
      <c r="L672" s="191" t="s">
        <v>161</v>
      </c>
      <c r="M672" s="188">
        <v>25000000</v>
      </c>
      <c r="N672" s="192" t="s">
        <v>224</v>
      </c>
      <c r="O672" s="192" t="s">
        <v>163</v>
      </c>
      <c r="P672" s="192" t="s">
        <v>364</v>
      </c>
      <c r="Q672" s="155"/>
    </row>
    <row r="673" spans="1:17" ht="60" x14ac:dyDescent="0.3">
      <c r="A673" s="2">
        <v>2023667</v>
      </c>
      <c r="B673" s="2" t="s">
        <v>17</v>
      </c>
      <c r="C673" s="3" t="s">
        <v>17</v>
      </c>
      <c r="D673" s="191" t="s">
        <v>319</v>
      </c>
      <c r="E673" s="192" t="s">
        <v>559</v>
      </c>
      <c r="F673" s="191" t="s">
        <v>560</v>
      </c>
      <c r="G673" s="193">
        <v>45078</v>
      </c>
      <c r="H673" s="193">
        <v>45093</v>
      </c>
      <c r="I673" s="191">
        <v>12</v>
      </c>
      <c r="J673" s="191" t="s">
        <v>118</v>
      </c>
      <c r="K673" s="195" t="s">
        <v>21</v>
      </c>
      <c r="L673" s="191" t="s">
        <v>23</v>
      </c>
      <c r="M673" s="188">
        <v>30000000</v>
      </c>
      <c r="N673" s="192" t="s">
        <v>23</v>
      </c>
      <c r="O673" s="192" t="s">
        <v>23</v>
      </c>
      <c r="P673" s="192" t="s">
        <v>24</v>
      </c>
      <c r="Q673" s="155"/>
    </row>
    <row r="674" spans="1:17" ht="75" x14ac:dyDescent="0.3">
      <c r="A674" s="2">
        <v>2023668</v>
      </c>
      <c r="B674" s="2">
        <v>7637</v>
      </c>
      <c r="C674" s="3" t="s">
        <v>73</v>
      </c>
      <c r="D674" s="191" t="s">
        <v>18</v>
      </c>
      <c r="E674" s="196">
        <v>80111600</v>
      </c>
      <c r="F674" s="191" t="s">
        <v>561</v>
      </c>
      <c r="G674" s="193">
        <v>45078</v>
      </c>
      <c r="H674" s="193">
        <v>45092</v>
      </c>
      <c r="I674" s="191">
        <v>6</v>
      </c>
      <c r="J674" s="191" t="s">
        <v>20</v>
      </c>
      <c r="K674" s="195" t="s">
        <v>21</v>
      </c>
      <c r="L674" s="191" t="s">
        <v>27</v>
      </c>
      <c r="M674" s="188">
        <v>40800000</v>
      </c>
      <c r="N674" s="196" t="s">
        <v>75</v>
      </c>
      <c r="O674" s="196" t="s">
        <v>76</v>
      </c>
      <c r="P674" s="196" t="s">
        <v>24</v>
      </c>
      <c r="Q674" s="155"/>
    </row>
    <row r="675" spans="1:17" ht="75" x14ac:dyDescent="0.3">
      <c r="A675" s="2">
        <v>2023669</v>
      </c>
      <c r="B675" s="2">
        <v>7637</v>
      </c>
      <c r="C675" s="3" t="s">
        <v>73</v>
      </c>
      <c r="D675" s="191" t="s">
        <v>18</v>
      </c>
      <c r="E675" s="196">
        <v>80111600</v>
      </c>
      <c r="F675" s="191" t="s">
        <v>562</v>
      </c>
      <c r="G675" s="193">
        <v>45078</v>
      </c>
      <c r="H675" s="193">
        <v>45092</v>
      </c>
      <c r="I675" s="191">
        <v>5</v>
      </c>
      <c r="J675" s="191" t="s">
        <v>20</v>
      </c>
      <c r="K675" s="195" t="s">
        <v>21</v>
      </c>
      <c r="L675" s="191" t="s">
        <v>27</v>
      </c>
      <c r="M675" s="188">
        <f>52000000-26000000+6500000</f>
        <v>32500000</v>
      </c>
      <c r="N675" s="196" t="s">
        <v>75</v>
      </c>
      <c r="O675" s="196" t="s">
        <v>76</v>
      </c>
      <c r="P675" s="196" t="s">
        <v>24</v>
      </c>
      <c r="Q675" s="155"/>
    </row>
    <row r="676" spans="1:17" ht="105" x14ac:dyDescent="0.3">
      <c r="A676" s="2">
        <v>2023672</v>
      </c>
      <c r="B676" s="2">
        <v>7637</v>
      </c>
      <c r="C676" s="3" t="s">
        <v>73</v>
      </c>
      <c r="D676" s="191" t="s">
        <v>18</v>
      </c>
      <c r="E676" s="196">
        <v>80111600</v>
      </c>
      <c r="F676" s="191" t="s">
        <v>563</v>
      </c>
      <c r="G676" s="193">
        <v>45078</v>
      </c>
      <c r="H676" s="193">
        <v>45092</v>
      </c>
      <c r="I676" s="191">
        <v>4</v>
      </c>
      <c r="J676" s="191" t="s">
        <v>20</v>
      </c>
      <c r="K676" s="195" t="s">
        <v>21</v>
      </c>
      <c r="L676" s="191" t="s">
        <v>27</v>
      </c>
      <c r="M676" s="188">
        <f>20400000+34000000-27200000</f>
        <v>27200000</v>
      </c>
      <c r="N676" s="196" t="s">
        <v>94</v>
      </c>
      <c r="O676" s="196" t="s">
        <v>76</v>
      </c>
      <c r="P676" s="196" t="s">
        <v>24</v>
      </c>
      <c r="Q676" s="155"/>
    </row>
    <row r="677" spans="1:17" ht="90" x14ac:dyDescent="0.3">
      <c r="A677" s="2">
        <v>2023673</v>
      </c>
      <c r="B677" s="2">
        <v>7655</v>
      </c>
      <c r="C677" s="3" t="s">
        <v>25</v>
      </c>
      <c r="D677" s="191" t="s">
        <v>18</v>
      </c>
      <c r="E677" s="196">
        <v>80111600</v>
      </c>
      <c r="F677" s="194" t="s">
        <v>26</v>
      </c>
      <c r="G677" s="193">
        <v>45078</v>
      </c>
      <c r="H677" s="193">
        <v>45092</v>
      </c>
      <c r="I677" s="206">
        <v>5</v>
      </c>
      <c r="J677" s="191" t="s">
        <v>20</v>
      </c>
      <c r="K677" s="191" t="s">
        <v>21</v>
      </c>
      <c r="L677" s="191" t="s">
        <v>27</v>
      </c>
      <c r="M677" s="214">
        <f>16500000-1000000-500000</f>
        <v>15000000</v>
      </c>
      <c r="N677" s="196" t="s">
        <v>28</v>
      </c>
      <c r="O677" s="196" t="s">
        <v>29</v>
      </c>
      <c r="P677" s="194" t="s">
        <v>24</v>
      </c>
      <c r="Q677" s="155"/>
    </row>
    <row r="678" spans="1:17" ht="75" x14ac:dyDescent="0.3">
      <c r="A678" s="2">
        <v>2023674</v>
      </c>
      <c r="B678" s="2">
        <v>7655</v>
      </c>
      <c r="C678" s="3" t="s">
        <v>25</v>
      </c>
      <c r="D678" s="191" t="s">
        <v>18</v>
      </c>
      <c r="E678" s="196">
        <v>80111600</v>
      </c>
      <c r="F678" s="194" t="s">
        <v>564</v>
      </c>
      <c r="G678" s="193">
        <v>45078</v>
      </c>
      <c r="H678" s="193">
        <v>45092</v>
      </c>
      <c r="I678" s="206">
        <v>5</v>
      </c>
      <c r="J678" s="191" t="s">
        <v>20</v>
      </c>
      <c r="K678" s="191" t="s">
        <v>21</v>
      </c>
      <c r="L678" s="191" t="s">
        <v>27</v>
      </c>
      <c r="M678" s="214">
        <v>30000000</v>
      </c>
      <c r="N678" s="196" t="s">
        <v>28</v>
      </c>
      <c r="O678" s="196" t="s">
        <v>29</v>
      </c>
      <c r="P678" s="194" t="s">
        <v>24</v>
      </c>
      <c r="Q678" s="155"/>
    </row>
    <row r="679" spans="1:17" ht="60" x14ac:dyDescent="0.3">
      <c r="A679" s="2">
        <v>2023675</v>
      </c>
      <c r="B679" s="2">
        <v>7655</v>
      </c>
      <c r="C679" s="3" t="s">
        <v>25</v>
      </c>
      <c r="D679" s="191" t="s">
        <v>18</v>
      </c>
      <c r="E679" s="196">
        <v>80111600</v>
      </c>
      <c r="F679" s="194" t="s">
        <v>565</v>
      </c>
      <c r="G679" s="193">
        <v>45078</v>
      </c>
      <c r="H679" s="193">
        <v>45092</v>
      </c>
      <c r="I679" s="206">
        <v>6</v>
      </c>
      <c r="J679" s="191" t="s">
        <v>20</v>
      </c>
      <c r="K679" s="191" t="s">
        <v>21</v>
      </c>
      <c r="L679" s="191" t="s">
        <v>27</v>
      </c>
      <c r="M679" s="214">
        <f>31200000-31200000</f>
        <v>0</v>
      </c>
      <c r="N679" s="196" t="s">
        <v>28</v>
      </c>
      <c r="O679" s="196" t="s">
        <v>29</v>
      </c>
      <c r="P679" s="194" t="s">
        <v>24</v>
      </c>
      <c r="Q679" s="155"/>
    </row>
    <row r="680" spans="1:17" ht="60" x14ac:dyDescent="0.3">
      <c r="A680" s="2">
        <v>2023676</v>
      </c>
      <c r="B680" s="2" t="s">
        <v>17</v>
      </c>
      <c r="C680" s="3" t="s">
        <v>17</v>
      </c>
      <c r="D680" s="191" t="s">
        <v>18</v>
      </c>
      <c r="E680" s="192" t="s">
        <v>566</v>
      </c>
      <c r="F680" s="191" t="s">
        <v>567</v>
      </c>
      <c r="G680" s="193">
        <v>45204</v>
      </c>
      <c r="H680" s="193">
        <v>45222</v>
      </c>
      <c r="I680" s="191">
        <v>2</v>
      </c>
      <c r="J680" s="191" t="s">
        <v>118</v>
      </c>
      <c r="K680" s="195" t="s">
        <v>21</v>
      </c>
      <c r="L680" s="191" t="s">
        <v>72</v>
      </c>
      <c r="M680" s="188">
        <f>4103000+3209200</f>
        <v>7312200</v>
      </c>
      <c r="N680" s="192" t="s">
        <v>23</v>
      </c>
      <c r="O680" s="192" t="s">
        <v>23</v>
      </c>
      <c r="P680" s="194" t="s">
        <v>24</v>
      </c>
      <c r="Q680" s="155"/>
    </row>
    <row r="681" spans="1:17" ht="75" x14ac:dyDescent="0.3">
      <c r="A681" s="2">
        <v>2023677</v>
      </c>
      <c r="B681" s="2">
        <v>7637</v>
      </c>
      <c r="C681" s="3" t="s">
        <v>73</v>
      </c>
      <c r="D681" s="191" t="s">
        <v>18</v>
      </c>
      <c r="E681" s="196">
        <v>80111600</v>
      </c>
      <c r="F681" s="191" t="s">
        <v>568</v>
      </c>
      <c r="G681" s="193">
        <v>45078</v>
      </c>
      <c r="H681" s="193">
        <v>45092</v>
      </c>
      <c r="I681" s="191">
        <v>7</v>
      </c>
      <c r="J681" s="191" t="s">
        <v>20</v>
      </c>
      <c r="K681" s="195" t="s">
        <v>21</v>
      </c>
      <c r="L681" s="191" t="s">
        <v>27</v>
      </c>
      <c r="M681" s="188">
        <v>52500000</v>
      </c>
      <c r="N681" s="196" t="s">
        <v>75</v>
      </c>
      <c r="O681" s="196" t="s">
        <v>76</v>
      </c>
      <c r="P681" s="196" t="s">
        <v>24</v>
      </c>
      <c r="Q681" s="155"/>
    </row>
    <row r="682" spans="1:17" ht="75" x14ac:dyDescent="0.3">
      <c r="A682" s="2">
        <v>2023678</v>
      </c>
      <c r="B682" s="2">
        <v>7637</v>
      </c>
      <c r="C682" s="3" t="s">
        <v>73</v>
      </c>
      <c r="D682" s="191" t="s">
        <v>18</v>
      </c>
      <c r="E682" s="192">
        <v>80111600</v>
      </c>
      <c r="F682" s="191" t="s">
        <v>569</v>
      </c>
      <c r="G682" s="193">
        <v>45078</v>
      </c>
      <c r="H682" s="193">
        <v>45092</v>
      </c>
      <c r="I682" s="191">
        <v>6</v>
      </c>
      <c r="J682" s="191" t="s">
        <v>20</v>
      </c>
      <c r="K682" s="195" t="s">
        <v>21</v>
      </c>
      <c r="L682" s="191" t="s">
        <v>27</v>
      </c>
      <c r="M682" s="188">
        <v>39000000</v>
      </c>
      <c r="N682" s="192" t="s">
        <v>75</v>
      </c>
      <c r="O682" s="192" t="s">
        <v>76</v>
      </c>
      <c r="P682" s="192" t="s">
        <v>24</v>
      </c>
      <c r="Q682" s="155"/>
    </row>
    <row r="683" spans="1:17" ht="75" x14ac:dyDescent="0.3">
      <c r="A683" s="2">
        <v>2023679</v>
      </c>
      <c r="B683" s="2">
        <v>7658</v>
      </c>
      <c r="C683" s="118" t="s">
        <v>142</v>
      </c>
      <c r="D683" s="191" t="s">
        <v>281</v>
      </c>
      <c r="E683" s="196">
        <v>80111600</v>
      </c>
      <c r="F683" s="191" t="s">
        <v>300</v>
      </c>
      <c r="G683" s="193">
        <v>45092</v>
      </c>
      <c r="H683" s="212">
        <v>45091</v>
      </c>
      <c r="I683" s="191">
        <v>8</v>
      </c>
      <c r="J683" s="191" t="s">
        <v>20</v>
      </c>
      <c r="K683" s="195" t="s">
        <v>21</v>
      </c>
      <c r="L683" s="191" t="s">
        <v>27</v>
      </c>
      <c r="M683" s="188">
        <v>29600000</v>
      </c>
      <c r="N683" s="196" t="s">
        <v>285</v>
      </c>
      <c r="O683" s="196" t="s">
        <v>286</v>
      </c>
      <c r="P683" s="192" t="s">
        <v>24</v>
      </c>
      <c r="Q683" s="155"/>
    </row>
    <row r="684" spans="1:17" ht="75" x14ac:dyDescent="0.3">
      <c r="A684" s="2">
        <v>2023680</v>
      </c>
      <c r="B684" s="2">
        <v>7658</v>
      </c>
      <c r="C684" s="118" t="s">
        <v>142</v>
      </c>
      <c r="D684" s="191" t="s">
        <v>281</v>
      </c>
      <c r="E684" s="196">
        <v>80111600</v>
      </c>
      <c r="F684" s="191" t="s">
        <v>308</v>
      </c>
      <c r="G684" s="193">
        <v>45100</v>
      </c>
      <c r="H684" s="212">
        <v>45099</v>
      </c>
      <c r="I684" s="191">
        <v>6</v>
      </c>
      <c r="J684" s="191" t="s">
        <v>20</v>
      </c>
      <c r="K684" s="195" t="s">
        <v>21</v>
      </c>
      <c r="L684" s="191" t="s">
        <v>27</v>
      </c>
      <c r="M684" s="188">
        <v>27000000</v>
      </c>
      <c r="N684" s="196" t="s">
        <v>285</v>
      </c>
      <c r="O684" s="196" t="s">
        <v>286</v>
      </c>
      <c r="P684" s="192" t="s">
        <v>24</v>
      </c>
      <c r="Q684" s="155"/>
    </row>
    <row r="685" spans="1:17" ht="75" x14ac:dyDescent="0.3">
      <c r="A685" s="2">
        <v>2023681</v>
      </c>
      <c r="B685" s="2">
        <v>7658</v>
      </c>
      <c r="C685" s="118" t="s">
        <v>142</v>
      </c>
      <c r="D685" s="191" t="s">
        <v>281</v>
      </c>
      <c r="E685" s="196">
        <v>80111600</v>
      </c>
      <c r="F685" s="191" t="s">
        <v>318</v>
      </c>
      <c r="G685" s="193">
        <v>45069</v>
      </c>
      <c r="H685" s="212">
        <v>45068</v>
      </c>
      <c r="I685" s="191">
        <v>8</v>
      </c>
      <c r="J685" s="191" t="s">
        <v>20</v>
      </c>
      <c r="K685" s="195" t="s">
        <v>21</v>
      </c>
      <c r="L685" s="191" t="s">
        <v>27</v>
      </c>
      <c r="M685" s="188">
        <v>40000000</v>
      </c>
      <c r="N685" s="196" t="s">
        <v>285</v>
      </c>
      <c r="O685" s="196" t="s">
        <v>286</v>
      </c>
      <c r="P685" s="192" t="s">
        <v>24</v>
      </c>
      <c r="Q685" s="155"/>
    </row>
    <row r="686" spans="1:17" ht="75" x14ac:dyDescent="0.3">
      <c r="A686" s="2">
        <v>2023682</v>
      </c>
      <c r="B686" s="2">
        <v>7658</v>
      </c>
      <c r="C686" s="118" t="s">
        <v>142</v>
      </c>
      <c r="D686" s="191" t="s">
        <v>281</v>
      </c>
      <c r="E686" s="196">
        <v>80111600</v>
      </c>
      <c r="F686" s="191" t="s">
        <v>298</v>
      </c>
      <c r="G686" s="193">
        <v>45253</v>
      </c>
      <c r="H686" s="212">
        <v>45258</v>
      </c>
      <c r="I686" s="191">
        <v>1</v>
      </c>
      <c r="J686" s="191" t="s">
        <v>20</v>
      </c>
      <c r="K686" s="195" t="s">
        <v>21</v>
      </c>
      <c r="L686" s="191" t="s">
        <v>27</v>
      </c>
      <c r="M686" s="188">
        <f>9000000-9000000</f>
        <v>0</v>
      </c>
      <c r="N686" s="196" t="s">
        <v>285</v>
      </c>
      <c r="O686" s="196" t="s">
        <v>286</v>
      </c>
      <c r="P686" s="192" t="s">
        <v>24</v>
      </c>
      <c r="Q686" s="155"/>
    </row>
    <row r="687" spans="1:17" ht="75" x14ac:dyDescent="0.3">
      <c r="A687" s="4">
        <v>2023683</v>
      </c>
      <c r="B687" s="2">
        <v>7658</v>
      </c>
      <c r="C687" s="118" t="s">
        <v>142</v>
      </c>
      <c r="D687" s="191" t="s">
        <v>281</v>
      </c>
      <c r="E687" s="196">
        <v>80111600</v>
      </c>
      <c r="F687" s="191" t="s">
        <v>570</v>
      </c>
      <c r="G687" s="193">
        <v>45281</v>
      </c>
      <c r="H687" s="212">
        <v>45280</v>
      </c>
      <c r="I687" s="191">
        <v>1</v>
      </c>
      <c r="J687" s="191" t="s">
        <v>20</v>
      </c>
      <c r="K687" s="195" t="s">
        <v>21</v>
      </c>
      <c r="L687" s="191" t="s">
        <v>27</v>
      </c>
      <c r="M687" s="188">
        <v>4850000</v>
      </c>
      <c r="N687" s="196" t="s">
        <v>285</v>
      </c>
      <c r="O687" s="196" t="s">
        <v>286</v>
      </c>
      <c r="P687" s="192" t="s">
        <v>364</v>
      </c>
    </row>
    <row r="688" spans="1:17" ht="75" x14ac:dyDescent="0.3">
      <c r="A688" s="4">
        <v>2023684</v>
      </c>
      <c r="B688" s="2">
        <v>7658</v>
      </c>
      <c r="C688" s="118" t="s">
        <v>142</v>
      </c>
      <c r="D688" s="191" t="s">
        <v>281</v>
      </c>
      <c r="E688" s="196">
        <v>80111600</v>
      </c>
      <c r="F688" s="191" t="s">
        <v>571</v>
      </c>
      <c r="G688" s="193">
        <v>45280</v>
      </c>
      <c r="H688" s="212">
        <v>45279</v>
      </c>
      <c r="I688" s="191">
        <v>1</v>
      </c>
      <c r="J688" s="191" t="s">
        <v>20</v>
      </c>
      <c r="K688" s="195" t="s">
        <v>21</v>
      </c>
      <c r="L688" s="191" t="s">
        <v>27</v>
      </c>
      <c r="M688" s="188">
        <v>3350000</v>
      </c>
      <c r="N688" s="196" t="s">
        <v>285</v>
      </c>
      <c r="O688" s="196" t="s">
        <v>286</v>
      </c>
      <c r="P688" s="192" t="s">
        <v>364</v>
      </c>
    </row>
    <row r="689" spans="1:16" ht="90" x14ac:dyDescent="0.3">
      <c r="A689" s="4">
        <v>2023685</v>
      </c>
      <c r="B689" s="2">
        <v>7658</v>
      </c>
      <c r="C689" s="118" t="s">
        <v>142</v>
      </c>
      <c r="D689" s="191" t="s">
        <v>221</v>
      </c>
      <c r="E689" s="196">
        <v>80111600</v>
      </c>
      <c r="F689" s="191" t="s">
        <v>572</v>
      </c>
      <c r="G689" s="193">
        <v>45076</v>
      </c>
      <c r="H689" s="212">
        <v>45078</v>
      </c>
      <c r="I689" s="191">
        <v>6</v>
      </c>
      <c r="J689" s="191" t="s">
        <v>20</v>
      </c>
      <c r="K689" s="195" t="s">
        <v>21</v>
      </c>
      <c r="L689" s="191" t="s">
        <v>27</v>
      </c>
      <c r="M689" s="188">
        <f>26950000+27050000</f>
        <v>54000000</v>
      </c>
      <c r="N689" s="196" t="s">
        <v>224</v>
      </c>
      <c r="O689" s="196" t="s">
        <v>163</v>
      </c>
      <c r="P689" s="192" t="s">
        <v>24</v>
      </c>
    </row>
    <row r="690" spans="1:16" ht="120" x14ac:dyDescent="0.3">
      <c r="A690" s="4">
        <v>2023686</v>
      </c>
      <c r="B690" s="2">
        <v>7658</v>
      </c>
      <c r="C690" s="118" t="s">
        <v>142</v>
      </c>
      <c r="D690" s="191" t="s">
        <v>221</v>
      </c>
      <c r="E690" s="196">
        <v>80111600</v>
      </c>
      <c r="F690" s="191" t="s">
        <v>573</v>
      </c>
      <c r="G690" s="193">
        <v>45061</v>
      </c>
      <c r="H690" s="212">
        <v>45072</v>
      </c>
      <c r="I690" s="191">
        <v>2</v>
      </c>
      <c r="J690" s="191" t="s">
        <v>159</v>
      </c>
      <c r="K690" s="195" t="s">
        <v>21</v>
      </c>
      <c r="L690" s="191" t="s">
        <v>223</v>
      </c>
      <c r="M690" s="188">
        <v>100000000</v>
      </c>
      <c r="N690" s="196" t="s">
        <v>224</v>
      </c>
      <c r="O690" s="196" t="s">
        <v>163</v>
      </c>
      <c r="P690" s="192" t="s">
        <v>364</v>
      </c>
    </row>
    <row r="691" spans="1:16" ht="75" x14ac:dyDescent="0.3">
      <c r="A691" s="4">
        <v>2023687</v>
      </c>
      <c r="B691" s="2">
        <v>7658</v>
      </c>
      <c r="C691" s="118" t="s">
        <v>142</v>
      </c>
      <c r="D691" s="191" t="s">
        <v>281</v>
      </c>
      <c r="E691" s="196">
        <v>80111600</v>
      </c>
      <c r="F691" s="191" t="s">
        <v>315</v>
      </c>
      <c r="G691" s="193">
        <v>45089</v>
      </c>
      <c r="H691" s="212">
        <v>45088</v>
      </c>
      <c r="I691" s="191">
        <v>5</v>
      </c>
      <c r="J691" s="191" t="s">
        <v>20</v>
      </c>
      <c r="K691" s="195" t="s">
        <v>21</v>
      </c>
      <c r="L691" s="191" t="s">
        <v>27</v>
      </c>
      <c r="M691" s="188">
        <v>22500000</v>
      </c>
      <c r="N691" s="196" t="s">
        <v>285</v>
      </c>
      <c r="O691" s="196" t="s">
        <v>286</v>
      </c>
      <c r="P691" s="192" t="s">
        <v>24</v>
      </c>
    </row>
    <row r="692" spans="1:16" ht="75" x14ac:dyDescent="0.3">
      <c r="A692" s="4">
        <v>2023688</v>
      </c>
      <c r="B692" s="2" t="s">
        <v>17</v>
      </c>
      <c r="C692" s="118" t="s">
        <v>17</v>
      </c>
      <c r="D692" s="191" t="s">
        <v>319</v>
      </c>
      <c r="E692" s="196">
        <v>80111600</v>
      </c>
      <c r="F692" s="191" t="s">
        <v>429</v>
      </c>
      <c r="G692" s="193">
        <v>45078</v>
      </c>
      <c r="H692" s="212">
        <v>45087</v>
      </c>
      <c r="I692" s="191">
        <v>7</v>
      </c>
      <c r="J692" s="191" t="s">
        <v>20</v>
      </c>
      <c r="K692" s="195" t="s">
        <v>21</v>
      </c>
      <c r="L692" s="191" t="s">
        <v>23</v>
      </c>
      <c r="M692" s="188">
        <f>((6000000*6)-9870000)+15870000</f>
        <v>42000000</v>
      </c>
      <c r="N692" s="196" t="s">
        <v>23</v>
      </c>
      <c r="O692" s="196" t="s">
        <v>23</v>
      </c>
      <c r="P692" s="192" t="s">
        <v>24</v>
      </c>
    </row>
    <row r="693" spans="1:16" ht="60" x14ac:dyDescent="0.3">
      <c r="A693" s="4">
        <v>2023690</v>
      </c>
      <c r="B693" s="2">
        <v>7655</v>
      </c>
      <c r="C693" s="3" t="s">
        <v>25</v>
      </c>
      <c r="D693" s="191" t="s">
        <v>18</v>
      </c>
      <c r="E693" s="196">
        <v>80111600</v>
      </c>
      <c r="F693" s="191" t="s">
        <v>30</v>
      </c>
      <c r="G693" s="193">
        <v>45078</v>
      </c>
      <c r="H693" s="193">
        <v>45092</v>
      </c>
      <c r="I693" s="191">
        <v>4</v>
      </c>
      <c r="J693" s="191" t="s">
        <v>20</v>
      </c>
      <c r="K693" s="195" t="s">
        <v>21</v>
      </c>
      <c r="L693" s="191" t="s">
        <v>27</v>
      </c>
      <c r="M693" s="214">
        <f>18900000+6100000-12600000+1000000-1000000-1161227</f>
        <v>11238773</v>
      </c>
      <c r="N693" s="196" t="s">
        <v>28</v>
      </c>
      <c r="O693" s="196" t="s">
        <v>29</v>
      </c>
      <c r="P693" s="196" t="s">
        <v>24</v>
      </c>
    </row>
    <row r="694" spans="1:16" ht="45" x14ac:dyDescent="0.3">
      <c r="A694" s="4">
        <v>2023691</v>
      </c>
      <c r="B694" s="2" t="s">
        <v>17</v>
      </c>
      <c r="C694" s="3" t="s">
        <v>17</v>
      </c>
      <c r="D694" s="191" t="s">
        <v>18</v>
      </c>
      <c r="E694" s="196">
        <v>80111600</v>
      </c>
      <c r="F694" s="191" t="s">
        <v>31</v>
      </c>
      <c r="G694" s="193">
        <v>45078</v>
      </c>
      <c r="H694" s="193">
        <v>45092</v>
      </c>
      <c r="I694" s="191">
        <v>6</v>
      </c>
      <c r="J694" s="191" t="s">
        <v>20</v>
      </c>
      <c r="K694" s="195" t="s">
        <v>21</v>
      </c>
      <c r="L694" s="191" t="s">
        <v>32</v>
      </c>
      <c r="M694" s="188">
        <v>19800000</v>
      </c>
      <c r="N694" s="196" t="s">
        <v>23</v>
      </c>
      <c r="O694" s="196" t="s">
        <v>23</v>
      </c>
      <c r="P694" s="196" t="s">
        <v>24</v>
      </c>
    </row>
    <row r="695" spans="1:16" ht="90" x14ac:dyDescent="0.3">
      <c r="A695" s="4">
        <v>2023692</v>
      </c>
      <c r="B695" s="2">
        <v>7658</v>
      </c>
      <c r="C695" s="118" t="s">
        <v>142</v>
      </c>
      <c r="D695" s="191" t="s">
        <v>45</v>
      </c>
      <c r="E695" s="196">
        <v>80111600</v>
      </c>
      <c r="F695" s="191" t="s">
        <v>574</v>
      </c>
      <c r="G695" s="193">
        <v>45078</v>
      </c>
      <c r="H695" s="193">
        <v>45092</v>
      </c>
      <c r="I695" s="191">
        <v>8</v>
      </c>
      <c r="J695" s="191" t="s">
        <v>20</v>
      </c>
      <c r="K695" s="195" t="s">
        <v>21</v>
      </c>
      <c r="L695" s="191" t="s">
        <v>27</v>
      </c>
      <c r="M695" s="188">
        <f>4800000*7</f>
        <v>33600000</v>
      </c>
      <c r="N695" s="191" t="s">
        <v>166</v>
      </c>
      <c r="O695" s="191" t="s">
        <v>163</v>
      </c>
      <c r="P695" s="196" t="s">
        <v>24</v>
      </c>
    </row>
    <row r="696" spans="1:16" ht="90" x14ac:dyDescent="0.3">
      <c r="A696" s="161">
        <v>2023693</v>
      </c>
      <c r="B696" s="2">
        <v>7658</v>
      </c>
      <c r="C696" s="118" t="s">
        <v>142</v>
      </c>
      <c r="D696" s="191" t="s">
        <v>45</v>
      </c>
      <c r="E696" s="196">
        <v>80111600</v>
      </c>
      <c r="F696" s="191" t="s">
        <v>175</v>
      </c>
      <c r="G696" s="193">
        <v>45078</v>
      </c>
      <c r="H696" s="193">
        <v>45092</v>
      </c>
      <c r="I696" s="191">
        <v>8</v>
      </c>
      <c r="J696" s="191" t="s">
        <v>20</v>
      </c>
      <c r="K696" s="195" t="s">
        <v>21</v>
      </c>
      <c r="L696" s="191" t="s">
        <v>27</v>
      </c>
      <c r="M696" s="188">
        <f>2450000*7</f>
        <v>17150000</v>
      </c>
      <c r="N696" s="191" t="s">
        <v>166</v>
      </c>
      <c r="O696" s="191" t="s">
        <v>163</v>
      </c>
      <c r="P696" s="199" t="s">
        <v>24</v>
      </c>
    </row>
    <row r="697" spans="1:16" ht="75" x14ac:dyDescent="0.3">
      <c r="A697" s="2">
        <v>2023694</v>
      </c>
      <c r="B697" s="2" t="s">
        <v>17</v>
      </c>
      <c r="C697" s="118" t="s">
        <v>17</v>
      </c>
      <c r="D697" s="191" t="s">
        <v>319</v>
      </c>
      <c r="E697" s="196" t="s">
        <v>400</v>
      </c>
      <c r="F697" s="191" t="s">
        <v>399</v>
      </c>
      <c r="G697" s="193">
        <v>44942</v>
      </c>
      <c r="H697" s="193">
        <v>45066</v>
      </c>
      <c r="I697" s="191">
        <v>1</v>
      </c>
      <c r="J697" s="191" t="s">
        <v>159</v>
      </c>
      <c r="K697" s="195" t="s">
        <v>21</v>
      </c>
      <c r="L697" s="191" t="s">
        <v>23</v>
      </c>
      <c r="M697" s="188">
        <v>5139234</v>
      </c>
      <c r="N697" s="196" t="s">
        <v>23</v>
      </c>
      <c r="O697" s="196" t="s">
        <v>23</v>
      </c>
      <c r="P697" s="192" t="s">
        <v>364</v>
      </c>
    </row>
    <row r="698" spans="1:16" ht="60" x14ac:dyDescent="0.3">
      <c r="A698" s="4">
        <v>2023695</v>
      </c>
      <c r="B698" s="2" t="s">
        <v>17</v>
      </c>
      <c r="C698" s="118" t="s">
        <v>17</v>
      </c>
      <c r="D698" s="191" t="s">
        <v>125</v>
      </c>
      <c r="E698" s="196">
        <v>80111600</v>
      </c>
      <c r="F698" s="191" t="s">
        <v>575</v>
      </c>
      <c r="G698" s="193">
        <v>45066</v>
      </c>
      <c r="H698" s="193">
        <v>45068</v>
      </c>
      <c r="I698" s="191">
        <v>5</v>
      </c>
      <c r="J698" s="191" t="s">
        <v>20</v>
      </c>
      <c r="K698" s="195" t="s">
        <v>21</v>
      </c>
      <c r="L698" s="191" t="s">
        <v>23</v>
      </c>
      <c r="M698" s="188">
        <v>19000000</v>
      </c>
      <c r="N698" s="196" t="s">
        <v>23</v>
      </c>
      <c r="O698" s="196" t="s">
        <v>23</v>
      </c>
      <c r="P698" s="192" t="s">
        <v>364</v>
      </c>
    </row>
    <row r="699" spans="1:16" ht="75" x14ac:dyDescent="0.3">
      <c r="A699" s="161">
        <v>2023696</v>
      </c>
      <c r="B699" s="120">
        <v>7658</v>
      </c>
      <c r="C699" s="156" t="s">
        <v>142</v>
      </c>
      <c r="D699" s="200" t="s">
        <v>125</v>
      </c>
      <c r="E699" s="199">
        <v>80111600</v>
      </c>
      <c r="F699" s="200" t="s">
        <v>146</v>
      </c>
      <c r="G699" s="202">
        <v>45097</v>
      </c>
      <c r="H699" s="202">
        <v>45099</v>
      </c>
      <c r="I699" s="200">
        <v>5</v>
      </c>
      <c r="J699" s="200" t="s">
        <v>20</v>
      </c>
      <c r="K699" s="203" t="s">
        <v>21</v>
      </c>
      <c r="L699" s="200" t="s">
        <v>27</v>
      </c>
      <c r="M699" s="189">
        <v>30000000</v>
      </c>
      <c r="N699" s="199" t="s">
        <v>144</v>
      </c>
      <c r="O699" s="199" t="s">
        <v>145</v>
      </c>
      <c r="P699" s="192" t="s">
        <v>24</v>
      </c>
    </row>
    <row r="700" spans="1:16" ht="75" x14ac:dyDescent="0.3">
      <c r="A700" s="161">
        <v>2023698</v>
      </c>
      <c r="B700" s="2">
        <v>7658</v>
      </c>
      <c r="C700" s="118" t="s">
        <v>142</v>
      </c>
      <c r="D700" s="191" t="s">
        <v>125</v>
      </c>
      <c r="E700" s="196">
        <v>80111600</v>
      </c>
      <c r="F700" s="191" t="s">
        <v>131</v>
      </c>
      <c r="G700" s="193">
        <v>45066</v>
      </c>
      <c r="H700" s="193">
        <v>45068</v>
      </c>
      <c r="I700" s="191">
        <v>5</v>
      </c>
      <c r="J700" s="191" t="s">
        <v>20</v>
      </c>
      <c r="K700" s="195" t="s">
        <v>21</v>
      </c>
      <c r="L700" s="191" t="s">
        <v>27</v>
      </c>
      <c r="M700" s="188">
        <v>16560000</v>
      </c>
      <c r="N700" s="196" t="s">
        <v>144</v>
      </c>
      <c r="O700" s="196" t="s">
        <v>145</v>
      </c>
      <c r="P700" s="201" t="s">
        <v>24</v>
      </c>
    </row>
    <row r="701" spans="1:16" ht="75" x14ac:dyDescent="0.3">
      <c r="A701" s="161">
        <v>2023699</v>
      </c>
      <c r="B701" s="2">
        <v>7658</v>
      </c>
      <c r="C701" s="118" t="s">
        <v>142</v>
      </c>
      <c r="D701" s="191" t="s">
        <v>125</v>
      </c>
      <c r="E701" s="196">
        <v>80111600</v>
      </c>
      <c r="F701" s="191" t="s">
        <v>132</v>
      </c>
      <c r="G701" s="193">
        <v>45066</v>
      </c>
      <c r="H701" s="193">
        <v>45068</v>
      </c>
      <c r="I701" s="191">
        <v>6</v>
      </c>
      <c r="J701" s="191" t="s">
        <v>20</v>
      </c>
      <c r="K701" s="195" t="s">
        <v>21</v>
      </c>
      <c r="L701" s="191" t="s">
        <v>27</v>
      </c>
      <c r="M701" s="188">
        <v>31311500</v>
      </c>
      <c r="N701" s="196" t="s">
        <v>144</v>
      </c>
      <c r="O701" s="196" t="s">
        <v>145</v>
      </c>
      <c r="P701" s="201" t="s">
        <v>24</v>
      </c>
    </row>
    <row r="702" spans="1:16" ht="75" x14ac:dyDescent="0.3">
      <c r="A702" s="161">
        <v>2023701</v>
      </c>
      <c r="B702" s="2">
        <v>7658</v>
      </c>
      <c r="C702" s="118" t="s">
        <v>142</v>
      </c>
      <c r="D702" s="191" t="s">
        <v>125</v>
      </c>
      <c r="E702" s="196">
        <v>80111600</v>
      </c>
      <c r="F702" s="191" t="s">
        <v>137</v>
      </c>
      <c r="G702" s="193">
        <v>45066</v>
      </c>
      <c r="H702" s="193">
        <v>45068</v>
      </c>
      <c r="I702" s="191">
        <v>4</v>
      </c>
      <c r="J702" s="191" t="s">
        <v>20</v>
      </c>
      <c r="K702" s="195" t="s">
        <v>21</v>
      </c>
      <c r="L702" s="191" t="s">
        <v>27</v>
      </c>
      <c r="M702" s="188">
        <v>20700000</v>
      </c>
      <c r="N702" s="196" t="s">
        <v>144</v>
      </c>
      <c r="O702" s="196" t="s">
        <v>145</v>
      </c>
      <c r="P702" s="201" t="s">
        <v>24</v>
      </c>
    </row>
    <row r="703" spans="1:16" ht="75" x14ac:dyDescent="0.3">
      <c r="A703" s="161">
        <v>2023704</v>
      </c>
      <c r="B703" s="2">
        <v>7637</v>
      </c>
      <c r="C703" s="3" t="s">
        <v>73</v>
      </c>
      <c r="D703" s="196" t="s">
        <v>18</v>
      </c>
      <c r="E703" s="192">
        <v>80111600</v>
      </c>
      <c r="F703" s="192" t="s">
        <v>577</v>
      </c>
      <c r="G703" s="193">
        <v>45110</v>
      </c>
      <c r="H703" s="193">
        <v>45124</v>
      </c>
      <c r="I703" s="191">
        <v>2</v>
      </c>
      <c r="J703" s="191" t="s">
        <v>20</v>
      </c>
      <c r="K703" s="195" t="s">
        <v>21</v>
      </c>
      <c r="L703" s="191" t="s">
        <v>27</v>
      </c>
      <c r="M703" s="188">
        <f>6300000+5700000</f>
        <v>12000000</v>
      </c>
      <c r="N703" s="192" t="s">
        <v>94</v>
      </c>
      <c r="O703" s="192" t="s">
        <v>76</v>
      </c>
      <c r="P703" s="201" t="s">
        <v>24</v>
      </c>
    </row>
    <row r="704" spans="1:16" ht="75" x14ac:dyDescent="0.3">
      <c r="A704" s="161">
        <v>2023705</v>
      </c>
      <c r="B704" s="2">
        <v>7637</v>
      </c>
      <c r="C704" s="3" t="s">
        <v>73</v>
      </c>
      <c r="D704" s="196" t="s">
        <v>18</v>
      </c>
      <c r="E704" s="192">
        <v>80111600</v>
      </c>
      <c r="F704" s="192" t="s">
        <v>578</v>
      </c>
      <c r="G704" s="193">
        <v>45078</v>
      </c>
      <c r="H704" s="193">
        <v>45092</v>
      </c>
      <c r="I704" s="191">
        <v>5</v>
      </c>
      <c r="J704" s="191" t="s">
        <v>20</v>
      </c>
      <c r="K704" s="195" t="s">
        <v>21</v>
      </c>
      <c r="L704" s="191" t="s">
        <v>27</v>
      </c>
      <c r="M704" s="188">
        <v>21500000</v>
      </c>
      <c r="N704" s="192" t="s">
        <v>75</v>
      </c>
      <c r="O704" s="192" t="s">
        <v>76</v>
      </c>
      <c r="P704" s="201" t="s">
        <v>24</v>
      </c>
    </row>
    <row r="705" spans="1:16" ht="60" x14ac:dyDescent="0.3">
      <c r="A705" s="161">
        <v>2023706</v>
      </c>
      <c r="B705" s="2">
        <v>7655</v>
      </c>
      <c r="C705" s="3" t="s">
        <v>25</v>
      </c>
      <c r="D705" s="196" t="s">
        <v>125</v>
      </c>
      <c r="E705" s="192">
        <v>80111600</v>
      </c>
      <c r="F705" s="192" t="s">
        <v>126</v>
      </c>
      <c r="G705" s="193">
        <v>45069</v>
      </c>
      <c r="H705" s="193">
        <v>45072</v>
      </c>
      <c r="I705" s="191">
        <v>6</v>
      </c>
      <c r="J705" s="191" t="s">
        <v>20</v>
      </c>
      <c r="K705" s="195" t="s">
        <v>21</v>
      </c>
      <c r="L705" s="191" t="s">
        <v>27</v>
      </c>
      <c r="M705" s="214">
        <v>18216000</v>
      </c>
      <c r="N705" s="192" t="s">
        <v>28</v>
      </c>
      <c r="O705" s="192" t="s">
        <v>29</v>
      </c>
      <c r="P705" s="201" t="s">
        <v>24</v>
      </c>
    </row>
    <row r="706" spans="1:16" ht="90" x14ac:dyDescent="0.3">
      <c r="A706" s="161">
        <v>2023707</v>
      </c>
      <c r="B706" s="2">
        <v>7655</v>
      </c>
      <c r="C706" s="3" t="s">
        <v>25</v>
      </c>
      <c r="D706" s="196" t="s">
        <v>125</v>
      </c>
      <c r="E706" s="192">
        <v>80111600</v>
      </c>
      <c r="F706" s="192" t="s">
        <v>579</v>
      </c>
      <c r="G706" s="193">
        <v>45069</v>
      </c>
      <c r="H706" s="193">
        <v>45072</v>
      </c>
      <c r="I706" s="191">
        <v>5</v>
      </c>
      <c r="J706" s="191" t="s">
        <v>20</v>
      </c>
      <c r="K706" s="195" t="s">
        <v>21</v>
      </c>
      <c r="L706" s="191" t="s">
        <v>27</v>
      </c>
      <c r="M706" s="214">
        <v>21735000</v>
      </c>
      <c r="N706" s="192" t="s">
        <v>28</v>
      </c>
      <c r="O706" s="192" t="s">
        <v>29</v>
      </c>
      <c r="P706" s="201" t="s">
        <v>24</v>
      </c>
    </row>
    <row r="707" spans="1:16" ht="60" x14ac:dyDescent="0.3">
      <c r="A707" s="161">
        <v>2023708</v>
      </c>
      <c r="B707" s="2">
        <v>7655</v>
      </c>
      <c r="C707" s="3" t="s">
        <v>25</v>
      </c>
      <c r="D707" s="196" t="s">
        <v>125</v>
      </c>
      <c r="E707" s="192">
        <v>80111600</v>
      </c>
      <c r="F707" s="192" t="s">
        <v>127</v>
      </c>
      <c r="G707" s="193">
        <v>45069</v>
      </c>
      <c r="H707" s="193">
        <v>45072</v>
      </c>
      <c r="I707" s="191">
        <v>5</v>
      </c>
      <c r="J707" s="191" t="s">
        <v>20</v>
      </c>
      <c r="K707" s="195" t="s">
        <v>21</v>
      </c>
      <c r="L707" s="191" t="s">
        <v>27</v>
      </c>
      <c r="M707" s="214">
        <v>21735000</v>
      </c>
      <c r="N707" s="192" t="s">
        <v>28</v>
      </c>
      <c r="O707" s="192" t="s">
        <v>29</v>
      </c>
      <c r="P707" s="201" t="s">
        <v>24</v>
      </c>
    </row>
    <row r="708" spans="1:16" ht="60" x14ac:dyDescent="0.3">
      <c r="A708" s="161">
        <v>2023709</v>
      </c>
      <c r="B708" s="2">
        <v>7655</v>
      </c>
      <c r="C708" s="3" t="s">
        <v>25</v>
      </c>
      <c r="D708" s="196" t="s">
        <v>125</v>
      </c>
      <c r="E708" s="192">
        <v>80111600</v>
      </c>
      <c r="F708" s="192" t="s">
        <v>129</v>
      </c>
      <c r="G708" s="193">
        <v>45069</v>
      </c>
      <c r="H708" s="193">
        <v>45072</v>
      </c>
      <c r="I708" s="191">
        <v>5</v>
      </c>
      <c r="J708" s="191" t="s">
        <v>20</v>
      </c>
      <c r="K708" s="195" t="s">
        <v>21</v>
      </c>
      <c r="L708" s="191" t="s">
        <v>27</v>
      </c>
      <c r="M708" s="214">
        <v>19925000</v>
      </c>
      <c r="N708" s="192" t="s">
        <v>28</v>
      </c>
      <c r="O708" s="192" t="s">
        <v>29</v>
      </c>
      <c r="P708" s="201" t="s">
        <v>24</v>
      </c>
    </row>
    <row r="709" spans="1:16" ht="60" x14ac:dyDescent="0.3">
      <c r="A709" s="4">
        <v>2023710</v>
      </c>
      <c r="B709" s="2">
        <v>7655</v>
      </c>
      <c r="C709" s="3" t="s">
        <v>25</v>
      </c>
      <c r="D709" s="196" t="s">
        <v>125</v>
      </c>
      <c r="E709" s="192">
        <v>80111600</v>
      </c>
      <c r="F709" s="192" t="s">
        <v>138</v>
      </c>
      <c r="G709" s="193">
        <v>45069</v>
      </c>
      <c r="H709" s="193">
        <v>45072</v>
      </c>
      <c r="I709" s="191">
        <v>5</v>
      </c>
      <c r="J709" s="191" t="s">
        <v>20</v>
      </c>
      <c r="K709" s="195" t="s">
        <v>21</v>
      </c>
      <c r="L709" s="191" t="s">
        <v>27</v>
      </c>
      <c r="M709" s="214">
        <v>12375000</v>
      </c>
      <c r="N709" s="192" t="s">
        <v>28</v>
      </c>
      <c r="O709" s="192" t="s">
        <v>29</v>
      </c>
      <c r="P709" s="192" t="s">
        <v>24</v>
      </c>
    </row>
    <row r="710" spans="1:16" ht="60" x14ac:dyDescent="0.3">
      <c r="A710" s="4">
        <v>2023711</v>
      </c>
      <c r="B710" s="2">
        <v>7655</v>
      </c>
      <c r="C710" s="3" t="s">
        <v>25</v>
      </c>
      <c r="D710" s="196" t="s">
        <v>125</v>
      </c>
      <c r="E710" s="192">
        <v>80111600</v>
      </c>
      <c r="F710" s="192" t="s">
        <v>128</v>
      </c>
      <c r="G710" s="193">
        <v>45069</v>
      </c>
      <c r="H710" s="193">
        <v>45072</v>
      </c>
      <c r="I710" s="191">
        <v>5</v>
      </c>
      <c r="J710" s="191" t="s">
        <v>20</v>
      </c>
      <c r="K710" s="195" t="s">
        <v>21</v>
      </c>
      <c r="L710" s="191" t="s">
        <v>27</v>
      </c>
      <c r="M710" s="214">
        <v>22950000</v>
      </c>
      <c r="N710" s="192" t="s">
        <v>28</v>
      </c>
      <c r="O710" s="192" t="s">
        <v>29</v>
      </c>
      <c r="P710" s="192" t="s">
        <v>24</v>
      </c>
    </row>
    <row r="711" spans="1:16" ht="60" x14ac:dyDescent="0.3">
      <c r="A711" s="4">
        <v>2023712</v>
      </c>
      <c r="B711" s="2">
        <v>7655</v>
      </c>
      <c r="C711" s="3" t="s">
        <v>25</v>
      </c>
      <c r="D711" s="196" t="s">
        <v>125</v>
      </c>
      <c r="E711" s="192">
        <v>80111600</v>
      </c>
      <c r="F711" s="192" t="s">
        <v>497</v>
      </c>
      <c r="G711" s="193">
        <v>45069</v>
      </c>
      <c r="H711" s="193">
        <v>45072</v>
      </c>
      <c r="I711" s="191">
        <v>4</v>
      </c>
      <c r="J711" s="191" t="s">
        <v>20</v>
      </c>
      <c r="K711" s="195" t="s">
        <v>21</v>
      </c>
      <c r="L711" s="191" t="s">
        <v>27</v>
      </c>
      <c r="M711" s="214">
        <v>16000000</v>
      </c>
      <c r="N711" s="192" t="s">
        <v>28</v>
      </c>
      <c r="O711" s="192" t="s">
        <v>29</v>
      </c>
      <c r="P711" s="192" t="s">
        <v>24</v>
      </c>
    </row>
    <row r="712" spans="1:16" ht="75" x14ac:dyDescent="0.3">
      <c r="A712" s="4">
        <v>2023713</v>
      </c>
      <c r="B712" s="2">
        <v>7655</v>
      </c>
      <c r="C712" s="3" t="s">
        <v>25</v>
      </c>
      <c r="D712" s="196" t="s">
        <v>125</v>
      </c>
      <c r="E712" s="192">
        <v>80111600</v>
      </c>
      <c r="F712" s="192" t="s">
        <v>580</v>
      </c>
      <c r="G712" s="193">
        <v>45179</v>
      </c>
      <c r="H712" s="193">
        <v>45180</v>
      </c>
      <c r="I712" s="191">
        <v>2</v>
      </c>
      <c r="J712" s="191" t="s">
        <v>20</v>
      </c>
      <c r="K712" s="195" t="s">
        <v>21</v>
      </c>
      <c r="L712" s="191" t="s">
        <v>27</v>
      </c>
      <c r="M712" s="214">
        <f>(4347000*2)-5000000</f>
        <v>3694000</v>
      </c>
      <c r="N712" s="192" t="s">
        <v>28</v>
      </c>
      <c r="O712" s="192" t="s">
        <v>29</v>
      </c>
      <c r="P712" s="192" t="s">
        <v>24</v>
      </c>
    </row>
    <row r="713" spans="1:16" ht="75" x14ac:dyDescent="0.3">
      <c r="A713" s="4">
        <v>2023714</v>
      </c>
      <c r="B713" s="2">
        <v>7658</v>
      </c>
      <c r="C713" s="3" t="s">
        <v>457</v>
      </c>
      <c r="D713" s="196" t="s">
        <v>125</v>
      </c>
      <c r="E713" s="192">
        <v>80111600</v>
      </c>
      <c r="F713" s="192" t="s">
        <v>459</v>
      </c>
      <c r="G713" s="193">
        <v>45069</v>
      </c>
      <c r="H713" s="193">
        <v>45072</v>
      </c>
      <c r="I713" s="191">
        <v>6</v>
      </c>
      <c r="J713" s="191" t="s">
        <v>20</v>
      </c>
      <c r="K713" s="195" t="s">
        <v>21</v>
      </c>
      <c r="L713" s="191" t="s">
        <v>27</v>
      </c>
      <c r="M713" s="188">
        <v>31311500</v>
      </c>
      <c r="N713" s="192" t="s">
        <v>144</v>
      </c>
      <c r="O713" s="192" t="s">
        <v>145</v>
      </c>
      <c r="P713" s="192" t="s">
        <v>24</v>
      </c>
    </row>
    <row r="714" spans="1:16" ht="75" x14ac:dyDescent="0.3">
      <c r="A714" s="4">
        <v>2023715</v>
      </c>
      <c r="B714" s="2">
        <v>7658</v>
      </c>
      <c r="C714" s="3" t="s">
        <v>142</v>
      </c>
      <c r="D714" s="196" t="s">
        <v>125</v>
      </c>
      <c r="E714" s="192">
        <v>80111600</v>
      </c>
      <c r="F714" s="192" t="s">
        <v>143</v>
      </c>
      <c r="G714" s="193">
        <v>45069</v>
      </c>
      <c r="H714" s="193">
        <v>45072</v>
      </c>
      <c r="I714" s="191">
        <v>5</v>
      </c>
      <c r="J714" s="191" t="s">
        <v>20</v>
      </c>
      <c r="K714" s="195" t="s">
        <v>21</v>
      </c>
      <c r="L714" s="191" t="s">
        <v>27</v>
      </c>
      <c r="M714" s="188">
        <v>23287500</v>
      </c>
      <c r="N714" s="192" t="s">
        <v>144</v>
      </c>
      <c r="O714" s="192" t="s">
        <v>145</v>
      </c>
      <c r="P714" s="192" t="s">
        <v>24</v>
      </c>
    </row>
    <row r="715" spans="1:16" ht="75" x14ac:dyDescent="0.3">
      <c r="A715" s="2">
        <v>2023716</v>
      </c>
      <c r="B715" s="2">
        <v>7658</v>
      </c>
      <c r="C715" s="3" t="s">
        <v>142</v>
      </c>
      <c r="D715" s="196" t="s">
        <v>125</v>
      </c>
      <c r="E715" s="192">
        <v>80111600</v>
      </c>
      <c r="F715" s="192" t="s">
        <v>147</v>
      </c>
      <c r="G715" s="193">
        <v>45069</v>
      </c>
      <c r="H715" s="193">
        <v>45072</v>
      </c>
      <c r="I715" s="191">
        <v>5</v>
      </c>
      <c r="J715" s="191" t="s">
        <v>20</v>
      </c>
      <c r="K715" s="195" t="s">
        <v>21</v>
      </c>
      <c r="L715" s="191" t="s">
        <v>27</v>
      </c>
      <c r="M715" s="188">
        <v>11025000</v>
      </c>
      <c r="N715" s="192" t="s">
        <v>144</v>
      </c>
      <c r="O715" s="192" t="s">
        <v>145</v>
      </c>
      <c r="P715" s="192" t="s">
        <v>24</v>
      </c>
    </row>
    <row r="716" spans="1:16" ht="75" x14ac:dyDescent="0.3">
      <c r="A716" s="2">
        <v>2023717</v>
      </c>
      <c r="B716" s="2">
        <v>7658</v>
      </c>
      <c r="C716" s="3" t="s">
        <v>142</v>
      </c>
      <c r="D716" s="196" t="s">
        <v>125</v>
      </c>
      <c r="E716" s="192">
        <v>80111600</v>
      </c>
      <c r="F716" s="192" t="s">
        <v>149</v>
      </c>
      <c r="G716" s="193">
        <v>45069</v>
      </c>
      <c r="H716" s="193">
        <v>45072</v>
      </c>
      <c r="I716" s="191">
        <v>4</v>
      </c>
      <c r="J716" s="191" t="s">
        <v>20</v>
      </c>
      <c r="K716" s="195" t="s">
        <v>21</v>
      </c>
      <c r="L716" s="191" t="s">
        <v>27</v>
      </c>
      <c r="M716" s="188">
        <v>20700000</v>
      </c>
      <c r="N716" s="192" t="s">
        <v>144</v>
      </c>
      <c r="O716" s="192" t="s">
        <v>145</v>
      </c>
      <c r="P716" s="192" t="s">
        <v>24</v>
      </c>
    </row>
    <row r="717" spans="1:16" ht="75" x14ac:dyDescent="0.3">
      <c r="A717" s="2">
        <v>2023718</v>
      </c>
      <c r="B717" s="2">
        <v>7658</v>
      </c>
      <c r="C717" s="3" t="s">
        <v>142</v>
      </c>
      <c r="D717" s="196" t="s">
        <v>125</v>
      </c>
      <c r="E717" s="192">
        <v>80111600</v>
      </c>
      <c r="F717" s="192" t="s">
        <v>581</v>
      </c>
      <c r="G717" s="193">
        <v>45069</v>
      </c>
      <c r="H717" s="193">
        <v>45072</v>
      </c>
      <c r="I717" s="191">
        <v>4</v>
      </c>
      <c r="J717" s="191" t="s">
        <v>20</v>
      </c>
      <c r="K717" s="195" t="s">
        <v>21</v>
      </c>
      <c r="L717" s="191" t="s">
        <v>27</v>
      </c>
      <c r="M717" s="188">
        <v>20700000</v>
      </c>
      <c r="N717" s="192" t="s">
        <v>144</v>
      </c>
      <c r="O717" s="192" t="s">
        <v>145</v>
      </c>
      <c r="P717" s="192" t="s">
        <v>24</v>
      </c>
    </row>
    <row r="718" spans="1:16" ht="75" x14ac:dyDescent="0.3">
      <c r="A718" s="2">
        <v>2023719</v>
      </c>
      <c r="B718" s="2">
        <v>7658</v>
      </c>
      <c r="C718" s="3" t="s">
        <v>142</v>
      </c>
      <c r="D718" s="196" t="s">
        <v>125</v>
      </c>
      <c r="E718" s="192">
        <v>80111600</v>
      </c>
      <c r="F718" s="192" t="s">
        <v>492</v>
      </c>
      <c r="G718" s="193">
        <v>45069</v>
      </c>
      <c r="H718" s="193">
        <v>45072</v>
      </c>
      <c r="I718" s="191">
        <v>5</v>
      </c>
      <c r="J718" s="191" t="s">
        <v>20</v>
      </c>
      <c r="K718" s="195" t="s">
        <v>21</v>
      </c>
      <c r="L718" s="191" t="s">
        <v>27</v>
      </c>
      <c r="M718" s="188">
        <v>17325000</v>
      </c>
      <c r="N718" s="192" t="s">
        <v>144</v>
      </c>
      <c r="O718" s="192" t="s">
        <v>145</v>
      </c>
      <c r="P718" s="192" t="s">
        <v>24</v>
      </c>
    </row>
    <row r="719" spans="1:16" ht="75" x14ac:dyDescent="0.3">
      <c r="A719" s="2">
        <v>2023720</v>
      </c>
      <c r="B719" s="2">
        <v>7658</v>
      </c>
      <c r="C719" s="3" t="s">
        <v>142</v>
      </c>
      <c r="D719" s="196" t="s">
        <v>125</v>
      </c>
      <c r="E719" s="192">
        <v>80111600</v>
      </c>
      <c r="F719" s="192" t="s">
        <v>147</v>
      </c>
      <c r="G719" s="193">
        <v>45069</v>
      </c>
      <c r="H719" s="193">
        <v>45072</v>
      </c>
      <c r="I719" s="191">
        <v>4</v>
      </c>
      <c r="J719" s="191" t="s">
        <v>20</v>
      </c>
      <c r="K719" s="195" t="s">
        <v>21</v>
      </c>
      <c r="L719" s="191" t="s">
        <v>27</v>
      </c>
      <c r="M719" s="188">
        <v>9800000</v>
      </c>
      <c r="N719" s="192" t="s">
        <v>144</v>
      </c>
      <c r="O719" s="192" t="s">
        <v>145</v>
      </c>
      <c r="P719" s="192" t="s">
        <v>24</v>
      </c>
    </row>
    <row r="720" spans="1:16" ht="94.5" customHeight="1" x14ac:dyDescent="0.3">
      <c r="A720" s="2">
        <v>2023721</v>
      </c>
      <c r="B720" s="2">
        <v>7658</v>
      </c>
      <c r="C720" s="3" t="s">
        <v>142</v>
      </c>
      <c r="D720" s="196" t="s">
        <v>125</v>
      </c>
      <c r="E720" s="192">
        <v>80111600</v>
      </c>
      <c r="F720" s="192" t="s">
        <v>152</v>
      </c>
      <c r="G720" s="193">
        <v>45069</v>
      </c>
      <c r="H720" s="193">
        <v>45072</v>
      </c>
      <c r="I720" s="191">
        <v>5</v>
      </c>
      <c r="J720" s="191" t="s">
        <v>20</v>
      </c>
      <c r="K720" s="195" t="s">
        <v>21</v>
      </c>
      <c r="L720" s="191" t="s">
        <v>27</v>
      </c>
      <c r="M720" s="188">
        <v>23287500</v>
      </c>
      <c r="N720" s="192" t="s">
        <v>144</v>
      </c>
      <c r="O720" s="192" t="s">
        <v>145</v>
      </c>
      <c r="P720" s="192" t="s">
        <v>24</v>
      </c>
    </row>
    <row r="721" spans="1:16" ht="75" x14ac:dyDescent="0.3">
      <c r="A721" s="2">
        <v>2023722</v>
      </c>
      <c r="B721" s="2">
        <v>7658</v>
      </c>
      <c r="C721" s="3" t="s">
        <v>142</v>
      </c>
      <c r="D721" s="196" t="s">
        <v>125</v>
      </c>
      <c r="E721" s="192">
        <v>80111600</v>
      </c>
      <c r="F721" s="192" t="s">
        <v>137</v>
      </c>
      <c r="G721" s="193">
        <v>45069</v>
      </c>
      <c r="H721" s="193">
        <v>45072</v>
      </c>
      <c r="I721" s="191">
        <v>5</v>
      </c>
      <c r="J721" s="191" t="s">
        <v>20</v>
      </c>
      <c r="K721" s="195" t="s">
        <v>21</v>
      </c>
      <c r="L721" s="191" t="s">
        <v>27</v>
      </c>
      <c r="M721" s="188">
        <v>30000000</v>
      </c>
      <c r="N721" s="192" t="s">
        <v>144</v>
      </c>
      <c r="O721" s="192" t="s">
        <v>145</v>
      </c>
      <c r="P721" s="192" t="s">
        <v>24</v>
      </c>
    </row>
    <row r="722" spans="1:16" ht="60" x14ac:dyDescent="0.3">
      <c r="A722" s="4">
        <v>2023723</v>
      </c>
      <c r="B722" s="2" t="s">
        <v>17</v>
      </c>
      <c r="C722" s="3" t="s">
        <v>17</v>
      </c>
      <c r="D722" s="196" t="s">
        <v>125</v>
      </c>
      <c r="E722" s="192" t="s">
        <v>471</v>
      </c>
      <c r="F722" s="192" t="s">
        <v>472</v>
      </c>
      <c r="G722" s="193">
        <v>45069</v>
      </c>
      <c r="H722" s="193">
        <v>45072</v>
      </c>
      <c r="I722" s="191">
        <v>5</v>
      </c>
      <c r="J722" s="191" t="s">
        <v>20</v>
      </c>
      <c r="K722" s="195" t="s">
        <v>21</v>
      </c>
      <c r="L722" s="191" t="s">
        <v>23</v>
      </c>
      <c r="M722" s="188">
        <v>11025000</v>
      </c>
      <c r="N722" s="192" t="s">
        <v>23</v>
      </c>
      <c r="O722" s="192" t="s">
        <v>23</v>
      </c>
      <c r="P722" s="192" t="s">
        <v>24</v>
      </c>
    </row>
    <row r="723" spans="1:16" ht="60" x14ac:dyDescent="0.3">
      <c r="A723" s="4">
        <v>2023725</v>
      </c>
      <c r="B723" s="2" t="s">
        <v>17</v>
      </c>
      <c r="C723" s="3" t="s">
        <v>17</v>
      </c>
      <c r="D723" s="196" t="s">
        <v>125</v>
      </c>
      <c r="E723" s="192">
        <v>80111600</v>
      </c>
      <c r="F723" s="192" t="s">
        <v>129</v>
      </c>
      <c r="G723" s="193">
        <v>45069</v>
      </c>
      <c r="H723" s="193">
        <v>45072</v>
      </c>
      <c r="I723" s="191">
        <v>5</v>
      </c>
      <c r="J723" s="191" t="s">
        <v>20</v>
      </c>
      <c r="K723" s="195" t="s">
        <v>21</v>
      </c>
      <c r="L723" s="191" t="s">
        <v>23</v>
      </c>
      <c r="M723" s="188">
        <v>17100000</v>
      </c>
      <c r="N723" s="192" t="s">
        <v>23</v>
      </c>
      <c r="O723" s="192" t="s">
        <v>23</v>
      </c>
      <c r="P723" s="192" t="s">
        <v>24</v>
      </c>
    </row>
    <row r="724" spans="1:16" ht="75" x14ac:dyDescent="0.3">
      <c r="A724" s="161">
        <v>2023726</v>
      </c>
      <c r="B724" s="2" t="s">
        <v>17</v>
      </c>
      <c r="C724" s="3" t="s">
        <v>17</v>
      </c>
      <c r="D724" s="196" t="s">
        <v>125</v>
      </c>
      <c r="E724" s="192">
        <v>80111600</v>
      </c>
      <c r="F724" s="192" t="s">
        <v>582</v>
      </c>
      <c r="G724" s="193">
        <v>45069</v>
      </c>
      <c r="H724" s="193">
        <v>45072</v>
      </c>
      <c r="I724" s="191">
        <v>5</v>
      </c>
      <c r="J724" s="191" t="s">
        <v>20</v>
      </c>
      <c r="K724" s="195" t="s">
        <v>21</v>
      </c>
      <c r="L724" s="191" t="s">
        <v>23</v>
      </c>
      <c r="M724" s="188">
        <v>13972500</v>
      </c>
      <c r="N724" s="192" t="s">
        <v>23</v>
      </c>
      <c r="O724" s="192" t="s">
        <v>23</v>
      </c>
      <c r="P724" s="192" t="s">
        <v>24</v>
      </c>
    </row>
    <row r="725" spans="1:16" ht="45" x14ac:dyDescent="0.3">
      <c r="A725" s="161">
        <v>2023727</v>
      </c>
      <c r="B725" s="2" t="s">
        <v>17</v>
      </c>
      <c r="C725" s="3" t="s">
        <v>17</v>
      </c>
      <c r="D725" s="196" t="s">
        <v>125</v>
      </c>
      <c r="E725" s="192">
        <v>80111600</v>
      </c>
      <c r="F725" s="192" t="s">
        <v>441</v>
      </c>
      <c r="G725" s="193">
        <v>45069</v>
      </c>
      <c r="H725" s="193">
        <v>45072</v>
      </c>
      <c r="I725" s="191">
        <v>5</v>
      </c>
      <c r="J725" s="191" t="s">
        <v>20</v>
      </c>
      <c r="K725" s="195" t="s">
        <v>21</v>
      </c>
      <c r="L725" s="191" t="s">
        <v>23</v>
      </c>
      <c r="M725" s="188">
        <v>14000000</v>
      </c>
      <c r="N725" s="192" t="s">
        <v>23</v>
      </c>
      <c r="O725" s="192" t="s">
        <v>23</v>
      </c>
      <c r="P725" s="192" t="s">
        <v>24</v>
      </c>
    </row>
    <row r="726" spans="1:16" ht="45" x14ac:dyDescent="0.3">
      <c r="A726" s="161">
        <v>2023729</v>
      </c>
      <c r="B726" s="2" t="s">
        <v>17</v>
      </c>
      <c r="C726" s="3" t="s">
        <v>17</v>
      </c>
      <c r="D726" s="196" t="s">
        <v>125</v>
      </c>
      <c r="E726" s="192">
        <v>80111600</v>
      </c>
      <c r="F726" s="192" t="s">
        <v>493</v>
      </c>
      <c r="G726" s="193">
        <v>45069</v>
      </c>
      <c r="H726" s="193">
        <v>45072</v>
      </c>
      <c r="I726" s="191">
        <v>4</v>
      </c>
      <c r="J726" s="191" t="s">
        <v>20</v>
      </c>
      <c r="K726" s="195" t="s">
        <v>21</v>
      </c>
      <c r="L726" s="191" t="s">
        <v>23</v>
      </c>
      <c r="M726" s="188">
        <f>14000000+1200000</f>
        <v>15200000</v>
      </c>
      <c r="N726" s="192" t="s">
        <v>23</v>
      </c>
      <c r="O726" s="192" t="s">
        <v>23</v>
      </c>
      <c r="P726" s="192" t="s">
        <v>24</v>
      </c>
    </row>
    <row r="727" spans="1:16" ht="75" x14ac:dyDescent="0.3">
      <c r="A727" s="161">
        <v>2023731</v>
      </c>
      <c r="B727" s="2">
        <v>7658</v>
      </c>
      <c r="C727" s="3" t="s">
        <v>142</v>
      </c>
      <c r="D727" s="196" t="s">
        <v>319</v>
      </c>
      <c r="E727" s="192" t="s">
        <v>583</v>
      </c>
      <c r="F727" s="192" t="s">
        <v>584</v>
      </c>
      <c r="G727" s="193">
        <v>45075</v>
      </c>
      <c r="H727" s="193">
        <v>45078</v>
      </c>
      <c r="I727" s="191" t="s">
        <v>385</v>
      </c>
      <c r="J727" s="191" t="s">
        <v>357</v>
      </c>
      <c r="K727" s="195" t="s">
        <v>21</v>
      </c>
      <c r="L727" s="191" t="s">
        <v>681</v>
      </c>
      <c r="M727" s="188">
        <v>58882570</v>
      </c>
      <c r="N727" s="192" t="s">
        <v>381</v>
      </c>
      <c r="O727" s="192" t="s">
        <v>382</v>
      </c>
      <c r="P727" s="192" t="s">
        <v>364</v>
      </c>
    </row>
    <row r="728" spans="1:16" ht="105" x14ac:dyDescent="0.3">
      <c r="A728" s="161">
        <v>2023732</v>
      </c>
      <c r="B728" s="2">
        <v>7658</v>
      </c>
      <c r="C728" s="3" t="s">
        <v>142</v>
      </c>
      <c r="D728" s="196" t="s">
        <v>319</v>
      </c>
      <c r="E728" s="192" t="s">
        <v>356</v>
      </c>
      <c r="F728" s="192" t="s">
        <v>585</v>
      </c>
      <c r="G728" s="193">
        <v>45075</v>
      </c>
      <c r="H728" s="193">
        <v>45078</v>
      </c>
      <c r="I728" s="191">
        <v>2</v>
      </c>
      <c r="J728" s="191" t="s">
        <v>357</v>
      </c>
      <c r="K728" s="195" t="s">
        <v>21</v>
      </c>
      <c r="L728" s="191" t="s">
        <v>681</v>
      </c>
      <c r="M728" s="188">
        <v>18021210</v>
      </c>
      <c r="N728" s="192" t="s">
        <v>381</v>
      </c>
      <c r="O728" s="192" t="s">
        <v>382</v>
      </c>
      <c r="P728" s="192" t="s">
        <v>364</v>
      </c>
    </row>
    <row r="729" spans="1:16" ht="60" x14ac:dyDescent="0.3">
      <c r="A729" s="161">
        <v>2023734</v>
      </c>
      <c r="B729" s="2">
        <v>7655</v>
      </c>
      <c r="C729" s="3" t="s">
        <v>25</v>
      </c>
      <c r="D729" s="196" t="s">
        <v>125</v>
      </c>
      <c r="E729" s="192">
        <v>80111600</v>
      </c>
      <c r="F729" s="192" t="s">
        <v>586</v>
      </c>
      <c r="G729" s="193">
        <v>45078</v>
      </c>
      <c r="H729" s="193">
        <v>45081</v>
      </c>
      <c r="I729" s="191">
        <v>5</v>
      </c>
      <c r="J729" s="191" t="s">
        <v>20</v>
      </c>
      <c r="K729" s="195" t="s">
        <v>21</v>
      </c>
      <c r="L729" s="191" t="s">
        <v>27</v>
      </c>
      <c r="M729" s="214">
        <f>4500000*5</f>
        <v>22500000</v>
      </c>
      <c r="N729" s="192" t="s">
        <v>28</v>
      </c>
      <c r="O729" s="192" t="s">
        <v>29</v>
      </c>
      <c r="P729" s="192" t="s">
        <v>24</v>
      </c>
    </row>
    <row r="730" spans="1:16" ht="90" x14ac:dyDescent="0.3">
      <c r="A730" s="161">
        <v>2023735</v>
      </c>
      <c r="B730" s="2">
        <v>7658</v>
      </c>
      <c r="C730" s="3" t="s">
        <v>142</v>
      </c>
      <c r="D730" s="196" t="s">
        <v>45</v>
      </c>
      <c r="E730" s="192">
        <v>80111600</v>
      </c>
      <c r="F730" s="192" t="s">
        <v>587</v>
      </c>
      <c r="G730" s="193">
        <v>45078</v>
      </c>
      <c r="H730" s="193">
        <v>45092</v>
      </c>
      <c r="I730" s="191">
        <v>7</v>
      </c>
      <c r="J730" s="191" t="s">
        <v>20</v>
      </c>
      <c r="K730" s="195" t="s">
        <v>21</v>
      </c>
      <c r="L730" s="191" t="s">
        <v>27</v>
      </c>
      <c r="M730" s="188">
        <f>4800000*7</f>
        <v>33600000</v>
      </c>
      <c r="N730" s="192" t="s">
        <v>166</v>
      </c>
      <c r="O730" s="192" t="s">
        <v>163</v>
      </c>
      <c r="P730" s="192" t="s">
        <v>24</v>
      </c>
    </row>
    <row r="731" spans="1:16" ht="60" x14ac:dyDescent="0.3">
      <c r="A731" s="161">
        <v>2023736</v>
      </c>
      <c r="B731" s="2">
        <v>7658</v>
      </c>
      <c r="C731" s="3" t="s">
        <v>588</v>
      </c>
      <c r="D731" s="196" t="s">
        <v>319</v>
      </c>
      <c r="E731" s="192" t="s">
        <v>589</v>
      </c>
      <c r="F731" s="192" t="s">
        <v>590</v>
      </c>
      <c r="G731" s="193">
        <v>45076</v>
      </c>
      <c r="H731" s="193">
        <v>45078</v>
      </c>
      <c r="I731" s="191">
        <v>3</v>
      </c>
      <c r="J731" s="191" t="s">
        <v>159</v>
      </c>
      <c r="K731" s="195" t="s">
        <v>160</v>
      </c>
      <c r="L731" s="191" t="s">
        <v>681</v>
      </c>
      <c r="M731" s="188">
        <v>778415902</v>
      </c>
      <c r="N731" s="192" t="s">
        <v>381</v>
      </c>
      <c r="O731" s="192" t="s">
        <v>382</v>
      </c>
      <c r="P731" s="192" t="s">
        <v>364</v>
      </c>
    </row>
    <row r="732" spans="1:16" ht="60" x14ac:dyDescent="0.3">
      <c r="A732" s="161">
        <v>2023737</v>
      </c>
      <c r="B732" s="2">
        <v>7658</v>
      </c>
      <c r="C732" s="3" t="s">
        <v>588</v>
      </c>
      <c r="D732" s="196" t="s">
        <v>319</v>
      </c>
      <c r="E732" s="192" t="s">
        <v>343</v>
      </c>
      <c r="F732" s="192" t="s">
        <v>591</v>
      </c>
      <c r="G732" s="193">
        <v>45076</v>
      </c>
      <c r="H732" s="193">
        <v>45078</v>
      </c>
      <c r="I732" s="191">
        <v>3</v>
      </c>
      <c r="J732" s="191" t="s">
        <v>159</v>
      </c>
      <c r="K732" s="195" t="s">
        <v>21</v>
      </c>
      <c r="L732" s="191" t="s">
        <v>681</v>
      </c>
      <c r="M732" s="188">
        <v>321584098</v>
      </c>
      <c r="N732" s="192" t="s">
        <v>381</v>
      </c>
      <c r="O732" s="192" t="s">
        <v>382</v>
      </c>
      <c r="P732" s="192" t="s">
        <v>364</v>
      </c>
    </row>
    <row r="733" spans="1:16" ht="90" x14ac:dyDescent="0.3">
      <c r="A733" s="161">
        <v>2023738</v>
      </c>
      <c r="B733" s="2">
        <v>7658</v>
      </c>
      <c r="C733" s="3" t="s">
        <v>588</v>
      </c>
      <c r="D733" s="196" t="s">
        <v>319</v>
      </c>
      <c r="E733" s="192" t="s">
        <v>356</v>
      </c>
      <c r="F733" s="192" t="s">
        <v>678</v>
      </c>
      <c r="G733" s="193">
        <v>45076</v>
      </c>
      <c r="H733" s="193">
        <v>45078</v>
      </c>
      <c r="I733" s="191">
        <v>3</v>
      </c>
      <c r="J733" s="191" t="s">
        <v>357</v>
      </c>
      <c r="K733" s="195" t="s">
        <v>21</v>
      </c>
      <c r="L733" s="191" t="s">
        <v>681</v>
      </c>
      <c r="M733" s="188">
        <f>66626214+66626214</f>
        <v>133252428</v>
      </c>
      <c r="N733" s="192" t="s">
        <v>381</v>
      </c>
      <c r="O733" s="192" t="s">
        <v>382</v>
      </c>
      <c r="P733" s="192" t="s">
        <v>364</v>
      </c>
    </row>
    <row r="734" spans="1:16" ht="75" x14ac:dyDescent="0.3">
      <c r="A734" s="161">
        <v>2023739</v>
      </c>
      <c r="B734" s="2">
        <v>7637</v>
      </c>
      <c r="C734" s="3" t="s">
        <v>73</v>
      </c>
      <c r="D734" s="196" t="s">
        <v>18</v>
      </c>
      <c r="E734" s="192" t="s">
        <v>592</v>
      </c>
      <c r="F734" s="192" t="s">
        <v>593</v>
      </c>
      <c r="G734" s="193">
        <v>45078</v>
      </c>
      <c r="H734" s="193">
        <v>45107</v>
      </c>
      <c r="I734" s="191">
        <v>1</v>
      </c>
      <c r="J734" s="191" t="s">
        <v>118</v>
      </c>
      <c r="K734" s="195" t="s">
        <v>386</v>
      </c>
      <c r="L734" s="191" t="s">
        <v>102</v>
      </c>
      <c r="M734" s="188">
        <v>4908114</v>
      </c>
      <c r="N734" s="192" t="s">
        <v>75</v>
      </c>
      <c r="O734" s="192" t="s">
        <v>76</v>
      </c>
      <c r="P734" s="192" t="s">
        <v>364</v>
      </c>
    </row>
    <row r="735" spans="1:16" ht="135" x14ac:dyDescent="0.3">
      <c r="A735" s="161">
        <v>2023740</v>
      </c>
      <c r="B735" s="2" t="s">
        <v>17</v>
      </c>
      <c r="C735" s="3" t="s">
        <v>17</v>
      </c>
      <c r="D735" s="196" t="s">
        <v>125</v>
      </c>
      <c r="E735" s="192">
        <v>84131600</v>
      </c>
      <c r="F735" s="192" t="s">
        <v>697</v>
      </c>
      <c r="G735" s="193">
        <v>45137</v>
      </c>
      <c r="H735" s="193">
        <v>45137</v>
      </c>
      <c r="I735" s="191">
        <v>24</v>
      </c>
      <c r="J735" s="191" t="s">
        <v>357</v>
      </c>
      <c r="K735" s="195" t="s">
        <v>21</v>
      </c>
      <c r="L735" s="191" t="s">
        <v>23</v>
      </c>
      <c r="M735" s="188">
        <v>0</v>
      </c>
      <c r="N735" s="192" t="s">
        <v>23</v>
      </c>
      <c r="O735" s="192" t="s">
        <v>23</v>
      </c>
      <c r="P735" s="192" t="s">
        <v>364</v>
      </c>
    </row>
    <row r="736" spans="1:16" ht="75" x14ac:dyDescent="0.3">
      <c r="A736" s="161">
        <v>2023741</v>
      </c>
      <c r="B736" s="2">
        <v>7637</v>
      </c>
      <c r="C736" s="3" t="s">
        <v>73</v>
      </c>
      <c r="D736" s="191" t="s">
        <v>18</v>
      </c>
      <c r="E736" s="192" t="s">
        <v>721</v>
      </c>
      <c r="F736" s="191" t="s">
        <v>713</v>
      </c>
      <c r="G736" s="193">
        <v>45209</v>
      </c>
      <c r="H736" s="193">
        <v>45254</v>
      </c>
      <c r="I736" s="191">
        <v>9</v>
      </c>
      <c r="J736" s="191" t="s">
        <v>101</v>
      </c>
      <c r="K736" s="195" t="s">
        <v>21</v>
      </c>
      <c r="L736" s="191" t="s">
        <v>97</v>
      </c>
      <c r="M736" s="188">
        <f>30000000+70000000</f>
        <v>100000000</v>
      </c>
      <c r="N736" s="192" t="s">
        <v>75</v>
      </c>
      <c r="O736" s="192" t="s">
        <v>76</v>
      </c>
      <c r="P736" s="192" t="s">
        <v>24</v>
      </c>
    </row>
    <row r="737" spans="1:16" ht="60" x14ac:dyDescent="0.3">
      <c r="A737" s="161">
        <v>2023742</v>
      </c>
      <c r="B737" s="2" t="s">
        <v>17</v>
      </c>
      <c r="C737" s="3" t="s">
        <v>17</v>
      </c>
      <c r="D737" s="191" t="s">
        <v>18</v>
      </c>
      <c r="E737" s="192">
        <v>80111600</v>
      </c>
      <c r="F737" s="191" t="s">
        <v>33</v>
      </c>
      <c r="G737" s="193">
        <v>45078</v>
      </c>
      <c r="H737" s="193">
        <v>45092</v>
      </c>
      <c r="I737" s="191">
        <v>5</v>
      </c>
      <c r="J737" s="191" t="s">
        <v>20</v>
      </c>
      <c r="K737" s="195" t="s">
        <v>21</v>
      </c>
      <c r="L737" s="191" t="s">
        <v>34</v>
      </c>
      <c r="M737" s="188">
        <f>18900000+6100000</f>
        <v>25000000</v>
      </c>
      <c r="N737" s="196" t="s">
        <v>23</v>
      </c>
      <c r="O737" s="196" t="s">
        <v>23</v>
      </c>
      <c r="P737" s="192" t="s">
        <v>24</v>
      </c>
    </row>
    <row r="738" spans="1:16" ht="90" x14ac:dyDescent="0.3">
      <c r="A738" s="161">
        <v>2023743</v>
      </c>
      <c r="B738" s="2">
        <v>7658</v>
      </c>
      <c r="C738" s="3" t="s">
        <v>142</v>
      </c>
      <c r="D738" s="191" t="s">
        <v>221</v>
      </c>
      <c r="E738" s="192">
        <v>80111600</v>
      </c>
      <c r="F738" s="191" t="s">
        <v>594</v>
      </c>
      <c r="G738" s="193">
        <v>45062</v>
      </c>
      <c r="H738" s="193">
        <v>45076</v>
      </c>
      <c r="I738" s="191">
        <v>5</v>
      </c>
      <c r="J738" s="191" t="s">
        <v>20</v>
      </c>
      <c r="K738" s="195" t="s">
        <v>21</v>
      </c>
      <c r="L738" s="191" t="s">
        <v>27</v>
      </c>
      <c r="M738" s="188">
        <f>14000000-4200000</f>
        <v>9800000</v>
      </c>
      <c r="N738" s="196" t="s">
        <v>224</v>
      </c>
      <c r="O738" s="196" t="s">
        <v>163</v>
      </c>
      <c r="P738" s="192" t="s">
        <v>24</v>
      </c>
    </row>
    <row r="739" spans="1:16" ht="60" x14ac:dyDescent="0.3">
      <c r="A739" s="161">
        <v>2023744</v>
      </c>
      <c r="B739" s="2">
        <v>7655</v>
      </c>
      <c r="C739" s="3" t="s">
        <v>25</v>
      </c>
      <c r="D739" s="191" t="s">
        <v>281</v>
      </c>
      <c r="E739" s="192">
        <v>80111600</v>
      </c>
      <c r="F739" s="191" t="s">
        <v>304</v>
      </c>
      <c r="G739" s="193">
        <v>45078</v>
      </c>
      <c r="H739" s="193">
        <v>45087</v>
      </c>
      <c r="I739" s="191">
        <v>5</v>
      </c>
      <c r="J739" s="191" t="s">
        <v>20</v>
      </c>
      <c r="K739" s="195" t="s">
        <v>21</v>
      </c>
      <c r="L739" s="191" t="s">
        <v>27</v>
      </c>
      <c r="M739" s="214">
        <f>13750000-13750000</f>
        <v>0</v>
      </c>
      <c r="N739" s="192" t="s">
        <v>28</v>
      </c>
      <c r="O739" s="192" t="s">
        <v>29</v>
      </c>
      <c r="P739" s="192" t="s">
        <v>24</v>
      </c>
    </row>
    <row r="740" spans="1:16" ht="75" x14ac:dyDescent="0.3">
      <c r="A740" s="161">
        <v>2023745</v>
      </c>
      <c r="B740" s="2">
        <v>7658</v>
      </c>
      <c r="C740" s="3" t="s">
        <v>142</v>
      </c>
      <c r="D740" s="191" t="s">
        <v>125</v>
      </c>
      <c r="E740" s="192">
        <v>80111600</v>
      </c>
      <c r="F740" s="191" t="s">
        <v>679</v>
      </c>
      <c r="G740" s="193">
        <v>45092</v>
      </c>
      <c r="H740" s="193">
        <v>45095</v>
      </c>
      <c r="I740" s="191">
        <v>4</v>
      </c>
      <c r="J740" s="191" t="s">
        <v>20</v>
      </c>
      <c r="K740" s="195" t="s">
        <v>21</v>
      </c>
      <c r="L740" s="191" t="s">
        <v>27</v>
      </c>
      <c r="M740" s="188">
        <f>20000000-20000000</f>
        <v>0</v>
      </c>
      <c r="N740" s="192" t="s">
        <v>144</v>
      </c>
      <c r="O740" s="192" t="s">
        <v>145</v>
      </c>
      <c r="P740" s="192" t="s">
        <v>24</v>
      </c>
    </row>
    <row r="741" spans="1:16" ht="105" x14ac:dyDescent="0.3">
      <c r="A741" s="161">
        <v>2023746</v>
      </c>
      <c r="B741" s="2">
        <v>7655</v>
      </c>
      <c r="C741" s="3" t="s">
        <v>25</v>
      </c>
      <c r="D741" s="191" t="s">
        <v>195</v>
      </c>
      <c r="E741" s="192">
        <v>80111600</v>
      </c>
      <c r="F741" s="191" t="s">
        <v>680</v>
      </c>
      <c r="G741" s="193">
        <v>45153</v>
      </c>
      <c r="H741" s="193">
        <v>45169</v>
      </c>
      <c r="I741" s="191">
        <v>2</v>
      </c>
      <c r="J741" s="191" t="s">
        <v>20</v>
      </c>
      <c r="K741" s="195" t="s">
        <v>21</v>
      </c>
      <c r="L741" s="191" t="s">
        <v>27</v>
      </c>
      <c r="M741" s="214">
        <f>15125000+3515000</f>
        <v>18640000</v>
      </c>
      <c r="N741" s="192" t="s">
        <v>28</v>
      </c>
      <c r="O741" s="192" t="s">
        <v>29</v>
      </c>
      <c r="P741" s="192" t="s">
        <v>364</v>
      </c>
    </row>
    <row r="742" spans="1:16" ht="60" x14ac:dyDescent="0.3">
      <c r="A742" s="4">
        <v>2023747</v>
      </c>
      <c r="B742" s="2" t="s">
        <v>17</v>
      </c>
      <c r="C742" s="3" t="s">
        <v>17</v>
      </c>
      <c r="D742" s="191" t="s">
        <v>47</v>
      </c>
      <c r="E742" s="192">
        <v>80111600</v>
      </c>
      <c r="F742" s="191" t="s">
        <v>699</v>
      </c>
      <c r="G742" s="193">
        <v>45122</v>
      </c>
      <c r="H742" s="193">
        <v>45122</v>
      </c>
      <c r="I742" s="191">
        <v>1</v>
      </c>
      <c r="J742" s="191" t="s">
        <v>20</v>
      </c>
      <c r="K742" s="195" t="s">
        <v>21</v>
      </c>
      <c r="L742" s="191" t="s">
        <v>23</v>
      </c>
      <c r="M742" s="188">
        <v>6000000</v>
      </c>
      <c r="N742" s="192" t="s">
        <v>23</v>
      </c>
      <c r="O742" s="192" t="s">
        <v>23</v>
      </c>
      <c r="P742" s="192" t="s">
        <v>364</v>
      </c>
    </row>
    <row r="743" spans="1:16" ht="60" x14ac:dyDescent="0.3">
      <c r="A743" s="4">
        <v>2023748</v>
      </c>
      <c r="B743" s="2">
        <v>7655</v>
      </c>
      <c r="C743" s="3" t="s">
        <v>25</v>
      </c>
      <c r="D743" s="191" t="s">
        <v>47</v>
      </c>
      <c r="E743" s="192">
        <v>80111600</v>
      </c>
      <c r="F743" s="191" t="s">
        <v>61</v>
      </c>
      <c r="G743" s="193">
        <v>45122</v>
      </c>
      <c r="H743" s="193">
        <v>45122</v>
      </c>
      <c r="I743" s="191">
        <v>1.5</v>
      </c>
      <c r="J743" s="191" t="s">
        <v>20</v>
      </c>
      <c r="K743" s="195" t="s">
        <v>21</v>
      </c>
      <c r="L743" s="191" t="s">
        <v>50</v>
      </c>
      <c r="M743" s="214">
        <v>16065000</v>
      </c>
      <c r="N743" s="192" t="s">
        <v>28</v>
      </c>
      <c r="O743" s="192" t="s">
        <v>29</v>
      </c>
      <c r="P743" s="192" t="s">
        <v>364</v>
      </c>
    </row>
    <row r="744" spans="1:16" ht="165" x14ac:dyDescent="0.3">
      <c r="A744" s="161">
        <v>2023749</v>
      </c>
      <c r="B744" s="120" t="s">
        <v>17</v>
      </c>
      <c r="C744" s="162" t="s">
        <v>17</v>
      </c>
      <c r="D744" s="200" t="s">
        <v>319</v>
      </c>
      <c r="E744" s="201" t="s">
        <v>406</v>
      </c>
      <c r="F744" s="200" t="s">
        <v>682</v>
      </c>
      <c r="G744" s="202">
        <v>44948</v>
      </c>
      <c r="H744" s="202">
        <v>44951</v>
      </c>
      <c r="I744" s="200" t="s">
        <v>385</v>
      </c>
      <c r="J744" s="200" t="s">
        <v>66</v>
      </c>
      <c r="K744" s="203" t="s">
        <v>21</v>
      </c>
      <c r="L744" s="200" t="s">
        <v>23</v>
      </c>
      <c r="M744" s="189">
        <v>48000000</v>
      </c>
      <c r="N744" s="201" t="s">
        <v>23</v>
      </c>
      <c r="O744" s="201" t="s">
        <v>23</v>
      </c>
      <c r="P744" s="201" t="s">
        <v>364</v>
      </c>
    </row>
    <row r="745" spans="1:16" ht="90" x14ac:dyDescent="0.3">
      <c r="A745" s="161">
        <v>2023751</v>
      </c>
      <c r="B745" s="120">
        <v>7658</v>
      </c>
      <c r="C745" s="162" t="s">
        <v>142</v>
      </c>
      <c r="D745" s="200" t="s">
        <v>221</v>
      </c>
      <c r="E745" s="199">
        <v>80111600</v>
      </c>
      <c r="F745" s="200" t="s">
        <v>684</v>
      </c>
      <c r="G745" s="202">
        <v>45097</v>
      </c>
      <c r="H745" s="202">
        <v>45099</v>
      </c>
      <c r="I745" s="200">
        <v>4</v>
      </c>
      <c r="J745" s="200" t="s">
        <v>20</v>
      </c>
      <c r="K745" s="203" t="s">
        <v>21</v>
      </c>
      <c r="L745" s="200" t="s">
        <v>50</v>
      </c>
      <c r="M745" s="189">
        <v>12000000</v>
      </c>
      <c r="N745" s="199" t="s">
        <v>229</v>
      </c>
      <c r="O745" s="199" t="s">
        <v>163</v>
      </c>
      <c r="P745" s="201" t="s">
        <v>24</v>
      </c>
    </row>
    <row r="746" spans="1:16" ht="90" x14ac:dyDescent="0.3">
      <c r="A746" s="161">
        <v>2023753</v>
      </c>
      <c r="B746" s="120">
        <v>7658</v>
      </c>
      <c r="C746" s="162" t="s">
        <v>142</v>
      </c>
      <c r="D746" s="200" t="s">
        <v>221</v>
      </c>
      <c r="E746" s="199">
        <v>21102401</v>
      </c>
      <c r="F746" s="199" t="s">
        <v>685</v>
      </c>
      <c r="G746" s="202">
        <v>45139</v>
      </c>
      <c r="H746" s="202">
        <v>45139</v>
      </c>
      <c r="I746" s="200">
        <v>8</v>
      </c>
      <c r="J746" s="200" t="s">
        <v>118</v>
      </c>
      <c r="K746" s="203" t="s">
        <v>21</v>
      </c>
      <c r="L746" s="200" t="s">
        <v>161</v>
      </c>
      <c r="M746" s="189">
        <f>10000000+2000000</f>
        <v>12000000</v>
      </c>
      <c r="N746" s="199" t="s">
        <v>224</v>
      </c>
      <c r="O746" s="199" t="s">
        <v>163</v>
      </c>
      <c r="P746" s="201" t="s">
        <v>24</v>
      </c>
    </row>
    <row r="747" spans="1:16" ht="90" x14ac:dyDescent="0.3">
      <c r="A747" s="161">
        <v>2023755</v>
      </c>
      <c r="B747" s="120">
        <v>7658</v>
      </c>
      <c r="C747" s="162" t="s">
        <v>142</v>
      </c>
      <c r="D747" s="199" t="s">
        <v>45</v>
      </c>
      <c r="E747" s="201">
        <v>80111600</v>
      </c>
      <c r="F747" s="201" t="s">
        <v>175</v>
      </c>
      <c r="G747" s="202">
        <v>45102</v>
      </c>
      <c r="H747" s="202">
        <v>45105</v>
      </c>
      <c r="I747" s="200">
        <v>6</v>
      </c>
      <c r="J747" s="200" t="s">
        <v>20</v>
      </c>
      <c r="K747" s="203" t="s">
        <v>21</v>
      </c>
      <c r="L747" s="200" t="s">
        <v>27</v>
      </c>
      <c r="M747" s="189">
        <f>15874000-15874000</f>
        <v>0</v>
      </c>
      <c r="N747" s="201" t="s">
        <v>166</v>
      </c>
      <c r="O747" s="201" t="s">
        <v>163</v>
      </c>
      <c r="P747" s="201" t="s">
        <v>24</v>
      </c>
    </row>
    <row r="748" spans="1:16" ht="90" x14ac:dyDescent="0.3">
      <c r="A748" s="161">
        <v>2023756</v>
      </c>
      <c r="B748" s="120">
        <v>7658</v>
      </c>
      <c r="C748" s="162" t="s">
        <v>142</v>
      </c>
      <c r="D748" s="199" t="s">
        <v>45</v>
      </c>
      <c r="E748" s="201" t="s">
        <v>706</v>
      </c>
      <c r="F748" s="201" t="s">
        <v>707</v>
      </c>
      <c r="G748" s="202">
        <v>45153</v>
      </c>
      <c r="H748" s="202">
        <v>45170</v>
      </c>
      <c r="I748" s="200">
        <v>6</v>
      </c>
      <c r="J748" s="200" t="s">
        <v>101</v>
      </c>
      <c r="K748" s="203" t="s">
        <v>21</v>
      </c>
      <c r="L748" s="200" t="s">
        <v>708</v>
      </c>
      <c r="M748" s="189">
        <f>30500000+9438000+15874000</f>
        <v>55812000</v>
      </c>
      <c r="N748" s="201" t="s">
        <v>166</v>
      </c>
      <c r="O748" s="201" t="s">
        <v>163</v>
      </c>
      <c r="P748" s="201" t="s">
        <v>24</v>
      </c>
    </row>
    <row r="749" spans="1:16" ht="90" x14ac:dyDescent="0.3">
      <c r="A749" s="161">
        <v>2023757</v>
      </c>
      <c r="B749" s="120">
        <v>7658</v>
      </c>
      <c r="C749" s="162" t="s">
        <v>142</v>
      </c>
      <c r="D749" s="200" t="s">
        <v>221</v>
      </c>
      <c r="E749" s="199">
        <v>80111600</v>
      </c>
      <c r="F749" s="199" t="s">
        <v>689</v>
      </c>
      <c r="G749" s="202">
        <v>45097</v>
      </c>
      <c r="H749" s="202">
        <v>45099</v>
      </c>
      <c r="I749" s="200">
        <v>5.5</v>
      </c>
      <c r="J749" s="200" t="s">
        <v>20</v>
      </c>
      <c r="K749" s="203" t="s">
        <v>21</v>
      </c>
      <c r="L749" s="200" t="s">
        <v>27</v>
      </c>
      <c r="M749" s="189">
        <f>4000000*5.5</f>
        <v>22000000</v>
      </c>
      <c r="N749" s="199" t="s">
        <v>229</v>
      </c>
      <c r="O749" s="199" t="s">
        <v>163</v>
      </c>
      <c r="P749" s="201" t="s">
        <v>24</v>
      </c>
    </row>
    <row r="750" spans="1:16" ht="90" x14ac:dyDescent="0.3">
      <c r="A750" s="161">
        <v>2023758</v>
      </c>
      <c r="B750" s="120">
        <v>7658</v>
      </c>
      <c r="C750" s="162" t="s">
        <v>142</v>
      </c>
      <c r="D750" s="200" t="s">
        <v>221</v>
      </c>
      <c r="E750" s="199">
        <v>78181500</v>
      </c>
      <c r="F750" s="199" t="s">
        <v>222</v>
      </c>
      <c r="G750" s="202">
        <v>45125</v>
      </c>
      <c r="H750" s="202">
        <v>45137</v>
      </c>
      <c r="I750" s="200">
        <v>12</v>
      </c>
      <c r="J750" s="200" t="s">
        <v>154</v>
      </c>
      <c r="K750" s="203" t="s">
        <v>21</v>
      </c>
      <c r="L750" s="200" t="s">
        <v>223</v>
      </c>
      <c r="M750" s="189">
        <v>550000000</v>
      </c>
      <c r="N750" s="199" t="s">
        <v>224</v>
      </c>
      <c r="O750" s="199" t="s">
        <v>163</v>
      </c>
      <c r="P750" s="201" t="s">
        <v>24</v>
      </c>
    </row>
    <row r="751" spans="1:16" ht="150" x14ac:dyDescent="0.3">
      <c r="A751" s="161">
        <v>2023759</v>
      </c>
      <c r="B751" s="120">
        <v>7658</v>
      </c>
      <c r="C751" s="162" t="s">
        <v>142</v>
      </c>
      <c r="D751" s="200" t="s">
        <v>221</v>
      </c>
      <c r="E751" s="199" t="s">
        <v>241</v>
      </c>
      <c r="F751" s="200" t="s">
        <v>769</v>
      </c>
      <c r="G751" s="202">
        <v>45184</v>
      </c>
      <c r="H751" s="202">
        <v>45214</v>
      </c>
      <c r="I751" s="200">
        <v>3</v>
      </c>
      <c r="J751" s="200" t="s">
        <v>118</v>
      </c>
      <c r="K751" s="203" t="s">
        <v>21</v>
      </c>
      <c r="L751" s="200" t="s">
        <v>243</v>
      </c>
      <c r="M751" s="189">
        <v>10000000</v>
      </c>
      <c r="N751" s="199" t="s">
        <v>229</v>
      </c>
      <c r="O751" s="199" t="s">
        <v>163</v>
      </c>
      <c r="P751" s="201" t="s">
        <v>24</v>
      </c>
    </row>
    <row r="752" spans="1:16" ht="90" x14ac:dyDescent="0.3">
      <c r="A752" s="161">
        <v>2023760</v>
      </c>
      <c r="B752" s="120">
        <v>7658</v>
      </c>
      <c r="C752" s="162" t="s">
        <v>142</v>
      </c>
      <c r="D752" s="200" t="s">
        <v>221</v>
      </c>
      <c r="E752" s="199" t="s">
        <v>239</v>
      </c>
      <c r="F752" s="199" t="s">
        <v>690</v>
      </c>
      <c r="G752" s="202">
        <v>45125</v>
      </c>
      <c r="H752" s="202">
        <v>45168</v>
      </c>
      <c r="I752" s="200">
        <v>3</v>
      </c>
      <c r="J752" s="200" t="s">
        <v>101</v>
      </c>
      <c r="K752" s="203" t="s">
        <v>21</v>
      </c>
      <c r="L752" s="200" t="s">
        <v>240</v>
      </c>
      <c r="M752" s="189">
        <v>28000000</v>
      </c>
      <c r="N752" s="199" t="s">
        <v>229</v>
      </c>
      <c r="O752" s="199" t="s">
        <v>163</v>
      </c>
      <c r="P752" s="201" t="s">
        <v>364</v>
      </c>
    </row>
    <row r="753" spans="1:16" ht="90" x14ac:dyDescent="0.3">
      <c r="A753" s="161">
        <v>2023761</v>
      </c>
      <c r="B753" s="120">
        <v>7658</v>
      </c>
      <c r="C753" s="162" t="s">
        <v>142</v>
      </c>
      <c r="D753" s="200" t="s">
        <v>221</v>
      </c>
      <c r="E753" s="199">
        <v>80111600</v>
      </c>
      <c r="F753" s="199" t="s">
        <v>691</v>
      </c>
      <c r="G753" s="202">
        <v>45124</v>
      </c>
      <c r="H753" s="202">
        <v>45127</v>
      </c>
      <c r="I753" s="200">
        <v>4</v>
      </c>
      <c r="J753" s="200" t="s">
        <v>20</v>
      </c>
      <c r="K753" s="203" t="s">
        <v>21</v>
      </c>
      <c r="L753" s="200" t="s">
        <v>27</v>
      </c>
      <c r="M753" s="189">
        <v>18800000</v>
      </c>
      <c r="N753" s="199" t="s">
        <v>229</v>
      </c>
      <c r="O753" s="199" t="s">
        <v>163</v>
      </c>
      <c r="P753" s="201" t="s">
        <v>24</v>
      </c>
    </row>
    <row r="754" spans="1:16" ht="90" x14ac:dyDescent="0.3">
      <c r="A754" s="161">
        <v>2023762</v>
      </c>
      <c r="B754" s="120">
        <v>7658</v>
      </c>
      <c r="C754" s="162" t="s">
        <v>142</v>
      </c>
      <c r="D754" s="200" t="s">
        <v>221</v>
      </c>
      <c r="E754" s="199">
        <v>80111600</v>
      </c>
      <c r="F754" s="199" t="s">
        <v>747</v>
      </c>
      <c r="G754" s="202">
        <v>45168</v>
      </c>
      <c r="H754" s="202">
        <v>45170</v>
      </c>
      <c r="I754" s="200">
        <v>4</v>
      </c>
      <c r="J754" s="200" t="s">
        <v>20</v>
      </c>
      <c r="K754" s="203" t="s">
        <v>21</v>
      </c>
      <c r="L754" s="200" t="s">
        <v>27</v>
      </c>
      <c r="M754" s="189">
        <f>18800000-2800000</f>
        <v>16000000</v>
      </c>
      <c r="N754" s="199" t="s">
        <v>229</v>
      </c>
      <c r="O754" s="199" t="s">
        <v>163</v>
      </c>
      <c r="P754" s="201" t="s">
        <v>24</v>
      </c>
    </row>
    <row r="755" spans="1:16" ht="30" x14ac:dyDescent="0.3">
      <c r="A755" s="161">
        <v>2023763</v>
      </c>
      <c r="B755" s="120" t="s">
        <v>17</v>
      </c>
      <c r="C755" s="162" t="s">
        <v>17</v>
      </c>
      <c r="D755" s="200" t="s">
        <v>319</v>
      </c>
      <c r="E755" s="199">
        <v>47131800</v>
      </c>
      <c r="F755" s="199" t="s">
        <v>692</v>
      </c>
      <c r="G755" s="202">
        <v>45139</v>
      </c>
      <c r="H755" s="202">
        <v>45153</v>
      </c>
      <c r="I755" s="200">
        <v>8</v>
      </c>
      <c r="J755" s="200" t="s">
        <v>118</v>
      </c>
      <c r="K755" s="203" t="s">
        <v>21</v>
      </c>
      <c r="L755" s="200" t="s">
        <v>23</v>
      </c>
      <c r="M755" s="189">
        <v>19000000</v>
      </c>
      <c r="N755" s="199" t="s">
        <v>23</v>
      </c>
      <c r="O755" s="199" t="s">
        <v>23</v>
      </c>
      <c r="P755" s="201" t="s">
        <v>24</v>
      </c>
    </row>
    <row r="756" spans="1:16" ht="135" x14ac:dyDescent="0.3">
      <c r="A756" s="161">
        <v>2023764</v>
      </c>
      <c r="B756" s="120">
        <v>7658</v>
      </c>
      <c r="C756" s="162" t="s">
        <v>142</v>
      </c>
      <c r="D756" s="200" t="s">
        <v>319</v>
      </c>
      <c r="E756" s="199" t="s">
        <v>694</v>
      </c>
      <c r="F756" s="199" t="s">
        <v>693</v>
      </c>
      <c r="G756" s="202">
        <v>45122</v>
      </c>
      <c r="H756" s="202">
        <v>45135</v>
      </c>
      <c r="I756" s="200">
        <v>10</v>
      </c>
      <c r="J756" s="200" t="s">
        <v>66</v>
      </c>
      <c r="K756" s="203" t="s">
        <v>21</v>
      </c>
      <c r="L756" s="200" t="s">
        <v>161</v>
      </c>
      <c r="M756" s="189">
        <v>52500000</v>
      </c>
      <c r="N756" s="199" t="s">
        <v>340</v>
      </c>
      <c r="O756" s="199" t="s">
        <v>163</v>
      </c>
      <c r="P756" s="201" t="s">
        <v>364</v>
      </c>
    </row>
    <row r="757" spans="1:16" ht="120" x14ac:dyDescent="0.3">
      <c r="A757" s="161">
        <v>2023765</v>
      </c>
      <c r="B757" s="120">
        <v>7658</v>
      </c>
      <c r="C757" s="162" t="s">
        <v>142</v>
      </c>
      <c r="D757" s="200" t="s">
        <v>125</v>
      </c>
      <c r="E757" s="199" t="s">
        <v>695</v>
      </c>
      <c r="F757" s="199" t="s">
        <v>696</v>
      </c>
      <c r="G757" s="202">
        <v>45139</v>
      </c>
      <c r="H757" s="202">
        <v>45184</v>
      </c>
      <c r="I757" s="200">
        <v>6</v>
      </c>
      <c r="J757" s="200" t="s">
        <v>101</v>
      </c>
      <c r="K757" s="203" t="s">
        <v>21</v>
      </c>
      <c r="L757" s="200" t="s">
        <v>27</v>
      </c>
      <c r="M757" s="189">
        <v>282342175</v>
      </c>
      <c r="N757" s="199" t="s">
        <v>144</v>
      </c>
      <c r="O757" s="199" t="s">
        <v>145</v>
      </c>
      <c r="P757" s="201" t="s">
        <v>24</v>
      </c>
    </row>
    <row r="758" spans="1:16" ht="105" x14ac:dyDescent="0.3">
      <c r="A758" s="161">
        <v>2023766</v>
      </c>
      <c r="B758" s="120">
        <v>7658</v>
      </c>
      <c r="C758" s="162" t="s">
        <v>142</v>
      </c>
      <c r="D758" s="200" t="s">
        <v>281</v>
      </c>
      <c r="E758" s="120" t="s">
        <v>287</v>
      </c>
      <c r="F758" s="200" t="s">
        <v>700</v>
      </c>
      <c r="G758" s="202">
        <v>45022</v>
      </c>
      <c r="H758" s="202">
        <v>45078</v>
      </c>
      <c r="I758" s="200">
        <v>6</v>
      </c>
      <c r="J758" s="200" t="s">
        <v>154</v>
      </c>
      <c r="K758" s="203" t="s">
        <v>21</v>
      </c>
      <c r="L758" s="200" t="s">
        <v>27</v>
      </c>
      <c r="M758" s="189">
        <f>150000000+15000000+15000000+20000000</f>
        <v>200000000</v>
      </c>
      <c r="N758" s="199" t="s">
        <v>285</v>
      </c>
      <c r="O758" s="199" t="s">
        <v>286</v>
      </c>
      <c r="P758" s="201" t="s">
        <v>364</v>
      </c>
    </row>
    <row r="759" spans="1:16" ht="60" x14ac:dyDescent="0.3">
      <c r="A759" s="161">
        <v>2023767</v>
      </c>
      <c r="B759" s="120" t="s">
        <v>17</v>
      </c>
      <c r="C759" s="162" t="s">
        <v>17</v>
      </c>
      <c r="D759" s="200" t="s">
        <v>319</v>
      </c>
      <c r="E759" s="120">
        <v>80111600</v>
      </c>
      <c r="F759" s="200" t="s">
        <v>701</v>
      </c>
      <c r="G759" s="202">
        <v>45138</v>
      </c>
      <c r="H759" s="202">
        <v>45142</v>
      </c>
      <c r="I759" s="200">
        <v>4</v>
      </c>
      <c r="J759" s="200" t="s">
        <v>20</v>
      </c>
      <c r="K759" s="203" t="s">
        <v>21</v>
      </c>
      <c r="L759" s="200" t="s">
        <v>23</v>
      </c>
      <c r="M759" s="189">
        <v>8400000</v>
      </c>
      <c r="N759" s="199" t="s">
        <v>23</v>
      </c>
      <c r="O759" s="199" t="s">
        <v>23</v>
      </c>
      <c r="P759" s="201" t="s">
        <v>364</v>
      </c>
    </row>
    <row r="760" spans="1:16" ht="101.5" customHeight="1" x14ac:dyDescent="0.3">
      <c r="A760" s="161">
        <v>2023768</v>
      </c>
      <c r="B760" s="120" t="s">
        <v>17</v>
      </c>
      <c r="C760" s="162" t="s">
        <v>17</v>
      </c>
      <c r="D760" s="200" t="s">
        <v>319</v>
      </c>
      <c r="E760" s="120">
        <v>80111600</v>
      </c>
      <c r="F760" s="200" t="s">
        <v>702</v>
      </c>
      <c r="G760" s="202">
        <v>45138</v>
      </c>
      <c r="H760" s="202">
        <v>45142</v>
      </c>
      <c r="I760" s="200">
        <v>4</v>
      </c>
      <c r="J760" s="200" t="s">
        <v>20</v>
      </c>
      <c r="K760" s="203" t="s">
        <v>21</v>
      </c>
      <c r="L760" s="200" t="s">
        <v>23</v>
      </c>
      <c r="M760" s="189">
        <v>9800000</v>
      </c>
      <c r="N760" s="199" t="s">
        <v>23</v>
      </c>
      <c r="O760" s="199" t="s">
        <v>23</v>
      </c>
      <c r="P760" s="201" t="s">
        <v>364</v>
      </c>
    </row>
    <row r="761" spans="1:16" ht="60" x14ac:dyDescent="0.3">
      <c r="A761" s="161">
        <v>2023771</v>
      </c>
      <c r="B761" s="120" t="s">
        <v>17</v>
      </c>
      <c r="C761" s="162" t="s">
        <v>17</v>
      </c>
      <c r="D761" s="200" t="s">
        <v>18</v>
      </c>
      <c r="E761" s="120">
        <v>43233200</v>
      </c>
      <c r="F761" s="200" t="s">
        <v>124</v>
      </c>
      <c r="G761" s="202">
        <v>45204</v>
      </c>
      <c r="H761" s="202">
        <v>45245</v>
      </c>
      <c r="I761" s="200">
        <v>12</v>
      </c>
      <c r="J761" s="200" t="s">
        <v>101</v>
      </c>
      <c r="K761" s="203" t="s">
        <v>21</v>
      </c>
      <c r="L761" s="200" t="s">
        <v>710</v>
      </c>
      <c r="M761" s="189">
        <v>100000000</v>
      </c>
      <c r="N761" s="199" t="s">
        <v>23</v>
      </c>
      <c r="O761" s="199" t="s">
        <v>23</v>
      </c>
      <c r="P761" s="201" t="s">
        <v>24</v>
      </c>
    </row>
    <row r="762" spans="1:16" ht="91.5" customHeight="1" x14ac:dyDescent="0.3">
      <c r="A762" s="161">
        <v>2023772</v>
      </c>
      <c r="B762" s="120">
        <v>7637</v>
      </c>
      <c r="C762" s="162" t="s">
        <v>73</v>
      </c>
      <c r="D762" s="200" t="s">
        <v>18</v>
      </c>
      <c r="E762" s="120">
        <v>81112401</v>
      </c>
      <c r="F762" s="200" t="s">
        <v>711</v>
      </c>
      <c r="G762" s="202">
        <v>45233</v>
      </c>
      <c r="H762" s="202">
        <v>45264</v>
      </c>
      <c r="I762" s="200">
        <v>3</v>
      </c>
      <c r="J762" s="200" t="s">
        <v>66</v>
      </c>
      <c r="K762" s="203" t="s">
        <v>21</v>
      </c>
      <c r="L762" s="200" t="s">
        <v>97</v>
      </c>
      <c r="M762" s="189">
        <v>18887747</v>
      </c>
      <c r="N762" s="199" t="s">
        <v>75</v>
      </c>
      <c r="O762" s="199" t="s">
        <v>76</v>
      </c>
      <c r="P762" s="201" t="s">
        <v>364</v>
      </c>
    </row>
    <row r="763" spans="1:16" ht="90" x14ac:dyDescent="0.3">
      <c r="A763" s="161">
        <v>2023773</v>
      </c>
      <c r="B763" s="120">
        <v>7637</v>
      </c>
      <c r="C763" s="162" t="s">
        <v>73</v>
      </c>
      <c r="D763" s="200" t="s">
        <v>18</v>
      </c>
      <c r="E763" s="120">
        <v>81112401</v>
      </c>
      <c r="F763" s="200" t="s">
        <v>712</v>
      </c>
      <c r="G763" s="202">
        <v>45233</v>
      </c>
      <c r="H763" s="202">
        <v>45264</v>
      </c>
      <c r="I763" s="200">
        <v>3</v>
      </c>
      <c r="J763" s="200" t="s">
        <v>66</v>
      </c>
      <c r="K763" s="203" t="s">
        <v>21</v>
      </c>
      <c r="L763" s="200" t="s">
        <v>97</v>
      </c>
      <c r="M763" s="189">
        <v>2980321</v>
      </c>
      <c r="N763" s="199" t="s">
        <v>75</v>
      </c>
      <c r="O763" s="199" t="s">
        <v>76</v>
      </c>
      <c r="P763" s="201" t="s">
        <v>364</v>
      </c>
    </row>
    <row r="764" spans="1:16" ht="75" x14ac:dyDescent="0.3">
      <c r="A764" s="161">
        <v>2023774</v>
      </c>
      <c r="B764" s="120">
        <v>7655</v>
      </c>
      <c r="C764" s="162" t="s">
        <v>25</v>
      </c>
      <c r="D764" s="200" t="s">
        <v>18</v>
      </c>
      <c r="E764" s="201">
        <v>80111600</v>
      </c>
      <c r="F764" s="201" t="s">
        <v>714</v>
      </c>
      <c r="G764" s="202">
        <v>45041</v>
      </c>
      <c r="H764" s="202">
        <v>45041</v>
      </c>
      <c r="I764" s="200">
        <v>1</v>
      </c>
      <c r="J764" s="200" t="s">
        <v>20</v>
      </c>
      <c r="K764" s="203" t="s">
        <v>386</v>
      </c>
      <c r="L764" s="200" t="s">
        <v>27</v>
      </c>
      <c r="M764" s="215">
        <v>133334</v>
      </c>
      <c r="N764" s="201" t="s">
        <v>28</v>
      </c>
      <c r="O764" s="201" t="s">
        <v>29</v>
      </c>
      <c r="P764" s="201" t="s">
        <v>364</v>
      </c>
    </row>
    <row r="765" spans="1:16" ht="90" x14ac:dyDescent="0.3">
      <c r="A765" s="161">
        <v>2023775</v>
      </c>
      <c r="B765" s="120">
        <v>7658</v>
      </c>
      <c r="C765" s="162" t="s">
        <v>142</v>
      </c>
      <c r="D765" s="200" t="s">
        <v>221</v>
      </c>
      <c r="E765" s="201">
        <v>80111600</v>
      </c>
      <c r="F765" s="201" t="s">
        <v>716</v>
      </c>
      <c r="G765" s="202">
        <v>45163</v>
      </c>
      <c r="H765" s="202">
        <v>45168</v>
      </c>
      <c r="I765" s="200">
        <v>4</v>
      </c>
      <c r="J765" s="200" t="s">
        <v>20</v>
      </c>
      <c r="K765" s="203" t="s">
        <v>21</v>
      </c>
      <c r="L765" s="200" t="s">
        <v>27</v>
      </c>
      <c r="M765" s="189">
        <f>13200000-2114240</f>
        <v>11085760</v>
      </c>
      <c r="N765" s="201" t="s">
        <v>224</v>
      </c>
      <c r="O765" s="201" t="s">
        <v>163</v>
      </c>
      <c r="P765" s="201" t="s">
        <v>24</v>
      </c>
    </row>
    <row r="766" spans="1:16" ht="75" x14ac:dyDescent="0.3">
      <c r="A766" s="161">
        <v>2023776</v>
      </c>
      <c r="B766" s="120">
        <v>7655</v>
      </c>
      <c r="C766" s="162" t="s">
        <v>25</v>
      </c>
      <c r="D766" s="240" t="s">
        <v>125</v>
      </c>
      <c r="E766" s="243">
        <v>80111600</v>
      </c>
      <c r="F766" s="243" t="s">
        <v>717</v>
      </c>
      <c r="G766" s="246">
        <v>45146</v>
      </c>
      <c r="H766" s="246">
        <v>45148</v>
      </c>
      <c r="I766" s="240">
        <v>1</v>
      </c>
      <c r="J766" s="240" t="s">
        <v>20</v>
      </c>
      <c r="K766" s="247" t="s">
        <v>386</v>
      </c>
      <c r="L766" s="240" t="s">
        <v>27</v>
      </c>
      <c r="M766" s="215">
        <v>1166667</v>
      </c>
      <c r="N766" s="243" t="s">
        <v>28</v>
      </c>
      <c r="O766" s="243" t="s">
        <v>29</v>
      </c>
      <c r="P766" s="243" t="s">
        <v>364</v>
      </c>
    </row>
    <row r="767" spans="1:16" ht="90" x14ac:dyDescent="0.3">
      <c r="A767" s="161">
        <v>2023777</v>
      </c>
      <c r="B767" s="120">
        <v>7655</v>
      </c>
      <c r="C767" s="162" t="s">
        <v>25</v>
      </c>
      <c r="D767" s="200" t="s">
        <v>195</v>
      </c>
      <c r="E767" s="201">
        <v>80111600</v>
      </c>
      <c r="F767" s="201" t="s">
        <v>718</v>
      </c>
      <c r="G767" s="202">
        <v>45142</v>
      </c>
      <c r="H767" s="202">
        <v>45143</v>
      </c>
      <c r="I767" s="200">
        <v>2</v>
      </c>
      <c r="J767" s="200" t="s">
        <v>20</v>
      </c>
      <c r="K767" s="203" t="s">
        <v>21</v>
      </c>
      <c r="L767" s="200" t="s">
        <v>27</v>
      </c>
      <c r="M767" s="215">
        <v>14240000</v>
      </c>
      <c r="N767" s="201" t="s">
        <v>28</v>
      </c>
      <c r="O767" s="201" t="s">
        <v>29</v>
      </c>
      <c r="P767" s="201" t="s">
        <v>364</v>
      </c>
    </row>
    <row r="768" spans="1:16" ht="60" x14ac:dyDescent="0.3">
      <c r="A768" s="161">
        <v>2023778</v>
      </c>
      <c r="B768" s="120">
        <v>7655</v>
      </c>
      <c r="C768" s="162" t="s">
        <v>25</v>
      </c>
      <c r="D768" s="200" t="s">
        <v>192</v>
      </c>
      <c r="E768" s="201">
        <v>80111600</v>
      </c>
      <c r="F768" s="201" t="s">
        <v>814</v>
      </c>
      <c r="G768" s="202">
        <v>45170</v>
      </c>
      <c r="H768" s="202">
        <v>45180</v>
      </c>
      <c r="I768" s="200">
        <v>4</v>
      </c>
      <c r="J768" s="200" t="s">
        <v>20</v>
      </c>
      <c r="K768" s="203" t="s">
        <v>21</v>
      </c>
      <c r="L768" s="200" t="s">
        <v>27</v>
      </c>
      <c r="M768" s="215">
        <v>26450332</v>
      </c>
      <c r="N768" s="201" t="s">
        <v>28</v>
      </c>
      <c r="O768" s="201" t="s">
        <v>29</v>
      </c>
      <c r="P768" s="201" t="s">
        <v>24</v>
      </c>
    </row>
    <row r="769" spans="1:16" ht="90" x14ac:dyDescent="0.3">
      <c r="A769" s="161">
        <v>2023779</v>
      </c>
      <c r="B769" s="120">
        <v>7655</v>
      </c>
      <c r="C769" s="162" t="s">
        <v>25</v>
      </c>
      <c r="D769" s="200" t="s">
        <v>192</v>
      </c>
      <c r="E769" s="201">
        <v>80111600</v>
      </c>
      <c r="F769" s="201" t="s">
        <v>815</v>
      </c>
      <c r="G769" s="202">
        <v>45170</v>
      </c>
      <c r="H769" s="202">
        <v>45180</v>
      </c>
      <c r="I769" s="200">
        <v>4</v>
      </c>
      <c r="J769" s="200" t="s">
        <v>20</v>
      </c>
      <c r="K769" s="203" t="s">
        <v>21</v>
      </c>
      <c r="L769" s="200" t="s">
        <v>27</v>
      </c>
      <c r="M769" s="215">
        <v>13158811</v>
      </c>
      <c r="N769" s="201" t="s">
        <v>28</v>
      </c>
      <c r="O769" s="201" t="s">
        <v>29</v>
      </c>
      <c r="P769" s="201" t="s">
        <v>24</v>
      </c>
    </row>
    <row r="770" spans="1:16" ht="120" x14ac:dyDescent="0.3">
      <c r="A770" s="161">
        <v>2023780</v>
      </c>
      <c r="B770" s="120" t="s">
        <v>17</v>
      </c>
      <c r="C770" s="162" t="s">
        <v>17</v>
      </c>
      <c r="D770" s="200" t="s">
        <v>18</v>
      </c>
      <c r="E770" s="201" t="s">
        <v>67</v>
      </c>
      <c r="F770" s="201" t="s">
        <v>748</v>
      </c>
      <c r="G770" s="202">
        <v>45176</v>
      </c>
      <c r="H770" s="202">
        <v>45190</v>
      </c>
      <c r="I770" s="200">
        <v>3</v>
      </c>
      <c r="J770" s="200" t="s">
        <v>66</v>
      </c>
      <c r="K770" s="203" t="s">
        <v>21</v>
      </c>
      <c r="L770" s="200" t="s">
        <v>69</v>
      </c>
      <c r="M770" s="189">
        <v>91323067</v>
      </c>
      <c r="N770" s="201" t="s">
        <v>23</v>
      </c>
      <c r="O770" s="201" t="s">
        <v>23</v>
      </c>
      <c r="P770" s="201" t="s">
        <v>364</v>
      </c>
    </row>
    <row r="771" spans="1:16" ht="90" x14ac:dyDescent="0.3">
      <c r="A771" s="161">
        <v>2023781</v>
      </c>
      <c r="B771" s="120">
        <v>7658</v>
      </c>
      <c r="C771" s="162" t="s">
        <v>142</v>
      </c>
      <c r="D771" s="200" t="s">
        <v>221</v>
      </c>
      <c r="E771" s="199" t="s">
        <v>385</v>
      </c>
      <c r="F771" s="200" t="s">
        <v>723</v>
      </c>
      <c r="G771" s="202">
        <v>45184</v>
      </c>
      <c r="H771" s="202">
        <v>45189</v>
      </c>
      <c r="I771" s="200">
        <v>1</v>
      </c>
      <c r="J771" s="200" t="s">
        <v>385</v>
      </c>
      <c r="K771" s="203" t="s">
        <v>386</v>
      </c>
      <c r="L771" s="200" t="s">
        <v>243</v>
      </c>
      <c r="M771" s="189">
        <v>4008757</v>
      </c>
      <c r="N771" s="199" t="s">
        <v>224</v>
      </c>
      <c r="O771" s="199" t="s">
        <v>163</v>
      </c>
      <c r="P771" s="201" t="s">
        <v>364</v>
      </c>
    </row>
    <row r="772" spans="1:16" ht="75" x14ac:dyDescent="0.3">
      <c r="A772" s="161">
        <v>2023782</v>
      </c>
      <c r="B772" s="120" t="s">
        <v>17</v>
      </c>
      <c r="C772" s="162" t="s">
        <v>17</v>
      </c>
      <c r="D772" s="200" t="s">
        <v>47</v>
      </c>
      <c r="E772" s="199">
        <v>80111600</v>
      </c>
      <c r="F772" s="200" t="s">
        <v>724</v>
      </c>
      <c r="G772" s="202">
        <v>45179</v>
      </c>
      <c r="H772" s="202">
        <v>45179</v>
      </c>
      <c r="I772" s="200">
        <v>3.9</v>
      </c>
      <c r="J772" s="200" t="s">
        <v>20</v>
      </c>
      <c r="K772" s="203" t="s">
        <v>21</v>
      </c>
      <c r="L772" s="200" t="s">
        <v>23</v>
      </c>
      <c r="M772" s="189">
        <v>34960000</v>
      </c>
      <c r="N772" s="199" t="s">
        <v>23</v>
      </c>
      <c r="O772" s="199" t="s">
        <v>23</v>
      </c>
      <c r="P772" s="201" t="s">
        <v>364</v>
      </c>
    </row>
    <row r="773" spans="1:16" ht="120" x14ac:dyDescent="0.3">
      <c r="A773" s="161">
        <v>2023785</v>
      </c>
      <c r="B773" s="120">
        <v>7658</v>
      </c>
      <c r="C773" s="162" t="s">
        <v>588</v>
      </c>
      <c r="D773" s="200" t="s">
        <v>319</v>
      </c>
      <c r="E773" s="199" t="s">
        <v>385</v>
      </c>
      <c r="F773" s="200" t="s">
        <v>735</v>
      </c>
      <c r="G773" s="202" t="s">
        <v>385</v>
      </c>
      <c r="H773" s="202" t="s">
        <v>385</v>
      </c>
      <c r="I773" s="200" t="s">
        <v>385</v>
      </c>
      <c r="J773" s="200" t="s">
        <v>385</v>
      </c>
      <c r="K773" s="203" t="s">
        <v>386</v>
      </c>
      <c r="L773" s="200" t="s">
        <v>161</v>
      </c>
      <c r="M773" s="189">
        <v>7959086</v>
      </c>
      <c r="N773" s="199" t="s">
        <v>340</v>
      </c>
      <c r="O773" s="199" t="s">
        <v>163</v>
      </c>
      <c r="P773" s="201" t="s">
        <v>364</v>
      </c>
    </row>
    <row r="774" spans="1:16" ht="45" x14ac:dyDescent="0.3">
      <c r="A774" s="4">
        <v>2023786</v>
      </c>
      <c r="B774" s="2">
        <v>7658</v>
      </c>
      <c r="C774" s="3" t="s">
        <v>588</v>
      </c>
      <c r="D774" s="191" t="s">
        <v>319</v>
      </c>
      <c r="E774" s="196" t="s">
        <v>385</v>
      </c>
      <c r="F774" s="191" t="s">
        <v>736</v>
      </c>
      <c r="G774" s="193" t="s">
        <v>385</v>
      </c>
      <c r="H774" s="193" t="s">
        <v>385</v>
      </c>
      <c r="I774" s="191" t="s">
        <v>385</v>
      </c>
      <c r="J774" s="191" t="s">
        <v>385</v>
      </c>
      <c r="K774" s="195" t="s">
        <v>386</v>
      </c>
      <c r="L774" s="191" t="s">
        <v>737</v>
      </c>
      <c r="M774" s="188">
        <v>92859158</v>
      </c>
      <c r="N774" s="196" t="s">
        <v>381</v>
      </c>
      <c r="O774" s="196" t="s">
        <v>382</v>
      </c>
      <c r="P774" s="192" t="s">
        <v>364</v>
      </c>
    </row>
    <row r="775" spans="1:16" ht="45" x14ac:dyDescent="0.3">
      <c r="A775" s="161">
        <v>2023787</v>
      </c>
      <c r="B775" s="2">
        <v>7658</v>
      </c>
      <c r="C775" s="3" t="s">
        <v>588</v>
      </c>
      <c r="D775" s="191" t="s">
        <v>319</v>
      </c>
      <c r="E775" s="196" t="s">
        <v>385</v>
      </c>
      <c r="F775" s="191" t="s">
        <v>738</v>
      </c>
      <c r="G775" s="193" t="s">
        <v>385</v>
      </c>
      <c r="H775" s="193" t="s">
        <v>385</v>
      </c>
      <c r="I775" s="191" t="s">
        <v>385</v>
      </c>
      <c r="J775" s="191" t="s">
        <v>385</v>
      </c>
      <c r="K775" s="195" t="s">
        <v>386</v>
      </c>
      <c r="L775" s="191" t="s">
        <v>737</v>
      </c>
      <c r="M775" s="188">
        <v>76320300</v>
      </c>
      <c r="N775" s="196" t="s">
        <v>381</v>
      </c>
      <c r="O775" s="196" t="s">
        <v>382</v>
      </c>
      <c r="P775" s="192" t="s">
        <v>364</v>
      </c>
    </row>
    <row r="776" spans="1:16" ht="45" x14ac:dyDescent="0.3">
      <c r="A776" s="161">
        <v>2023788</v>
      </c>
      <c r="B776" s="2">
        <v>7658</v>
      </c>
      <c r="C776" s="3" t="s">
        <v>588</v>
      </c>
      <c r="D776" s="191" t="s">
        <v>319</v>
      </c>
      <c r="E776" s="196" t="s">
        <v>385</v>
      </c>
      <c r="F776" s="191" t="s">
        <v>739</v>
      </c>
      <c r="G776" s="193" t="s">
        <v>385</v>
      </c>
      <c r="H776" s="193" t="s">
        <v>385</v>
      </c>
      <c r="I776" s="191" t="s">
        <v>385</v>
      </c>
      <c r="J776" s="191" t="s">
        <v>385</v>
      </c>
      <c r="K776" s="195" t="s">
        <v>386</v>
      </c>
      <c r="L776" s="191" t="s">
        <v>737</v>
      </c>
      <c r="M776" s="188">
        <v>9842115</v>
      </c>
      <c r="N776" s="196" t="s">
        <v>381</v>
      </c>
      <c r="O776" s="196" t="s">
        <v>382</v>
      </c>
      <c r="P776" s="192" t="s">
        <v>364</v>
      </c>
    </row>
    <row r="777" spans="1:16" ht="90" x14ac:dyDescent="0.3">
      <c r="A777" s="161">
        <v>2023789</v>
      </c>
      <c r="B777" s="2">
        <v>7658</v>
      </c>
      <c r="C777" s="3" t="s">
        <v>588</v>
      </c>
      <c r="D777" s="191" t="s">
        <v>319</v>
      </c>
      <c r="E777" s="196" t="s">
        <v>385</v>
      </c>
      <c r="F777" s="191" t="s">
        <v>740</v>
      </c>
      <c r="G777" s="193" t="s">
        <v>385</v>
      </c>
      <c r="H777" s="193" t="s">
        <v>385</v>
      </c>
      <c r="I777" s="191" t="s">
        <v>385</v>
      </c>
      <c r="J777" s="191" t="s">
        <v>385</v>
      </c>
      <c r="K777" s="195" t="s">
        <v>386</v>
      </c>
      <c r="L777" s="191" t="s">
        <v>161</v>
      </c>
      <c r="M777" s="188">
        <v>10858630</v>
      </c>
      <c r="N777" s="196" t="s">
        <v>340</v>
      </c>
      <c r="O777" s="196" t="s">
        <v>163</v>
      </c>
      <c r="P777" s="192" t="s">
        <v>364</v>
      </c>
    </row>
    <row r="778" spans="1:16" ht="45" x14ac:dyDescent="0.3">
      <c r="A778" s="161">
        <v>2023790</v>
      </c>
      <c r="B778" s="2">
        <v>7658</v>
      </c>
      <c r="C778" s="3" t="s">
        <v>142</v>
      </c>
      <c r="D778" s="191" t="s">
        <v>319</v>
      </c>
      <c r="E778" s="196" t="s">
        <v>385</v>
      </c>
      <c r="F778" s="191" t="s">
        <v>741</v>
      </c>
      <c r="G778" s="193" t="s">
        <v>385</v>
      </c>
      <c r="H778" s="193" t="s">
        <v>385</v>
      </c>
      <c r="I778" s="191" t="s">
        <v>385</v>
      </c>
      <c r="J778" s="191" t="s">
        <v>385</v>
      </c>
      <c r="K778" s="195" t="s">
        <v>386</v>
      </c>
      <c r="L778" s="191" t="s">
        <v>737</v>
      </c>
      <c r="M778" s="188">
        <f>15054145+2099029</f>
        <v>17153174</v>
      </c>
      <c r="N778" s="196" t="s">
        <v>381</v>
      </c>
      <c r="O778" s="196" t="s">
        <v>382</v>
      </c>
      <c r="P778" s="192" t="s">
        <v>364</v>
      </c>
    </row>
    <row r="779" spans="1:16" ht="90" x14ac:dyDescent="0.3">
      <c r="A779" s="161">
        <v>2023791</v>
      </c>
      <c r="B779" s="2">
        <v>7658</v>
      </c>
      <c r="C779" s="3" t="s">
        <v>588</v>
      </c>
      <c r="D779" s="191" t="s">
        <v>319</v>
      </c>
      <c r="E779" s="196" t="s">
        <v>385</v>
      </c>
      <c r="F779" s="191" t="s">
        <v>742</v>
      </c>
      <c r="G779" s="193" t="s">
        <v>385</v>
      </c>
      <c r="H779" s="193" t="s">
        <v>385</v>
      </c>
      <c r="I779" s="191" t="s">
        <v>385</v>
      </c>
      <c r="J779" s="191" t="s">
        <v>385</v>
      </c>
      <c r="K779" s="195" t="s">
        <v>386</v>
      </c>
      <c r="L779" s="191" t="s">
        <v>737</v>
      </c>
      <c r="M779" s="188">
        <v>35252285</v>
      </c>
      <c r="N779" s="196" t="s">
        <v>340</v>
      </c>
      <c r="O779" s="196" t="s">
        <v>163</v>
      </c>
      <c r="P779" s="192" t="s">
        <v>364</v>
      </c>
    </row>
    <row r="780" spans="1:16" ht="90" x14ac:dyDescent="0.3">
      <c r="A780" s="161">
        <v>2023792</v>
      </c>
      <c r="B780" s="2">
        <v>7658</v>
      </c>
      <c r="C780" s="3" t="s">
        <v>142</v>
      </c>
      <c r="D780" s="191" t="s">
        <v>319</v>
      </c>
      <c r="E780" s="196" t="s">
        <v>725</v>
      </c>
      <c r="F780" s="191" t="s">
        <v>726</v>
      </c>
      <c r="G780" s="193">
        <v>45184</v>
      </c>
      <c r="H780" s="193">
        <v>45194</v>
      </c>
      <c r="I780" s="191">
        <v>3</v>
      </c>
      <c r="J780" s="191" t="s">
        <v>20</v>
      </c>
      <c r="K780" s="195" t="s">
        <v>21</v>
      </c>
      <c r="L780" s="191" t="s">
        <v>50</v>
      </c>
      <c r="M780" s="188">
        <v>27000000</v>
      </c>
      <c r="N780" s="196" t="s">
        <v>340</v>
      </c>
      <c r="O780" s="196" t="s">
        <v>163</v>
      </c>
      <c r="P780" s="192" t="s">
        <v>364</v>
      </c>
    </row>
    <row r="781" spans="1:16" ht="90" x14ac:dyDescent="0.3">
      <c r="A781" s="161">
        <v>2023793</v>
      </c>
      <c r="B781" s="2">
        <v>7658</v>
      </c>
      <c r="C781" s="3" t="s">
        <v>142</v>
      </c>
      <c r="D781" s="191" t="s">
        <v>319</v>
      </c>
      <c r="E781" s="196" t="s">
        <v>725</v>
      </c>
      <c r="F781" s="191" t="s">
        <v>727</v>
      </c>
      <c r="G781" s="193">
        <v>45184</v>
      </c>
      <c r="H781" s="193">
        <v>45194</v>
      </c>
      <c r="I781" s="191">
        <v>1</v>
      </c>
      <c r="J781" s="191" t="s">
        <v>20</v>
      </c>
      <c r="K781" s="195" t="s">
        <v>21</v>
      </c>
      <c r="L781" s="191" t="s">
        <v>27</v>
      </c>
      <c r="M781" s="188">
        <v>7300000</v>
      </c>
      <c r="N781" s="196" t="s">
        <v>340</v>
      </c>
      <c r="O781" s="196" t="s">
        <v>163</v>
      </c>
      <c r="P781" s="192" t="s">
        <v>364</v>
      </c>
    </row>
    <row r="782" spans="1:16" ht="90" x14ac:dyDescent="0.3">
      <c r="A782" s="161">
        <v>2023794</v>
      </c>
      <c r="B782" s="2">
        <v>7658</v>
      </c>
      <c r="C782" s="3" t="s">
        <v>142</v>
      </c>
      <c r="D782" s="191" t="s">
        <v>319</v>
      </c>
      <c r="E782" s="196" t="s">
        <v>725</v>
      </c>
      <c r="F782" s="191" t="s">
        <v>728</v>
      </c>
      <c r="G782" s="193">
        <v>45184</v>
      </c>
      <c r="H782" s="193">
        <v>45194</v>
      </c>
      <c r="I782" s="191">
        <v>3</v>
      </c>
      <c r="J782" s="191" t="s">
        <v>20</v>
      </c>
      <c r="K782" s="195" t="s">
        <v>21</v>
      </c>
      <c r="L782" s="191" t="s">
        <v>27</v>
      </c>
      <c r="M782" s="188">
        <v>18664200</v>
      </c>
      <c r="N782" s="196" t="s">
        <v>340</v>
      </c>
      <c r="O782" s="196" t="s">
        <v>163</v>
      </c>
      <c r="P782" s="192" t="s">
        <v>364</v>
      </c>
    </row>
    <row r="783" spans="1:16" ht="90" x14ac:dyDescent="0.3">
      <c r="A783" s="161">
        <v>2023795</v>
      </c>
      <c r="B783" s="2">
        <v>7658</v>
      </c>
      <c r="C783" s="3" t="s">
        <v>142</v>
      </c>
      <c r="D783" s="191" t="s">
        <v>319</v>
      </c>
      <c r="E783" s="196" t="s">
        <v>725</v>
      </c>
      <c r="F783" s="191" t="s">
        <v>729</v>
      </c>
      <c r="G783" s="193">
        <v>45184</v>
      </c>
      <c r="H783" s="193">
        <v>45194</v>
      </c>
      <c r="I783" s="191">
        <v>1</v>
      </c>
      <c r="J783" s="191" t="s">
        <v>20</v>
      </c>
      <c r="K783" s="195" t="s">
        <v>21</v>
      </c>
      <c r="L783" s="191" t="s">
        <v>27</v>
      </c>
      <c r="M783" s="188">
        <v>9275840</v>
      </c>
      <c r="N783" s="196" t="s">
        <v>340</v>
      </c>
      <c r="O783" s="196" t="s">
        <v>163</v>
      </c>
      <c r="P783" s="192" t="s">
        <v>364</v>
      </c>
    </row>
    <row r="784" spans="1:16" ht="90" x14ac:dyDescent="0.3">
      <c r="A784" s="161">
        <v>2023796</v>
      </c>
      <c r="B784" s="2">
        <v>7658</v>
      </c>
      <c r="C784" s="3" t="s">
        <v>142</v>
      </c>
      <c r="D784" s="191" t="s">
        <v>319</v>
      </c>
      <c r="E784" s="196" t="s">
        <v>725</v>
      </c>
      <c r="F784" s="191" t="s">
        <v>730</v>
      </c>
      <c r="G784" s="193">
        <v>45184</v>
      </c>
      <c r="H784" s="193">
        <v>45194</v>
      </c>
      <c r="I784" s="191">
        <v>1</v>
      </c>
      <c r="J784" s="191" t="s">
        <v>20</v>
      </c>
      <c r="K784" s="195" t="s">
        <v>21</v>
      </c>
      <c r="L784" s="191" t="s">
        <v>27</v>
      </c>
      <c r="M784" s="188">
        <v>5500000</v>
      </c>
      <c r="N784" s="196" t="s">
        <v>340</v>
      </c>
      <c r="O784" s="196" t="s">
        <v>163</v>
      </c>
      <c r="P784" s="192" t="s">
        <v>364</v>
      </c>
    </row>
    <row r="785" spans="1:16" ht="90" x14ac:dyDescent="0.3">
      <c r="A785" s="161">
        <v>2023797</v>
      </c>
      <c r="B785" s="2">
        <v>7658</v>
      </c>
      <c r="C785" s="3" t="s">
        <v>142</v>
      </c>
      <c r="D785" s="191" t="s">
        <v>319</v>
      </c>
      <c r="E785" s="196" t="s">
        <v>725</v>
      </c>
      <c r="F785" s="191" t="s">
        <v>731</v>
      </c>
      <c r="G785" s="193">
        <v>45184</v>
      </c>
      <c r="H785" s="193">
        <v>45194</v>
      </c>
      <c r="I785" s="191">
        <v>1</v>
      </c>
      <c r="J785" s="191" t="s">
        <v>20</v>
      </c>
      <c r="K785" s="195" t="s">
        <v>21</v>
      </c>
      <c r="L785" s="191" t="s">
        <v>27</v>
      </c>
      <c r="M785" s="188">
        <v>8257760</v>
      </c>
      <c r="N785" s="196" t="s">
        <v>340</v>
      </c>
      <c r="O785" s="196" t="s">
        <v>163</v>
      </c>
      <c r="P785" s="192" t="s">
        <v>364</v>
      </c>
    </row>
    <row r="786" spans="1:16" ht="90" x14ac:dyDescent="0.3">
      <c r="A786" s="161">
        <v>2023798</v>
      </c>
      <c r="B786" s="2">
        <v>7658</v>
      </c>
      <c r="C786" s="3" t="s">
        <v>142</v>
      </c>
      <c r="D786" s="191" t="s">
        <v>319</v>
      </c>
      <c r="E786" s="196" t="s">
        <v>725</v>
      </c>
      <c r="F786" s="191" t="s">
        <v>732</v>
      </c>
      <c r="G786" s="193">
        <v>45184</v>
      </c>
      <c r="H786" s="193">
        <v>45194</v>
      </c>
      <c r="I786" s="191">
        <v>1</v>
      </c>
      <c r="J786" s="191" t="s">
        <v>20</v>
      </c>
      <c r="K786" s="195" t="s">
        <v>21</v>
      </c>
      <c r="L786" s="191" t="s">
        <v>27</v>
      </c>
      <c r="M786" s="188">
        <v>7300000</v>
      </c>
      <c r="N786" s="196" t="s">
        <v>340</v>
      </c>
      <c r="O786" s="196" t="s">
        <v>163</v>
      </c>
      <c r="P786" s="192" t="s">
        <v>364</v>
      </c>
    </row>
    <row r="787" spans="1:16" ht="90" x14ac:dyDescent="0.3">
      <c r="A787" s="161">
        <v>2023799</v>
      </c>
      <c r="B787" s="2">
        <v>7658</v>
      </c>
      <c r="C787" s="3" t="s">
        <v>142</v>
      </c>
      <c r="D787" s="191" t="s">
        <v>319</v>
      </c>
      <c r="E787" s="196" t="s">
        <v>725</v>
      </c>
      <c r="F787" s="191" t="s">
        <v>733</v>
      </c>
      <c r="G787" s="193">
        <v>45184</v>
      </c>
      <c r="H787" s="193">
        <v>45194</v>
      </c>
      <c r="I787" s="191">
        <v>2</v>
      </c>
      <c r="J787" s="191" t="s">
        <v>20</v>
      </c>
      <c r="K787" s="195" t="s">
        <v>21</v>
      </c>
      <c r="L787" s="191" t="s">
        <v>27</v>
      </c>
      <c r="M787" s="188">
        <v>9000000</v>
      </c>
      <c r="N787" s="196" t="s">
        <v>340</v>
      </c>
      <c r="O787" s="196" t="s">
        <v>163</v>
      </c>
      <c r="P787" s="192" t="s">
        <v>364</v>
      </c>
    </row>
    <row r="788" spans="1:16" ht="90" x14ac:dyDescent="0.3">
      <c r="A788" s="161">
        <v>2023800</v>
      </c>
      <c r="B788" s="2">
        <v>7658</v>
      </c>
      <c r="C788" s="3" t="s">
        <v>142</v>
      </c>
      <c r="D788" s="191" t="s">
        <v>319</v>
      </c>
      <c r="E788" s="196" t="s">
        <v>341</v>
      </c>
      <c r="F788" s="191" t="s">
        <v>734</v>
      </c>
      <c r="G788" s="193">
        <v>45184</v>
      </c>
      <c r="H788" s="193">
        <v>45194</v>
      </c>
      <c r="I788" s="191" t="s">
        <v>385</v>
      </c>
      <c r="J788" s="191" t="s">
        <v>118</v>
      </c>
      <c r="K788" s="195" t="s">
        <v>21</v>
      </c>
      <c r="L788" s="191" t="s">
        <v>234</v>
      </c>
      <c r="M788" s="188">
        <v>16000000</v>
      </c>
      <c r="N788" s="196" t="s">
        <v>340</v>
      </c>
      <c r="O788" s="196" t="s">
        <v>163</v>
      </c>
      <c r="P788" s="192" t="s">
        <v>364</v>
      </c>
    </row>
    <row r="789" spans="1:16" ht="90" x14ac:dyDescent="0.3">
      <c r="A789" s="161">
        <v>2023802</v>
      </c>
      <c r="B789" s="2" t="s">
        <v>17</v>
      </c>
      <c r="C789" s="2" t="s">
        <v>17</v>
      </c>
      <c r="D789" s="191" t="s">
        <v>47</v>
      </c>
      <c r="E789" s="196">
        <v>80111600</v>
      </c>
      <c r="F789" s="191" t="s">
        <v>746</v>
      </c>
      <c r="G789" s="193">
        <v>45245</v>
      </c>
      <c r="H789" s="193">
        <v>45245</v>
      </c>
      <c r="I789" s="191">
        <v>1.5</v>
      </c>
      <c r="J789" s="191" t="s">
        <v>20</v>
      </c>
      <c r="K789" s="195" t="s">
        <v>21</v>
      </c>
      <c r="L789" s="191" t="s">
        <v>23</v>
      </c>
      <c r="M789" s="188">
        <v>10033333</v>
      </c>
      <c r="N789" s="196" t="s">
        <v>23</v>
      </c>
      <c r="O789" s="196" t="s">
        <v>23</v>
      </c>
      <c r="P789" s="192" t="s">
        <v>364</v>
      </c>
    </row>
    <row r="790" spans="1:16" ht="75" x14ac:dyDescent="0.3">
      <c r="A790" s="161">
        <v>2023804</v>
      </c>
      <c r="B790" s="2">
        <v>7658</v>
      </c>
      <c r="C790" s="3" t="s">
        <v>142</v>
      </c>
      <c r="D790" s="191" t="s">
        <v>281</v>
      </c>
      <c r="E790" s="196">
        <v>80111600</v>
      </c>
      <c r="F790" s="191" t="s">
        <v>751</v>
      </c>
      <c r="G790" s="193">
        <v>44942</v>
      </c>
      <c r="H790" s="193">
        <v>44942</v>
      </c>
      <c r="I790" s="191">
        <v>2</v>
      </c>
      <c r="J790" s="191" t="s">
        <v>20</v>
      </c>
      <c r="K790" s="195" t="s">
        <v>21</v>
      </c>
      <c r="L790" s="191" t="s">
        <v>27</v>
      </c>
      <c r="M790" s="188">
        <v>5000000</v>
      </c>
      <c r="N790" s="196" t="s">
        <v>285</v>
      </c>
      <c r="O790" s="196" t="s">
        <v>286</v>
      </c>
      <c r="P790" s="192" t="s">
        <v>364</v>
      </c>
    </row>
    <row r="791" spans="1:16" ht="60" x14ac:dyDescent="0.3">
      <c r="A791" s="161">
        <v>2023806</v>
      </c>
      <c r="B791" s="2">
        <v>7655</v>
      </c>
      <c r="C791" s="3" t="s">
        <v>25</v>
      </c>
      <c r="D791" s="196" t="s">
        <v>47</v>
      </c>
      <c r="E791" s="192">
        <v>80111600</v>
      </c>
      <c r="F791" s="192" t="s">
        <v>752</v>
      </c>
      <c r="G791" s="193">
        <v>45209</v>
      </c>
      <c r="H791" s="193">
        <v>45209</v>
      </c>
      <c r="I791" s="191">
        <v>1.6</v>
      </c>
      <c r="J791" s="191" t="s">
        <v>20</v>
      </c>
      <c r="K791" s="195" t="s">
        <v>21</v>
      </c>
      <c r="L791" s="191" t="s">
        <v>50</v>
      </c>
      <c r="M791" s="214">
        <v>12750000</v>
      </c>
      <c r="N791" s="192" t="s">
        <v>28</v>
      </c>
      <c r="O791" s="192" t="s">
        <v>29</v>
      </c>
      <c r="P791" s="192" t="s">
        <v>364</v>
      </c>
    </row>
    <row r="792" spans="1:16" ht="90" x14ac:dyDescent="0.3">
      <c r="A792" s="161">
        <v>2023807</v>
      </c>
      <c r="B792" s="2">
        <v>7655</v>
      </c>
      <c r="C792" s="3" t="s">
        <v>25</v>
      </c>
      <c r="D792" s="196" t="s">
        <v>47</v>
      </c>
      <c r="E792" s="192">
        <v>80111600</v>
      </c>
      <c r="F792" s="192" t="s">
        <v>753</v>
      </c>
      <c r="G792" s="193">
        <v>45209</v>
      </c>
      <c r="H792" s="193">
        <v>45209</v>
      </c>
      <c r="I792" s="191">
        <v>0.4</v>
      </c>
      <c r="J792" s="191" t="s">
        <v>20</v>
      </c>
      <c r="K792" s="195" t="s">
        <v>21</v>
      </c>
      <c r="L792" s="191" t="s">
        <v>50</v>
      </c>
      <c r="M792" s="214">
        <v>2805000</v>
      </c>
      <c r="N792" s="192" t="s">
        <v>28</v>
      </c>
      <c r="O792" s="192" t="s">
        <v>29</v>
      </c>
      <c r="P792" s="192" t="s">
        <v>364</v>
      </c>
    </row>
    <row r="793" spans="1:16" ht="60" x14ac:dyDescent="0.3">
      <c r="A793" s="161">
        <v>2023808</v>
      </c>
      <c r="B793" s="2">
        <v>7655</v>
      </c>
      <c r="C793" s="3" t="s">
        <v>25</v>
      </c>
      <c r="D793" s="196" t="s">
        <v>47</v>
      </c>
      <c r="E793" s="192">
        <v>80111600</v>
      </c>
      <c r="F793" s="192" t="s">
        <v>754</v>
      </c>
      <c r="G793" s="193">
        <v>45209</v>
      </c>
      <c r="H793" s="193">
        <v>45209</v>
      </c>
      <c r="I793" s="191">
        <v>3</v>
      </c>
      <c r="J793" s="191" t="s">
        <v>20</v>
      </c>
      <c r="K793" s="195" t="s">
        <v>21</v>
      </c>
      <c r="L793" s="191" t="s">
        <v>50</v>
      </c>
      <c r="M793" s="214">
        <v>12300000</v>
      </c>
      <c r="N793" s="192" t="s">
        <v>28</v>
      </c>
      <c r="O793" s="192" t="s">
        <v>29</v>
      </c>
      <c r="P793" s="192" t="s">
        <v>364</v>
      </c>
    </row>
    <row r="794" spans="1:16" ht="60" x14ac:dyDescent="0.3">
      <c r="A794" s="161">
        <v>2023810</v>
      </c>
      <c r="B794" s="2">
        <v>7655</v>
      </c>
      <c r="C794" s="3" t="s">
        <v>25</v>
      </c>
      <c r="D794" s="196" t="s">
        <v>47</v>
      </c>
      <c r="E794" s="192">
        <v>80111600</v>
      </c>
      <c r="F794" s="192" t="s">
        <v>755</v>
      </c>
      <c r="G794" s="193">
        <v>45209</v>
      </c>
      <c r="H794" s="193">
        <v>45209</v>
      </c>
      <c r="I794" s="191">
        <v>2.2999999999999998</v>
      </c>
      <c r="J794" s="191" t="s">
        <v>20</v>
      </c>
      <c r="K794" s="195" t="s">
        <v>21</v>
      </c>
      <c r="L794" s="191" t="s">
        <v>50</v>
      </c>
      <c r="M794" s="214">
        <v>8283333</v>
      </c>
      <c r="N794" s="192" t="s">
        <v>28</v>
      </c>
      <c r="O794" s="192" t="s">
        <v>29</v>
      </c>
      <c r="P794" s="192" t="s">
        <v>364</v>
      </c>
    </row>
    <row r="795" spans="1:16" ht="60" x14ac:dyDescent="0.3">
      <c r="A795" s="161">
        <v>2023811</v>
      </c>
      <c r="B795" s="2">
        <v>7655</v>
      </c>
      <c r="C795" s="3" t="s">
        <v>25</v>
      </c>
      <c r="D795" s="196" t="s">
        <v>47</v>
      </c>
      <c r="E795" s="192">
        <v>80111600</v>
      </c>
      <c r="F795" s="192" t="s">
        <v>756</v>
      </c>
      <c r="G795" s="193">
        <v>45209</v>
      </c>
      <c r="H795" s="193">
        <v>45209</v>
      </c>
      <c r="I795" s="191">
        <v>1</v>
      </c>
      <c r="J795" s="191" t="s">
        <v>20</v>
      </c>
      <c r="K795" s="195" t="s">
        <v>21</v>
      </c>
      <c r="L795" s="191" t="s">
        <v>27</v>
      </c>
      <c r="M795" s="214">
        <v>2900000</v>
      </c>
      <c r="N795" s="192" t="s">
        <v>28</v>
      </c>
      <c r="O795" s="192" t="s">
        <v>29</v>
      </c>
      <c r="P795" s="192" t="s">
        <v>364</v>
      </c>
    </row>
    <row r="796" spans="1:16" ht="60" x14ac:dyDescent="0.3">
      <c r="A796" s="161">
        <v>2023812</v>
      </c>
      <c r="B796" s="2">
        <v>7655</v>
      </c>
      <c r="C796" s="3" t="s">
        <v>25</v>
      </c>
      <c r="D796" s="196" t="s">
        <v>47</v>
      </c>
      <c r="E796" s="192">
        <v>80111600</v>
      </c>
      <c r="F796" s="192" t="s">
        <v>757</v>
      </c>
      <c r="G796" s="193">
        <v>45209</v>
      </c>
      <c r="H796" s="193">
        <v>45209</v>
      </c>
      <c r="I796" s="191">
        <v>3</v>
      </c>
      <c r="J796" s="191" t="s">
        <v>20</v>
      </c>
      <c r="K796" s="195" t="s">
        <v>21</v>
      </c>
      <c r="L796" s="191" t="s">
        <v>27</v>
      </c>
      <c r="M796" s="214">
        <v>8700000</v>
      </c>
      <c r="N796" s="192" t="s">
        <v>28</v>
      </c>
      <c r="O796" s="192" t="s">
        <v>29</v>
      </c>
      <c r="P796" s="192" t="s">
        <v>364</v>
      </c>
    </row>
    <row r="797" spans="1:16" ht="60" x14ac:dyDescent="0.3">
      <c r="A797" s="161">
        <v>2023813</v>
      </c>
      <c r="B797" s="2">
        <v>7655</v>
      </c>
      <c r="C797" s="3" t="s">
        <v>25</v>
      </c>
      <c r="D797" s="196" t="s">
        <v>47</v>
      </c>
      <c r="E797" s="192">
        <v>80111600</v>
      </c>
      <c r="F797" s="192" t="s">
        <v>758</v>
      </c>
      <c r="G797" s="193">
        <v>45209</v>
      </c>
      <c r="H797" s="193">
        <v>45209</v>
      </c>
      <c r="I797" s="191">
        <v>1</v>
      </c>
      <c r="J797" s="191" t="s">
        <v>20</v>
      </c>
      <c r="K797" s="195" t="s">
        <v>21</v>
      </c>
      <c r="L797" s="191" t="s">
        <v>27</v>
      </c>
      <c r="M797" s="214">
        <v>2900000</v>
      </c>
      <c r="N797" s="192" t="s">
        <v>28</v>
      </c>
      <c r="O797" s="192" t="s">
        <v>29</v>
      </c>
      <c r="P797" s="192" t="s">
        <v>364</v>
      </c>
    </row>
    <row r="798" spans="1:16" ht="60" x14ac:dyDescent="0.3">
      <c r="A798" s="161">
        <v>2023814</v>
      </c>
      <c r="B798" s="2">
        <v>7655</v>
      </c>
      <c r="C798" s="3" t="s">
        <v>25</v>
      </c>
      <c r="D798" s="196" t="s">
        <v>47</v>
      </c>
      <c r="E798" s="192">
        <v>80111600</v>
      </c>
      <c r="F798" s="192" t="s">
        <v>759</v>
      </c>
      <c r="G798" s="193">
        <v>45209</v>
      </c>
      <c r="H798" s="193">
        <v>45209</v>
      </c>
      <c r="I798" s="191">
        <v>3</v>
      </c>
      <c r="J798" s="191" t="s">
        <v>20</v>
      </c>
      <c r="K798" s="195" t="s">
        <v>21</v>
      </c>
      <c r="L798" s="191" t="s">
        <v>50</v>
      </c>
      <c r="M798" s="214">
        <v>11400000</v>
      </c>
      <c r="N798" s="192" t="s">
        <v>28</v>
      </c>
      <c r="O798" s="192" t="s">
        <v>29</v>
      </c>
      <c r="P798" s="192" t="s">
        <v>364</v>
      </c>
    </row>
    <row r="799" spans="1:16" ht="90" x14ac:dyDescent="0.3">
      <c r="A799" s="161">
        <v>2023815</v>
      </c>
      <c r="B799" s="2">
        <v>7655</v>
      </c>
      <c r="C799" s="3" t="s">
        <v>25</v>
      </c>
      <c r="D799" s="196" t="s">
        <v>47</v>
      </c>
      <c r="E799" s="192">
        <v>80111600</v>
      </c>
      <c r="F799" s="192" t="s">
        <v>760</v>
      </c>
      <c r="G799" s="193">
        <v>45209</v>
      </c>
      <c r="H799" s="193">
        <v>45209</v>
      </c>
      <c r="I799" s="191">
        <v>0.5</v>
      </c>
      <c r="J799" s="191" t="s">
        <v>20</v>
      </c>
      <c r="K799" s="195" t="s">
        <v>21</v>
      </c>
      <c r="L799" s="191" t="s">
        <v>27</v>
      </c>
      <c r="M799" s="214">
        <v>2550000</v>
      </c>
      <c r="N799" s="192" t="s">
        <v>28</v>
      </c>
      <c r="O799" s="192" t="s">
        <v>29</v>
      </c>
      <c r="P799" s="192" t="s">
        <v>364</v>
      </c>
    </row>
    <row r="800" spans="1:16" ht="90" x14ac:dyDescent="0.3">
      <c r="A800" s="161">
        <v>2023816</v>
      </c>
      <c r="B800" s="2">
        <v>7655</v>
      </c>
      <c r="C800" s="3" t="s">
        <v>25</v>
      </c>
      <c r="D800" s="196" t="s">
        <v>47</v>
      </c>
      <c r="E800" s="192">
        <v>80111600</v>
      </c>
      <c r="F800" s="192" t="s">
        <v>761</v>
      </c>
      <c r="G800" s="193">
        <v>45209</v>
      </c>
      <c r="H800" s="193">
        <v>45209</v>
      </c>
      <c r="I800" s="191">
        <v>3</v>
      </c>
      <c r="J800" s="191" t="s">
        <v>20</v>
      </c>
      <c r="K800" s="195" t="s">
        <v>21</v>
      </c>
      <c r="L800" s="191" t="s">
        <v>50</v>
      </c>
      <c r="M800" s="214">
        <v>10200000</v>
      </c>
      <c r="N800" s="192" t="s">
        <v>28</v>
      </c>
      <c r="O800" s="192" t="s">
        <v>29</v>
      </c>
      <c r="P800" s="192" t="s">
        <v>364</v>
      </c>
    </row>
    <row r="801" spans="1:16" ht="60" x14ac:dyDescent="0.3">
      <c r="A801" s="2">
        <v>2023817</v>
      </c>
      <c r="B801" s="2">
        <v>7655</v>
      </c>
      <c r="C801" s="3" t="s">
        <v>25</v>
      </c>
      <c r="D801" s="196" t="s">
        <v>47</v>
      </c>
      <c r="E801" s="192">
        <v>80111600</v>
      </c>
      <c r="F801" s="192" t="s">
        <v>762</v>
      </c>
      <c r="G801" s="193">
        <v>45209</v>
      </c>
      <c r="H801" s="193">
        <v>45209</v>
      </c>
      <c r="I801" s="191">
        <v>2.5</v>
      </c>
      <c r="J801" s="191" t="s">
        <v>20</v>
      </c>
      <c r="K801" s="195" t="s">
        <v>21</v>
      </c>
      <c r="L801" s="191" t="s">
        <v>50</v>
      </c>
      <c r="M801" s="214">
        <v>9625000</v>
      </c>
      <c r="N801" s="192" t="s">
        <v>28</v>
      </c>
      <c r="O801" s="192" t="s">
        <v>29</v>
      </c>
      <c r="P801" s="192" t="s">
        <v>364</v>
      </c>
    </row>
    <row r="802" spans="1:16" ht="90" x14ac:dyDescent="0.3">
      <c r="A802" s="2">
        <v>2023818</v>
      </c>
      <c r="B802" s="2">
        <v>7655</v>
      </c>
      <c r="C802" s="3" t="s">
        <v>25</v>
      </c>
      <c r="D802" s="196" t="s">
        <v>47</v>
      </c>
      <c r="E802" s="192">
        <v>80111600</v>
      </c>
      <c r="F802" s="192" t="s">
        <v>763</v>
      </c>
      <c r="G802" s="193">
        <v>45209</v>
      </c>
      <c r="H802" s="193">
        <v>45209</v>
      </c>
      <c r="I802" s="191">
        <v>0.3</v>
      </c>
      <c r="J802" s="191" t="s">
        <v>20</v>
      </c>
      <c r="K802" s="195" t="s">
        <v>21</v>
      </c>
      <c r="L802" s="191" t="s">
        <v>50</v>
      </c>
      <c r="M802" s="214">
        <v>1666667</v>
      </c>
      <c r="N802" s="192" t="s">
        <v>28</v>
      </c>
      <c r="O802" s="192" t="s">
        <v>29</v>
      </c>
      <c r="P802" s="192" t="s">
        <v>364</v>
      </c>
    </row>
    <row r="803" spans="1:16" ht="90" x14ac:dyDescent="0.3">
      <c r="A803" s="2">
        <v>2023820</v>
      </c>
      <c r="B803" s="2">
        <v>7655</v>
      </c>
      <c r="C803" s="3" t="s">
        <v>25</v>
      </c>
      <c r="D803" s="196" t="s">
        <v>215</v>
      </c>
      <c r="E803" s="192">
        <v>80111600</v>
      </c>
      <c r="F803" s="192" t="s">
        <v>766</v>
      </c>
      <c r="G803" s="193">
        <v>45184</v>
      </c>
      <c r="H803" s="193">
        <v>45184</v>
      </c>
      <c r="I803" s="191">
        <v>2</v>
      </c>
      <c r="J803" s="191" t="s">
        <v>20</v>
      </c>
      <c r="K803" s="195" t="s">
        <v>21</v>
      </c>
      <c r="L803" s="191" t="s">
        <v>27</v>
      </c>
      <c r="M803" s="214">
        <v>10000000</v>
      </c>
      <c r="N803" s="192" t="s">
        <v>28</v>
      </c>
      <c r="O803" s="192" t="s">
        <v>29</v>
      </c>
      <c r="P803" s="192" t="s">
        <v>364</v>
      </c>
    </row>
    <row r="804" spans="1:16" ht="90" x14ac:dyDescent="0.3">
      <c r="A804" s="2">
        <v>2023821</v>
      </c>
      <c r="B804" s="2">
        <v>7655</v>
      </c>
      <c r="C804" s="3" t="s">
        <v>25</v>
      </c>
      <c r="D804" s="196" t="s">
        <v>204</v>
      </c>
      <c r="E804" s="192">
        <v>80111600</v>
      </c>
      <c r="F804" s="192" t="s">
        <v>768</v>
      </c>
      <c r="G804" s="193">
        <v>45184</v>
      </c>
      <c r="H804" s="193">
        <v>45184</v>
      </c>
      <c r="I804" s="191">
        <v>1</v>
      </c>
      <c r="J804" s="191" t="s">
        <v>20</v>
      </c>
      <c r="K804" s="195" t="s">
        <v>21</v>
      </c>
      <c r="L804" s="191" t="s">
        <v>27</v>
      </c>
      <c r="M804" s="214">
        <v>5000000</v>
      </c>
      <c r="N804" s="192" t="s">
        <v>28</v>
      </c>
      <c r="O804" s="192" t="s">
        <v>29</v>
      </c>
      <c r="P804" s="192" t="s">
        <v>364</v>
      </c>
    </row>
    <row r="805" spans="1:16" ht="90" x14ac:dyDescent="0.3">
      <c r="A805" s="2">
        <v>2023822</v>
      </c>
      <c r="B805" s="2">
        <v>7658</v>
      </c>
      <c r="C805" s="3" t="s">
        <v>142</v>
      </c>
      <c r="D805" s="196" t="s">
        <v>221</v>
      </c>
      <c r="E805" s="192">
        <v>80111600</v>
      </c>
      <c r="F805" s="192" t="s">
        <v>770</v>
      </c>
      <c r="G805" s="193">
        <v>45200</v>
      </c>
      <c r="H805" s="193">
        <v>45204</v>
      </c>
      <c r="I805" s="191">
        <v>2</v>
      </c>
      <c r="J805" s="191" t="s">
        <v>20</v>
      </c>
      <c r="K805" s="195" t="s">
        <v>21</v>
      </c>
      <c r="L805" s="191" t="s">
        <v>27</v>
      </c>
      <c r="M805" s="188">
        <v>4500000</v>
      </c>
      <c r="N805" s="192" t="s">
        <v>224</v>
      </c>
      <c r="O805" s="192" t="s">
        <v>163</v>
      </c>
      <c r="P805" s="192" t="s">
        <v>364</v>
      </c>
    </row>
    <row r="806" spans="1:16" ht="90" x14ac:dyDescent="0.3">
      <c r="A806" s="2">
        <v>2023823</v>
      </c>
      <c r="B806" s="2">
        <v>7658</v>
      </c>
      <c r="C806" s="3" t="s">
        <v>142</v>
      </c>
      <c r="D806" s="196" t="s">
        <v>221</v>
      </c>
      <c r="E806" s="192">
        <v>80111600</v>
      </c>
      <c r="F806" s="192" t="s">
        <v>771</v>
      </c>
      <c r="G806" s="193">
        <v>45200</v>
      </c>
      <c r="H806" s="193">
        <v>45204</v>
      </c>
      <c r="I806" s="191">
        <v>2</v>
      </c>
      <c r="J806" s="191" t="s">
        <v>20</v>
      </c>
      <c r="K806" s="195" t="s">
        <v>21</v>
      </c>
      <c r="L806" s="191" t="s">
        <v>27</v>
      </c>
      <c r="M806" s="188">
        <v>4650000</v>
      </c>
      <c r="N806" s="192" t="s">
        <v>224</v>
      </c>
      <c r="O806" s="192" t="s">
        <v>163</v>
      </c>
      <c r="P806" s="192" t="s">
        <v>364</v>
      </c>
    </row>
    <row r="807" spans="1:16" ht="90" x14ac:dyDescent="0.3">
      <c r="A807" s="2">
        <v>2023824</v>
      </c>
      <c r="B807" s="2">
        <v>7658</v>
      </c>
      <c r="C807" s="3" t="s">
        <v>142</v>
      </c>
      <c r="D807" s="196" t="s">
        <v>221</v>
      </c>
      <c r="E807" s="192">
        <v>80111600</v>
      </c>
      <c r="F807" s="192" t="s">
        <v>772</v>
      </c>
      <c r="G807" s="193">
        <v>45200</v>
      </c>
      <c r="H807" s="193">
        <v>45204</v>
      </c>
      <c r="I807" s="191">
        <v>2</v>
      </c>
      <c r="J807" s="191" t="s">
        <v>20</v>
      </c>
      <c r="K807" s="195" t="s">
        <v>21</v>
      </c>
      <c r="L807" s="191" t="s">
        <v>27</v>
      </c>
      <c r="M807" s="188">
        <v>4800000</v>
      </c>
      <c r="N807" s="192" t="s">
        <v>224</v>
      </c>
      <c r="O807" s="192" t="s">
        <v>163</v>
      </c>
      <c r="P807" s="192" t="s">
        <v>364</v>
      </c>
    </row>
    <row r="808" spans="1:16" ht="90" x14ac:dyDescent="0.3">
      <c r="A808" s="2">
        <v>2023825</v>
      </c>
      <c r="B808" s="2">
        <v>7658</v>
      </c>
      <c r="C808" s="3" t="s">
        <v>142</v>
      </c>
      <c r="D808" s="196" t="s">
        <v>221</v>
      </c>
      <c r="E808" s="192">
        <v>80111600</v>
      </c>
      <c r="F808" s="192" t="s">
        <v>773</v>
      </c>
      <c r="G808" s="193">
        <v>45200</v>
      </c>
      <c r="H808" s="193">
        <v>45204</v>
      </c>
      <c r="I808" s="191">
        <v>2</v>
      </c>
      <c r="J808" s="191" t="s">
        <v>20</v>
      </c>
      <c r="K808" s="195" t="s">
        <v>21</v>
      </c>
      <c r="L808" s="191" t="s">
        <v>27</v>
      </c>
      <c r="M808" s="188">
        <v>4800000</v>
      </c>
      <c r="N808" s="192" t="s">
        <v>224</v>
      </c>
      <c r="O808" s="192" t="s">
        <v>163</v>
      </c>
      <c r="P808" s="192" t="s">
        <v>364</v>
      </c>
    </row>
    <row r="809" spans="1:16" ht="90" x14ac:dyDescent="0.3">
      <c r="A809" s="2">
        <v>2023826</v>
      </c>
      <c r="B809" s="2">
        <v>7658</v>
      </c>
      <c r="C809" s="3" t="s">
        <v>142</v>
      </c>
      <c r="D809" s="196" t="s">
        <v>221</v>
      </c>
      <c r="E809" s="192">
        <v>80111600</v>
      </c>
      <c r="F809" s="192" t="s">
        <v>774</v>
      </c>
      <c r="G809" s="193">
        <v>45200</v>
      </c>
      <c r="H809" s="193">
        <v>45204</v>
      </c>
      <c r="I809" s="191">
        <v>2</v>
      </c>
      <c r="J809" s="191" t="s">
        <v>20</v>
      </c>
      <c r="K809" s="195" t="s">
        <v>21</v>
      </c>
      <c r="L809" s="191" t="s">
        <v>27</v>
      </c>
      <c r="M809" s="188">
        <v>6000000</v>
      </c>
      <c r="N809" s="192" t="s">
        <v>224</v>
      </c>
      <c r="O809" s="192" t="s">
        <v>163</v>
      </c>
      <c r="P809" s="192" t="s">
        <v>364</v>
      </c>
    </row>
    <row r="810" spans="1:16" ht="90" x14ac:dyDescent="0.3">
      <c r="A810" s="2">
        <v>2023827</v>
      </c>
      <c r="B810" s="2">
        <v>7658</v>
      </c>
      <c r="C810" s="3" t="s">
        <v>142</v>
      </c>
      <c r="D810" s="196" t="s">
        <v>221</v>
      </c>
      <c r="E810" s="192">
        <v>80111600</v>
      </c>
      <c r="F810" s="192" t="s">
        <v>775</v>
      </c>
      <c r="G810" s="193">
        <v>45200</v>
      </c>
      <c r="H810" s="193">
        <v>45204</v>
      </c>
      <c r="I810" s="191">
        <v>2</v>
      </c>
      <c r="J810" s="191" t="s">
        <v>20</v>
      </c>
      <c r="K810" s="195" t="s">
        <v>21</v>
      </c>
      <c r="L810" s="191" t="s">
        <v>27</v>
      </c>
      <c r="M810" s="188">
        <v>14083333</v>
      </c>
      <c r="N810" s="192" t="s">
        <v>224</v>
      </c>
      <c r="O810" s="192" t="s">
        <v>163</v>
      </c>
      <c r="P810" s="192" t="s">
        <v>364</v>
      </c>
    </row>
    <row r="811" spans="1:16" ht="90" x14ac:dyDescent="0.3">
      <c r="A811" s="2">
        <v>2023828</v>
      </c>
      <c r="B811" s="2">
        <v>7658</v>
      </c>
      <c r="C811" s="3" t="s">
        <v>142</v>
      </c>
      <c r="D811" s="196" t="s">
        <v>221</v>
      </c>
      <c r="E811" s="192">
        <v>80111600</v>
      </c>
      <c r="F811" s="192" t="s">
        <v>776</v>
      </c>
      <c r="G811" s="193">
        <v>45200</v>
      </c>
      <c r="H811" s="193">
        <v>45204</v>
      </c>
      <c r="I811" s="191">
        <v>2</v>
      </c>
      <c r="J811" s="191" t="s">
        <v>20</v>
      </c>
      <c r="K811" s="195" t="s">
        <v>21</v>
      </c>
      <c r="L811" s="191" t="s">
        <v>27</v>
      </c>
      <c r="M811" s="188">
        <v>7333333</v>
      </c>
      <c r="N811" s="192" t="s">
        <v>224</v>
      </c>
      <c r="O811" s="192" t="s">
        <v>163</v>
      </c>
      <c r="P811" s="192" t="s">
        <v>364</v>
      </c>
    </row>
    <row r="812" spans="1:16" ht="105" x14ac:dyDescent="0.3">
      <c r="A812" s="2">
        <v>2023829</v>
      </c>
      <c r="B812" s="2">
        <v>7658</v>
      </c>
      <c r="C812" s="3" t="s">
        <v>142</v>
      </c>
      <c r="D812" s="196" t="s">
        <v>221</v>
      </c>
      <c r="E812" s="192">
        <v>80111600</v>
      </c>
      <c r="F812" s="192" t="s">
        <v>777</v>
      </c>
      <c r="G812" s="193">
        <v>45200</v>
      </c>
      <c r="H812" s="193">
        <v>45204</v>
      </c>
      <c r="I812" s="191">
        <v>2</v>
      </c>
      <c r="J812" s="191" t="s">
        <v>20</v>
      </c>
      <c r="K812" s="195" t="s">
        <v>21</v>
      </c>
      <c r="L812" s="191" t="s">
        <v>27</v>
      </c>
      <c r="M812" s="188">
        <v>3000000</v>
      </c>
      <c r="N812" s="192" t="s">
        <v>224</v>
      </c>
      <c r="O812" s="192" t="s">
        <v>163</v>
      </c>
      <c r="P812" s="192" t="s">
        <v>364</v>
      </c>
    </row>
    <row r="813" spans="1:16" ht="90" x14ac:dyDescent="0.3">
      <c r="A813" s="2">
        <v>2023830</v>
      </c>
      <c r="B813" s="2">
        <v>7658</v>
      </c>
      <c r="C813" s="3" t="s">
        <v>142</v>
      </c>
      <c r="D813" s="196" t="s">
        <v>221</v>
      </c>
      <c r="E813" s="192">
        <v>80111600</v>
      </c>
      <c r="F813" s="192" t="s">
        <v>778</v>
      </c>
      <c r="G813" s="193">
        <v>45200</v>
      </c>
      <c r="H813" s="193">
        <v>45204</v>
      </c>
      <c r="I813" s="191">
        <v>2</v>
      </c>
      <c r="J813" s="191" t="s">
        <v>20</v>
      </c>
      <c r="K813" s="195" t="s">
        <v>21</v>
      </c>
      <c r="L813" s="191" t="s">
        <v>27</v>
      </c>
      <c r="M813" s="188">
        <v>3000000</v>
      </c>
      <c r="N813" s="192" t="s">
        <v>224</v>
      </c>
      <c r="O813" s="192" t="s">
        <v>163</v>
      </c>
      <c r="P813" s="192" t="s">
        <v>364</v>
      </c>
    </row>
    <row r="814" spans="1:16" ht="90" x14ac:dyDescent="0.3">
      <c r="A814" s="2">
        <v>2023831</v>
      </c>
      <c r="B814" s="2">
        <v>7658</v>
      </c>
      <c r="C814" s="3" t="s">
        <v>142</v>
      </c>
      <c r="D814" s="196" t="s">
        <v>221</v>
      </c>
      <c r="E814" s="192">
        <v>80111600</v>
      </c>
      <c r="F814" s="192" t="s">
        <v>779</v>
      </c>
      <c r="G814" s="193">
        <v>45200</v>
      </c>
      <c r="H814" s="193">
        <v>45204</v>
      </c>
      <c r="I814" s="191">
        <v>4</v>
      </c>
      <c r="J814" s="191" t="s">
        <v>20</v>
      </c>
      <c r="K814" s="195" t="s">
        <v>21</v>
      </c>
      <c r="L814" s="191" t="s">
        <v>27</v>
      </c>
      <c r="M814" s="188">
        <v>18000000</v>
      </c>
      <c r="N814" s="192" t="s">
        <v>224</v>
      </c>
      <c r="O814" s="192" t="s">
        <v>163</v>
      </c>
      <c r="P814" s="192" t="s">
        <v>24</v>
      </c>
    </row>
    <row r="815" spans="1:16" ht="90" x14ac:dyDescent="0.3">
      <c r="A815" s="2">
        <v>2023832</v>
      </c>
      <c r="B815" s="2" t="s">
        <v>17</v>
      </c>
      <c r="C815" s="3" t="s">
        <v>17</v>
      </c>
      <c r="D815" s="196" t="s">
        <v>319</v>
      </c>
      <c r="E815" s="192" t="s">
        <v>404</v>
      </c>
      <c r="F815" s="192" t="s">
        <v>780</v>
      </c>
      <c r="G815" s="193">
        <v>45187</v>
      </c>
      <c r="H815" s="193">
        <v>45191</v>
      </c>
      <c r="I815" s="191" t="s">
        <v>385</v>
      </c>
      <c r="J815" s="191" t="s">
        <v>118</v>
      </c>
      <c r="K815" s="195" t="s">
        <v>21</v>
      </c>
      <c r="L815" s="191" t="s">
        <v>23</v>
      </c>
      <c r="M815" s="188">
        <v>8400000</v>
      </c>
      <c r="N815" s="192" t="s">
        <v>23</v>
      </c>
      <c r="O815" s="192" t="s">
        <v>23</v>
      </c>
      <c r="P815" s="192" t="s">
        <v>364</v>
      </c>
    </row>
    <row r="816" spans="1:16" ht="30" x14ac:dyDescent="0.3">
      <c r="A816" s="2">
        <v>2023833</v>
      </c>
      <c r="B816" s="2" t="s">
        <v>17</v>
      </c>
      <c r="C816" s="3" t="s">
        <v>17</v>
      </c>
      <c r="D816" s="196" t="s">
        <v>319</v>
      </c>
      <c r="E816" s="192" t="s">
        <v>781</v>
      </c>
      <c r="F816" s="192" t="s">
        <v>782</v>
      </c>
      <c r="G816" s="193">
        <v>45187</v>
      </c>
      <c r="H816" s="193">
        <v>45191</v>
      </c>
      <c r="I816" s="191">
        <v>10</v>
      </c>
      <c r="J816" s="191" t="s">
        <v>118</v>
      </c>
      <c r="K816" s="195" t="s">
        <v>21</v>
      </c>
      <c r="L816" s="191" t="s">
        <v>23</v>
      </c>
      <c r="M816" s="188">
        <v>14865678</v>
      </c>
      <c r="N816" s="192" t="s">
        <v>23</v>
      </c>
      <c r="O816" s="192" t="s">
        <v>23</v>
      </c>
      <c r="P816" s="192" t="s">
        <v>24</v>
      </c>
    </row>
    <row r="817" spans="1:16" ht="120" x14ac:dyDescent="0.3">
      <c r="A817" s="2">
        <v>2023834</v>
      </c>
      <c r="B817" s="2" t="s">
        <v>17</v>
      </c>
      <c r="C817" s="3" t="s">
        <v>17</v>
      </c>
      <c r="D817" s="196" t="s">
        <v>319</v>
      </c>
      <c r="E817" s="192" t="s">
        <v>394</v>
      </c>
      <c r="F817" s="192" t="s">
        <v>783</v>
      </c>
      <c r="G817" s="193">
        <v>45187</v>
      </c>
      <c r="H817" s="193">
        <v>45191</v>
      </c>
      <c r="I817" s="191" t="s">
        <v>385</v>
      </c>
      <c r="J817" s="191" t="s">
        <v>66</v>
      </c>
      <c r="K817" s="195" t="s">
        <v>21</v>
      </c>
      <c r="L817" s="191" t="s">
        <v>23</v>
      </c>
      <c r="M817" s="188">
        <v>30000000</v>
      </c>
      <c r="N817" s="192" t="s">
        <v>23</v>
      </c>
      <c r="O817" s="192" t="s">
        <v>23</v>
      </c>
      <c r="P817" s="192" t="s">
        <v>364</v>
      </c>
    </row>
    <row r="818" spans="1:16" ht="45" x14ac:dyDescent="0.3">
      <c r="A818" s="2">
        <v>2023835</v>
      </c>
      <c r="B818" s="2">
        <v>7658</v>
      </c>
      <c r="C818" s="3" t="s">
        <v>142</v>
      </c>
      <c r="D818" s="196" t="s">
        <v>319</v>
      </c>
      <c r="E818" s="192" t="s">
        <v>385</v>
      </c>
      <c r="F818" s="192" t="s">
        <v>784</v>
      </c>
      <c r="G818" s="193" t="s">
        <v>385</v>
      </c>
      <c r="H818" s="193" t="s">
        <v>385</v>
      </c>
      <c r="I818" s="191" t="s">
        <v>385</v>
      </c>
      <c r="J818" s="191" t="s">
        <v>385</v>
      </c>
      <c r="K818" s="195" t="s">
        <v>386</v>
      </c>
      <c r="L818" s="191" t="s">
        <v>737</v>
      </c>
      <c r="M818" s="188">
        <v>17217745</v>
      </c>
      <c r="N818" s="192" t="s">
        <v>381</v>
      </c>
      <c r="O818" s="192" t="s">
        <v>382</v>
      </c>
      <c r="P818" s="192" t="s">
        <v>364</v>
      </c>
    </row>
    <row r="819" spans="1:16" ht="90" x14ac:dyDescent="0.3">
      <c r="A819" s="2">
        <v>2023836</v>
      </c>
      <c r="B819" s="2">
        <v>7658</v>
      </c>
      <c r="C819" s="3" t="s">
        <v>142</v>
      </c>
      <c r="D819" s="196" t="s">
        <v>319</v>
      </c>
      <c r="E819" s="192">
        <v>80111600</v>
      </c>
      <c r="F819" s="192" t="s">
        <v>785</v>
      </c>
      <c r="G819" s="193">
        <v>45191</v>
      </c>
      <c r="H819" s="193">
        <v>45200</v>
      </c>
      <c r="I819" s="191">
        <v>3.5</v>
      </c>
      <c r="J819" s="191" t="s">
        <v>20</v>
      </c>
      <c r="K819" s="195" t="s">
        <v>21</v>
      </c>
      <c r="L819" s="191" t="s">
        <v>27</v>
      </c>
      <c r="M819" s="188">
        <v>26924310</v>
      </c>
      <c r="N819" s="192" t="s">
        <v>340</v>
      </c>
      <c r="O819" s="192" t="s">
        <v>163</v>
      </c>
      <c r="P819" s="192" t="s">
        <v>24</v>
      </c>
    </row>
    <row r="820" spans="1:16" ht="90" x14ac:dyDescent="0.3">
      <c r="A820" s="2">
        <v>2023837</v>
      </c>
      <c r="B820" s="2">
        <v>7637</v>
      </c>
      <c r="C820" s="3" t="s">
        <v>73</v>
      </c>
      <c r="D820" s="191" t="s">
        <v>18</v>
      </c>
      <c r="E820" s="192">
        <v>80111600</v>
      </c>
      <c r="F820" s="191" t="s">
        <v>786</v>
      </c>
      <c r="G820" s="193">
        <v>45214</v>
      </c>
      <c r="H820" s="193">
        <v>45229</v>
      </c>
      <c r="I820" s="191">
        <v>2</v>
      </c>
      <c r="J820" s="191" t="s">
        <v>20</v>
      </c>
      <c r="K820" s="195" t="s">
        <v>21</v>
      </c>
      <c r="L820" s="191" t="s">
        <v>27</v>
      </c>
      <c r="M820" s="188">
        <v>13000000</v>
      </c>
      <c r="N820" s="192" t="s">
        <v>86</v>
      </c>
      <c r="O820" s="192" t="s">
        <v>76</v>
      </c>
      <c r="P820" s="192" t="s">
        <v>364</v>
      </c>
    </row>
    <row r="821" spans="1:16" ht="75" x14ac:dyDescent="0.3">
      <c r="A821" s="2">
        <v>2023838</v>
      </c>
      <c r="B821" s="2">
        <v>7637</v>
      </c>
      <c r="C821" s="3" t="s">
        <v>73</v>
      </c>
      <c r="D821" s="191" t="s">
        <v>18</v>
      </c>
      <c r="E821" s="192">
        <v>80111600</v>
      </c>
      <c r="F821" s="191" t="s">
        <v>787</v>
      </c>
      <c r="G821" s="193">
        <v>45261</v>
      </c>
      <c r="H821" s="193">
        <v>45275</v>
      </c>
      <c r="I821" s="191">
        <v>1</v>
      </c>
      <c r="J821" s="191" t="s">
        <v>20</v>
      </c>
      <c r="K821" s="195" t="s">
        <v>21</v>
      </c>
      <c r="L821" s="191" t="s">
        <v>27</v>
      </c>
      <c r="M821" s="188">
        <v>5000000</v>
      </c>
      <c r="N821" s="192" t="s">
        <v>75</v>
      </c>
      <c r="O821" s="192" t="s">
        <v>76</v>
      </c>
      <c r="P821" s="192" t="s">
        <v>364</v>
      </c>
    </row>
    <row r="822" spans="1:16" ht="105" x14ac:dyDescent="0.3">
      <c r="A822" s="2">
        <v>2023839</v>
      </c>
      <c r="B822" s="2">
        <v>7637</v>
      </c>
      <c r="C822" s="3" t="s">
        <v>73</v>
      </c>
      <c r="D822" s="191" t="s">
        <v>18</v>
      </c>
      <c r="E822" s="196">
        <v>80111600</v>
      </c>
      <c r="F822" s="191" t="s">
        <v>788</v>
      </c>
      <c r="G822" s="193">
        <v>45252</v>
      </c>
      <c r="H822" s="193">
        <v>45267</v>
      </c>
      <c r="I822" s="191">
        <v>1</v>
      </c>
      <c r="J822" s="191" t="s">
        <v>20</v>
      </c>
      <c r="K822" s="195" t="s">
        <v>21</v>
      </c>
      <c r="L822" s="191" t="s">
        <v>27</v>
      </c>
      <c r="M822" s="188">
        <v>6500000</v>
      </c>
      <c r="N822" s="196" t="s">
        <v>75</v>
      </c>
      <c r="O822" s="196" t="s">
        <v>76</v>
      </c>
      <c r="P822" s="192" t="s">
        <v>364</v>
      </c>
    </row>
    <row r="823" spans="1:16" ht="120" x14ac:dyDescent="0.3">
      <c r="A823" s="2">
        <v>2023840</v>
      </c>
      <c r="B823" s="2">
        <v>7637</v>
      </c>
      <c r="C823" s="3" t="s">
        <v>73</v>
      </c>
      <c r="D823" s="191" t="s">
        <v>18</v>
      </c>
      <c r="E823" s="196">
        <v>80111600</v>
      </c>
      <c r="F823" s="191" t="s">
        <v>789</v>
      </c>
      <c r="G823" s="193">
        <v>45243</v>
      </c>
      <c r="H823" s="193">
        <v>45258</v>
      </c>
      <c r="I823" s="191">
        <v>1</v>
      </c>
      <c r="J823" s="191" t="s">
        <v>20</v>
      </c>
      <c r="K823" s="195" t="s">
        <v>21</v>
      </c>
      <c r="L823" s="191" t="s">
        <v>27</v>
      </c>
      <c r="M823" s="188">
        <v>6800000</v>
      </c>
      <c r="N823" s="196" t="s">
        <v>94</v>
      </c>
      <c r="O823" s="196" t="s">
        <v>76</v>
      </c>
      <c r="P823" s="192" t="s">
        <v>364</v>
      </c>
    </row>
    <row r="824" spans="1:16" ht="90" x14ac:dyDescent="0.3">
      <c r="A824" s="2">
        <v>2023841</v>
      </c>
      <c r="B824" s="2">
        <v>7637</v>
      </c>
      <c r="C824" s="3" t="s">
        <v>73</v>
      </c>
      <c r="D824" s="191" t="s">
        <v>18</v>
      </c>
      <c r="E824" s="192">
        <v>80111600</v>
      </c>
      <c r="F824" s="191" t="s">
        <v>790</v>
      </c>
      <c r="G824" s="193">
        <v>45268</v>
      </c>
      <c r="H824" s="193">
        <v>45283</v>
      </c>
      <c r="I824" s="191">
        <v>1</v>
      </c>
      <c r="J824" s="191" t="s">
        <v>20</v>
      </c>
      <c r="K824" s="195" t="s">
        <v>21</v>
      </c>
      <c r="L824" s="191" t="s">
        <v>27</v>
      </c>
      <c r="M824" s="188">
        <v>6500000</v>
      </c>
      <c r="N824" s="192" t="s">
        <v>75</v>
      </c>
      <c r="O824" s="192" t="s">
        <v>76</v>
      </c>
      <c r="P824" s="192" t="s">
        <v>364</v>
      </c>
    </row>
    <row r="825" spans="1:16" ht="75" x14ac:dyDescent="0.3">
      <c r="A825" s="2">
        <v>2023842</v>
      </c>
      <c r="B825" s="2">
        <v>7637</v>
      </c>
      <c r="C825" s="3" t="s">
        <v>73</v>
      </c>
      <c r="D825" s="191" t="s">
        <v>18</v>
      </c>
      <c r="E825" s="192">
        <v>80111600</v>
      </c>
      <c r="F825" s="191" t="s">
        <v>791</v>
      </c>
      <c r="G825" s="193">
        <v>45189</v>
      </c>
      <c r="H825" s="193">
        <v>45204</v>
      </c>
      <c r="I825" s="191">
        <v>2</v>
      </c>
      <c r="J825" s="191" t="s">
        <v>20</v>
      </c>
      <c r="K825" s="195" t="s">
        <v>21</v>
      </c>
      <c r="L825" s="191" t="s">
        <v>27</v>
      </c>
      <c r="M825" s="188">
        <f>6300000+5700000</f>
        <v>12000000</v>
      </c>
      <c r="N825" s="192" t="s">
        <v>94</v>
      </c>
      <c r="O825" s="192" t="s">
        <v>76</v>
      </c>
      <c r="P825" s="192" t="s">
        <v>24</v>
      </c>
    </row>
    <row r="826" spans="1:16" ht="90" x14ac:dyDescent="0.3">
      <c r="A826" s="2">
        <v>2023843</v>
      </c>
      <c r="B826" s="2">
        <v>7655</v>
      </c>
      <c r="C826" s="3" t="s">
        <v>25</v>
      </c>
      <c r="D826" s="191" t="s">
        <v>18</v>
      </c>
      <c r="E826" s="192">
        <v>80111600</v>
      </c>
      <c r="F826" s="192" t="s">
        <v>792</v>
      </c>
      <c r="G826" s="193">
        <v>45187</v>
      </c>
      <c r="H826" s="193">
        <v>45202</v>
      </c>
      <c r="I826" s="191">
        <v>4</v>
      </c>
      <c r="J826" s="191" t="s">
        <v>20</v>
      </c>
      <c r="K826" s="195" t="s">
        <v>386</v>
      </c>
      <c r="L826" s="191" t="s">
        <v>27</v>
      </c>
      <c r="M826" s="214">
        <v>32000000</v>
      </c>
      <c r="N826" s="192" t="s">
        <v>28</v>
      </c>
      <c r="O826" s="192" t="s">
        <v>29</v>
      </c>
      <c r="P826" s="192" t="s">
        <v>364</v>
      </c>
    </row>
    <row r="827" spans="1:16" ht="75" x14ac:dyDescent="0.3">
      <c r="A827" s="2">
        <v>2023844</v>
      </c>
      <c r="B827" s="2">
        <v>7655</v>
      </c>
      <c r="C827" s="3" t="s">
        <v>25</v>
      </c>
      <c r="D827" s="191" t="s">
        <v>319</v>
      </c>
      <c r="E827" s="192">
        <v>80111600</v>
      </c>
      <c r="F827" s="192" t="s">
        <v>793</v>
      </c>
      <c r="G827" s="193">
        <v>45187</v>
      </c>
      <c r="H827" s="193">
        <v>45191</v>
      </c>
      <c r="I827" s="191">
        <v>1</v>
      </c>
      <c r="J827" s="191" t="s">
        <v>20</v>
      </c>
      <c r="K827" s="195" t="s">
        <v>21</v>
      </c>
      <c r="L827" s="191" t="s">
        <v>27</v>
      </c>
      <c r="M827" s="214">
        <v>3350000</v>
      </c>
      <c r="N827" s="192" t="s">
        <v>28</v>
      </c>
      <c r="O827" s="192" t="s">
        <v>29</v>
      </c>
      <c r="P827" s="192" t="s">
        <v>364</v>
      </c>
    </row>
    <row r="828" spans="1:16" ht="60" x14ac:dyDescent="0.3">
      <c r="A828" s="2">
        <v>2023845</v>
      </c>
      <c r="B828" s="2">
        <v>7655</v>
      </c>
      <c r="C828" s="3" t="s">
        <v>25</v>
      </c>
      <c r="D828" s="191" t="s">
        <v>319</v>
      </c>
      <c r="E828" s="192">
        <v>80111600</v>
      </c>
      <c r="F828" s="192" t="s">
        <v>794</v>
      </c>
      <c r="G828" s="193">
        <v>45187</v>
      </c>
      <c r="H828" s="193">
        <v>45191</v>
      </c>
      <c r="I828" s="191" t="s">
        <v>795</v>
      </c>
      <c r="J828" s="191" t="s">
        <v>20</v>
      </c>
      <c r="K828" s="195" t="s">
        <v>21</v>
      </c>
      <c r="L828" s="191" t="s">
        <v>27</v>
      </c>
      <c r="M828" s="214">
        <v>11085760</v>
      </c>
      <c r="N828" s="192" t="s">
        <v>28</v>
      </c>
      <c r="O828" s="192" t="s">
        <v>29</v>
      </c>
      <c r="P828" s="192" t="s">
        <v>364</v>
      </c>
    </row>
    <row r="829" spans="1:16" ht="75" x14ac:dyDescent="0.3">
      <c r="A829" s="2">
        <v>2023846</v>
      </c>
      <c r="B829" s="2">
        <v>7655</v>
      </c>
      <c r="C829" s="3" t="s">
        <v>25</v>
      </c>
      <c r="D829" s="191" t="s">
        <v>319</v>
      </c>
      <c r="E829" s="192">
        <v>80111600</v>
      </c>
      <c r="F829" s="192" t="s">
        <v>796</v>
      </c>
      <c r="G829" s="193">
        <v>45187</v>
      </c>
      <c r="H829" s="193">
        <v>45191</v>
      </c>
      <c r="I829" s="191">
        <v>2</v>
      </c>
      <c r="J829" s="191" t="s">
        <v>20</v>
      </c>
      <c r="K829" s="195" t="s">
        <v>21</v>
      </c>
      <c r="L829" s="191" t="s">
        <v>27</v>
      </c>
      <c r="M829" s="214">
        <v>4900000</v>
      </c>
      <c r="N829" s="192" t="s">
        <v>28</v>
      </c>
      <c r="O829" s="192" t="s">
        <v>29</v>
      </c>
      <c r="P829" s="192" t="s">
        <v>364</v>
      </c>
    </row>
    <row r="830" spans="1:16" ht="60" x14ac:dyDescent="0.3">
      <c r="A830" s="2">
        <v>2023847</v>
      </c>
      <c r="B830" s="2">
        <v>7655</v>
      </c>
      <c r="C830" s="3" t="s">
        <v>25</v>
      </c>
      <c r="D830" s="191" t="s">
        <v>319</v>
      </c>
      <c r="E830" s="192">
        <v>80111600</v>
      </c>
      <c r="F830" s="192" t="s">
        <v>797</v>
      </c>
      <c r="G830" s="193">
        <v>45187</v>
      </c>
      <c r="H830" s="193">
        <v>45191</v>
      </c>
      <c r="I830" s="191">
        <v>1</v>
      </c>
      <c r="J830" s="191" t="s">
        <v>20</v>
      </c>
      <c r="K830" s="195" t="s">
        <v>21</v>
      </c>
      <c r="L830" s="191" t="s">
        <v>27</v>
      </c>
      <c r="M830" s="214">
        <v>2450000</v>
      </c>
      <c r="N830" s="192" t="s">
        <v>28</v>
      </c>
      <c r="O830" s="192" t="s">
        <v>29</v>
      </c>
      <c r="P830" s="192" t="s">
        <v>364</v>
      </c>
    </row>
    <row r="831" spans="1:16" ht="60" x14ac:dyDescent="0.3">
      <c r="A831" s="2">
        <v>2023849</v>
      </c>
      <c r="B831" s="2">
        <v>7655</v>
      </c>
      <c r="C831" s="3" t="s">
        <v>25</v>
      </c>
      <c r="D831" s="191" t="s">
        <v>319</v>
      </c>
      <c r="E831" s="192">
        <v>80111600</v>
      </c>
      <c r="F831" s="192" t="s">
        <v>800</v>
      </c>
      <c r="G831" s="193">
        <v>45187</v>
      </c>
      <c r="H831" s="193">
        <v>45191</v>
      </c>
      <c r="I831" s="191">
        <v>3</v>
      </c>
      <c r="J831" s="191" t="s">
        <v>20</v>
      </c>
      <c r="K831" s="195" t="s">
        <v>21</v>
      </c>
      <c r="L831" s="191" t="s">
        <v>27</v>
      </c>
      <c r="M831" s="214">
        <v>7350000</v>
      </c>
      <c r="N831" s="192" t="s">
        <v>28</v>
      </c>
      <c r="O831" s="192" t="s">
        <v>29</v>
      </c>
      <c r="P831" s="192" t="s">
        <v>364</v>
      </c>
    </row>
    <row r="832" spans="1:16" ht="75" x14ac:dyDescent="0.3">
      <c r="A832" s="2">
        <v>2023850</v>
      </c>
      <c r="B832" s="2">
        <v>7655</v>
      </c>
      <c r="C832" s="3" t="s">
        <v>25</v>
      </c>
      <c r="D832" s="191" t="s">
        <v>319</v>
      </c>
      <c r="E832" s="192">
        <v>80111600</v>
      </c>
      <c r="F832" s="192" t="s">
        <v>801</v>
      </c>
      <c r="G832" s="193">
        <v>45187</v>
      </c>
      <c r="H832" s="193">
        <v>45191</v>
      </c>
      <c r="I832" s="191">
        <v>2</v>
      </c>
      <c r="J832" s="191" t="s">
        <v>20</v>
      </c>
      <c r="K832" s="195" t="s">
        <v>21</v>
      </c>
      <c r="L832" s="191" t="s">
        <v>27</v>
      </c>
      <c r="M832" s="214">
        <v>4900000</v>
      </c>
      <c r="N832" s="192" t="s">
        <v>28</v>
      </c>
      <c r="O832" s="192" t="s">
        <v>29</v>
      </c>
      <c r="P832" s="192" t="s">
        <v>364</v>
      </c>
    </row>
    <row r="833" spans="1:16" ht="75" x14ac:dyDescent="0.3">
      <c r="A833" s="2">
        <v>2023851</v>
      </c>
      <c r="B833" s="2">
        <v>7655</v>
      </c>
      <c r="C833" s="3" t="s">
        <v>25</v>
      </c>
      <c r="D833" s="191" t="s">
        <v>319</v>
      </c>
      <c r="E833" s="192">
        <v>80111600</v>
      </c>
      <c r="F833" s="192" t="s">
        <v>802</v>
      </c>
      <c r="G833" s="193">
        <v>45187</v>
      </c>
      <c r="H833" s="193">
        <v>45191</v>
      </c>
      <c r="I833" s="191">
        <v>2</v>
      </c>
      <c r="J833" s="191" t="s">
        <v>20</v>
      </c>
      <c r="K833" s="195" t="s">
        <v>21</v>
      </c>
      <c r="L833" s="191" t="s">
        <v>27</v>
      </c>
      <c r="M833" s="214">
        <v>4900000</v>
      </c>
      <c r="N833" s="192" t="s">
        <v>28</v>
      </c>
      <c r="O833" s="192" t="s">
        <v>29</v>
      </c>
      <c r="P833" s="192" t="s">
        <v>364</v>
      </c>
    </row>
    <row r="834" spans="1:16" ht="75" x14ac:dyDescent="0.3">
      <c r="A834" s="2">
        <v>2023852</v>
      </c>
      <c r="B834" s="2">
        <v>7655</v>
      </c>
      <c r="C834" s="3" t="s">
        <v>25</v>
      </c>
      <c r="D834" s="191" t="s">
        <v>319</v>
      </c>
      <c r="E834" s="192">
        <v>80111600</v>
      </c>
      <c r="F834" s="192" t="s">
        <v>803</v>
      </c>
      <c r="G834" s="193">
        <v>45187</v>
      </c>
      <c r="H834" s="193">
        <v>45191</v>
      </c>
      <c r="I834" s="191">
        <v>2</v>
      </c>
      <c r="J834" s="191" t="s">
        <v>20</v>
      </c>
      <c r="K834" s="195" t="s">
        <v>21</v>
      </c>
      <c r="L834" s="191" t="s">
        <v>27</v>
      </c>
      <c r="M834" s="214">
        <v>4900000</v>
      </c>
      <c r="N834" s="192" t="s">
        <v>28</v>
      </c>
      <c r="O834" s="192" t="s">
        <v>29</v>
      </c>
      <c r="P834" s="192" t="s">
        <v>364</v>
      </c>
    </row>
    <row r="835" spans="1:16" ht="75" x14ac:dyDescent="0.3">
      <c r="A835" s="2">
        <v>2023853</v>
      </c>
      <c r="B835" s="2">
        <v>7655</v>
      </c>
      <c r="C835" s="3" t="s">
        <v>25</v>
      </c>
      <c r="D835" s="191" t="s">
        <v>319</v>
      </c>
      <c r="E835" s="192">
        <v>80111600</v>
      </c>
      <c r="F835" s="192" t="s">
        <v>804</v>
      </c>
      <c r="G835" s="193">
        <v>45187</v>
      </c>
      <c r="H835" s="193">
        <v>45191</v>
      </c>
      <c r="I835" s="191" t="s">
        <v>799</v>
      </c>
      <c r="J835" s="191" t="s">
        <v>20</v>
      </c>
      <c r="K835" s="195" t="s">
        <v>21</v>
      </c>
      <c r="L835" s="191" t="s">
        <v>27</v>
      </c>
      <c r="M835" s="214">
        <v>6125000</v>
      </c>
      <c r="N835" s="192" t="s">
        <v>28</v>
      </c>
      <c r="O835" s="192" t="s">
        <v>29</v>
      </c>
      <c r="P835" s="192" t="s">
        <v>364</v>
      </c>
    </row>
    <row r="836" spans="1:16" ht="105" x14ac:dyDescent="0.3">
      <c r="A836" s="2">
        <v>2023854</v>
      </c>
      <c r="B836" s="2">
        <v>7655</v>
      </c>
      <c r="C836" s="3" t="s">
        <v>25</v>
      </c>
      <c r="D836" s="191" t="s">
        <v>319</v>
      </c>
      <c r="E836" s="192">
        <v>80111600</v>
      </c>
      <c r="F836" s="192" t="s">
        <v>805</v>
      </c>
      <c r="G836" s="193">
        <v>45187</v>
      </c>
      <c r="H836" s="193">
        <v>45191</v>
      </c>
      <c r="I836" s="191">
        <v>1</v>
      </c>
      <c r="J836" s="191" t="s">
        <v>20</v>
      </c>
      <c r="K836" s="195" t="s">
        <v>21</v>
      </c>
      <c r="L836" s="191" t="s">
        <v>27</v>
      </c>
      <c r="M836" s="214">
        <v>7300000</v>
      </c>
      <c r="N836" s="192" t="s">
        <v>28</v>
      </c>
      <c r="O836" s="192" t="s">
        <v>29</v>
      </c>
      <c r="P836" s="192" t="s">
        <v>364</v>
      </c>
    </row>
    <row r="837" spans="1:16" ht="60" x14ac:dyDescent="0.3">
      <c r="A837" s="2">
        <v>2023855</v>
      </c>
      <c r="B837" s="2" t="s">
        <v>17</v>
      </c>
      <c r="C837" s="3" t="s">
        <v>17</v>
      </c>
      <c r="D837" s="191" t="s">
        <v>319</v>
      </c>
      <c r="E837" s="192">
        <v>80111600</v>
      </c>
      <c r="F837" s="192" t="s">
        <v>806</v>
      </c>
      <c r="G837" s="193">
        <v>45187</v>
      </c>
      <c r="H837" s="193">
        <v>45191</v>
      </c>
      <c r="I837" s="191">
        <v>2</v>
      </c>
      <c r="J837" s="191" t="s">
        <v>20</v>
      </c>
      <c r="K837" s="195" t="s">
        <v>21</v>
      </c>
      <c r="L837" s="191" t="s">
        <v>23</v>
      </c>
      <c r="M837" s="198">
        <v>4900000</v>
      </c>
      <c r="N837" s="192" t="s">
        <v>23</v>
      </c>
      <c r="O837" s="192" t="s">
        <v>23</v>
      </c>
      <c r="P837" s="192" t="s">
        <v>364</v>
      </c>
    </row>
    <row r="838" spans="1:16" ht="90" x14ac:dyDescent="0.3">
      <c r="A838" s="2">
        <v>2023856</v>
      </c>
      <c r="B838" s="2" t="s">
        <v>17</v>
      </c>
      <c r="C838" s="3" t="s">
        <v>17</v>
      </c>
      <c r="D838" s="191" t="s">
        <v>319</v>
      </c>
      <c r="E838" s="192">
        <v>80111600</v>
      </c>
      <c r="F838" s="192" t="s">
        <v>807</v>
      </c>
      <c r="G838" s="193">
        <v>45187</v>
      </c>
      <c r="H838" s="193">
        <v>45191</v>
      </c>
      <c r="I838" s="191">
        <v>2</v>
      </c>
      <c r="J838" s="191" t="s">
        <v>20</v>
      </c>
      <c r="K838" s="195" t="s">
        <v>21</v>
      </c>
      <c r="L838" s="191" t="s">
        <v>23</v>
      </c>
      <c r="M838" s="198">
        <v>8000000</v>
      </c>
      <c r="N838" s="192" t="s">
        <v>23</v>
      </c>
      <c r="O838" s="192" t="s">
        <v>23</v>
      </c>
      <c r="P838" s="192" t="s">
        <v>364</v>
      </c>
    </row>
    <row r="839" spans="1:16" ht="60" x14ac:dyDescent="0.3">
      <c r="A839" s="2">
        <v>2023857</v>
      </c>
      <c r="B839" s="2" t="s">
        <v>17</v>
      </c>
      <c r="C839" s="3" t="s">
        <v>17</v>
      </c>
      <c r="D839" s="191" t="s">
        <v>319</v>
      </c>
      <c r="E839" s="192">
        <v>80111600</v>
      </c>
      <c r="F839" s="192" t="s">
        <v>808</v>
      </c>
      <c r="G839" s="193">
        <v>45187</v>
      </c>
      <c r="H839" s="193">
        <v>45191</v>
      </c>
      <c r="I839" s="191">
        <v>2</v>
      </c>
      <c r="J839" s="191" t="s">
        <v>20</v>
      </c>
      <c r="K839" s="195" t="s">
        <v>21</v>
      </c>
      <c r="L839" s="191" t="s">
        <v>23</v>
      </c>
      <c r="M839" s="198">
        <v>4900000</v>
      </c>
      <c r="N839" s="192" t="s">
        <v>23</v>
      </c>
      <c r="O839" s="192" t="s">
        <v>23</v>
      </c>
      <c r="P839" s="192" t="s">
        <v>364</v>
      </c>
    </row>
    <row r="840" spans="1:16" ht="75" x14ac:dyDescent="0.3">
      <c r="A840" s="2">
        <v>2023858</v>
      </c>
      <c r="B840" s="2" t="s">
        <v>17</v>
      </c>
      <c r="C840" s="3" t="s">
        <v>17</v>
      </c>
      <c r="D840" s="191" t="s">
        <v>319</v>
      </c>
      <c r="E840" s="192">
        <v>80111600</v>
      </c>
      <c r="F840" s="192" t="s">
        <v>809</v>
      </c>
      <c r="G840" s="193">
        <v>45187</v>
      </c>
      <c r="H840" s="193">
        <v>45191</v>
      </c>
      <c r="I840" s="191">
        <v>3</v>
      </c>
      <c r="J840" s="191" t="s">
        <v>20</v>
      </c>
      <c r="K840" s="195" t="s">
        <v>21</v>
      </c>
      <c r="L840" s="191" t="s">
        <v>23</v>
      </c>
      <c r="M840" s="198">
        <v>20400000</v>
      </c>
      <c r="N840" s="192" t="s">
        <v>23</v>
      </c>
      <c r="O840" s="192" t="s">
        <v>23</v>
      </c>
      <c r="P840" s="192" t="s">
        <v>364</v>
      </c>
    </row>
    <row r="841" spans="1:16" ht="45" x14ac:dyDescent="0.3">
      <c r="A841" s="2">
        <v>2023859</v>
      </c>
      <c r="B841" s="2" t="s">
        <v>17</v>
      </c>
      <c r="C841" s="3" t="s">
        <v>17</v>
      </c>
      <c r="D841" s="191" t="s">
        <v>319</v>
      </c>
      <c r="E841" s="192">
        <v>80111600</v>
      </c>
      <c r="F841" s="192" t="s">
        <v>423</v>
      </c>
      <c r="G841" s="193">
        <v>45187</v>
      </c>
      <c r="H841" s="193">
        <v>45191</v>
      </c>
      <c r="I841" s="191">
        <v>2</v>
      </c>
      <c r="J841" s="191" t="s">
        <v>20</v>
      </c>
      <c r="K841" s="195" t="s">
        <v>21</v>
      </c>
      <c r="L841" s="191" t="s">
        <v>23</v>
      </c>
      <c r="M841" s="198">
        <v>4200000</v>
      </c>
      <c r="N841" s="192" t="s">
        <v>23</v>
      </c>
      <c r="O841" s="192" t="s">
        <v>23</v>
      </c>
      <c r="P841" s="192" t="s">
        <v>24</v>
      </c>
    </row>
    <row r="842" spans="1:16" ht="45" x14ac:dyDescent="0.3">
      <c r="A842" s="2">
        <v>2023860</v>
      </c>
      <c r="B842" s="2" t="s">
        <v>17</v>
      </c>
      <c r="C842" s="3" t="s">
        <v>17</v>
      </c>
      <c r="D842" s="191" t="s">
        <v>319</v>
      </c>
      <c r="E842" s="192">
        <v>80111600</v>
      </c>
      <c r="F842" s="192" t="s">
        <v>810</v>
      </c>
      <c r="G842" s="193">
        <v>45187</v>
      </c>
      <c r="H842" s="193">
        <v>45191</v>
      </c>
      <c r="I842" s="191">
        <v>2</v>
      </c>
      <c r="J842" s="191" t="s">
        <v>20</v>
      </c>
      <c r="K842" s="195" t="s">
        <v>21</v>
      </c>
      <c r="L842" s="191" t="s">
        <v>23</v>
      </c>
      <c r="M842" s="198">
        <v>4900000</v>
      </c>
      <c r="N842" s="192" t="s">
        <v>23</v>
      </c>
      <c r="O842" s="192" t="s">
        <v>23</v>
      </c>
      <c r="P842" s="192" t="s">
        <v>24</v>
      </c>
    </row>
    <row r="843" spans="1:16" ht="45" x14ac:dyDescent="0.3">
      <c r="A843" s="2">
        <v>2023861</v>
      </c>
      <c r="B843" s="2" t="s">
        <v>17</v>
      </c>
      <c r="C843" s="3" t="s">
        <v>17</v>
      </c>
      <c r="D843" s="191" t="s">
        <v>319</v>
      </c>
      <c r="E843" s="192">
        <v>80111600</v>
      </c>
      <c r="F843" s="192" t="s">
        <v>425</v>
      </c>
      <c r="G843" s="193">
        <v>45187</v>
      </c>
      <c r="H843" s="193">
        <v>45191</v>
      </c>
      <c r="I843" s="191">
        <v>3</v>
      </c>
      <c r="J843" s="191" t="s">
        <v>20</v>
      </c>
      <c r="K843" s="195" t="s">
        <v>21</v>
      </c>
      <c r="L843" s="191" t="s">
        <v>23</v>
      </c>
      <c r="M843" s="198">
        <v>14100000</v>
      </c>
      <c r="N843" s="192" t="s">
        <v>23</v>
      </c>
      <c r="O843" s="192" t="s">
        <v>23</v>
      </c>
      <c r="P843" s="192" t="s">
        <v>24</v>
      </c>
    </row>
    <row r="844" spans="1:16" ht="75" x14ac:dyDescent="0.3">
      <c r="A844" s="2">
        <v>2023862</v>
      </c>
      <c r="B844" s="2" t="s">
        <v>17</v>
      </c>
      <c r="C844" s="3" t="s">
        <v>17</v>
      </c>
      <c r="D844" s="191" t="s">
        <v>319</v>
      </c>
      <c r="E844" s="192">
        <v>80111600</v>
      </c>
      <c r="F844" s="192" t="s">
        <v>433</v>
      </c>
      <c r="G844" s="193">
        <v>45187</v>
      </c>
      <c r="H844" s="193">
        <v>45191</v>
      </c>
      <c r="I844" s="191">
        <v>4</v>
      </c>
      <c r="J844" s="191" t="s">
        <v>20</v>
      </c>
      <c r="K844" s="195" t="s">
        <v>21</v>
      </c>
      <c r="L844" s="191" t="s">
        <v>23</v>
      </c>
      <c r="M844" s="198">
        <v>20000000</v>
      </c>
      <c r="N844" s="192" t="s">
        <v>23</v>
      </c>
      <c r="O844" s="192" t="s">
        <v>23</v>
      </c>
      <c r="P844" s="192" t="s">
        <v>24</v>
      </c>
    </row>
    <row r="845" spans="1:16" ht="60" x14ac:dyDescent="0.3">
      <c r="A845" s="2">
        <v>2023863</v>
      </c>
      <c r="B845" s="2" t="s">
        <v>17</v>
      </c>
      <c r="C845" s="3" t="s">
        <v>17</v>
      </c>
      <c r="D845" s="191" t="s">
        <v>319</v>
      </c>
      <c r="E845" s="192">
        <v>80111600</v>
      </c>
      <c r="F845" s="192" t="s">
        <v>811</v>
      </c>
      <c r="G845" s="193">
        <v>45187</v>
      </c>
      <c r="H845" s="193">
        <v>45191</v>
      </c>
      <c r="I845" s="191">
        <v>4</v>
      </c>
      <c r="J845" s="191" t="s">
        <v>20</v>
      </c>
      <c r="K845" s="195" t="s">
        <v>21</v>
      </c>
      <c r="L845" s="191" t="s">
        <v>23</v>
      </c>
      <c r="M845" s="198">
        <v>32000000</v>
      </c>
      <c r="N845" s="192" t="s">
        <v>23</v>
      </c>
      <c r="O845" s="192" t="s">
        <v>23</v>
      </c>
      <c r="P845" s="192" t="s">
        <v>24</v>
      </c>
    </row>
    <row r="846" spans="1:16" ht="60" x14ac:dyDescent="0.3">
      <c r="A846" s="2">
        <v>2023864</v>
      </c>
      <c r="B846" s="2">
        <v>7655</v>
      </c>
      <c r="C846" s="3" t="s">
        <v>25</v>
      </c>
      <c r="D846" s="191" t="s">
        <v>47</v>
      </c>
      <c r="E846" s="192">
        <v>80111600</v>
      </c>
      <c r="F846" s="192" t="s">
        <v>816</v>
      </c>
      <c r="G846" s="193">
        <v>45207</v>
      </c>
      <c r="H846" s="193">
        <v>45207</v>
      </c>
      <c r="I846" s="191">
        <v>2.1</v>
      </c>
      <c r="J846" s="191" t="s">
        <v>20</v>
      </c>
      <c r="K846" s="195" t="s">
        <v>21</v>
      </c>
      <c r="L846" s="191" t="s">
        <v>50</v>
      </c>
      <c r="M846" s="214">
        <v>59298000</v>
      </c>
      <c r="N846" s="192" t="s">
        <v>28</v>
      </c>
      <c r="O846" s="192" t="s">
        <v>29</v>
      </c>
      <c r="P846" s="192" t="s">
        <v>364</v>
      </c>
    </row>
    <row r="847" spans="1:16" ht="105" x14ac:dyDescent="0.3">
      <c r="A847" s="2">
        <v>2023865</v>
      </c>
      <c r="B847" s="2">
        <v>7655</v>
      </c>
      <c r="C847" s="3" t="s">
        <v>25</v>
      </c>
      <c r="D847" s="191" t="s">
        <v>204</v>
      </c>
      <c r="E847" s="192">
        <v>80111600</v>
      </c>
      <c r="F847" s="192" t="s">
        <v>817</v>
      </c>
      <c r="G847" s="193">
        <v>45195</v>
      </c>
      <c r="H847" s="193">
        <v>45199</v>
      </c>
      <c r="I847" s="191">
        <v>2</v>
      </c>
      <c r="J847" s="191" t="s">
        <v>20</v>
      </c>
      <c r="K847" s="195" t="s">
        <v>21</v>
      </c>
      <c r="L847" s="191" t="s">
        <v>27</v>
      </c>
      <c r="M847" s="214">
        <v>12400000</v>
      </c>
      <c r="N847" s="192" t="s">
        <v>28</v>
      </c>
      <c r="O847" s="192" t="s">
        <v>29</v>
      </c>
      <c r="P847" s="192" t="s">
        <v>364</v>
      </c>
    </row>
    <row r="848" spans="1:16" ht="75" x14ac:dyDescent="0.3">
      <c r="A848" s="2">
        <v>2023866</v>
      </c>
      <c r="B848" s="2">
        <v>7658</v>
      </c>
      <c r="C848" s="3" t="s">
        <v>142</v>
      </c>
      <c r="D848" s="191" t="s">
        <v>281</v>
      </c>
      <c r="E848" s="192">
        <v>80111600</v>
      </c>
      <c r="F848" s="192" t="s">
        <v>318</v>
      </c>
      <c r="G848" s="193">
        <v>45063</v>
      </c>
      <c r="H848" s="193">
        <v>45063</v>
      </c>
      <c r="I848" s="191">
        <v>2</v>
      </c>
      <c r="J848" s="191" t="s">
        <v>20</v>
      </c>
      <c r="K848" s="195" t="s">
        <v>21</v>
      </c>
      <c r="L848" s="191" t="s">
        <v>27</v>
      </c>
      <c r="M848" s="198">
        <v>10000000</v>
      </c>
      <c r="N848" s="192" t="s">
        <v>285</v>
      </c>
      <c r="O848" s="192" t="s">
        <v>286</v>
      </c>
      <c r="P848" s="192" t="s">
        <v>24</v>
      </c>
    </row>
    <row r="849" spans="1:16" ht="75" x14ac:dyDescent="0.3">
      <c r="A849" s="2">
        <v>2023867</v>
      </c>
      <c r="B849" s="2">
        <v>7658</v>
      </c>
      <c r="C849" s="3" t="s">
        <v>142</v>
      </c>
      <c r="D849" s="191" t="s">
        <v>281</v>
      </c>
      <c r="E849" s="192">
        <v>80111600</v>
      </c>
      <c r="F849" s="192" t="s">
        <v>308</v>
      </c>
      <c r="G849" s="193">
        <v>45063</v>
      </c>
      <c r="H849" s="193">
        <v>45063</v>
      </c>
      <c r="I849" s="191">
        <v>2</v>
      </c>
      <c r="J849" s="191" t="s">
        <v>20</v>
      </c>
      <c r="K849" s="195" t="s">
        <v>21</v>
      </c>
      <c r="L849" s="191" t="s">
        <v>27</v>
      </c>
      <c r="M849" s="198">
        <v>11020000</v>
      </c>
      <c r="N849" s="192" t="s">
        <v>285</v>
      </c>
      <c r="O849" s="192" t="s">
        <v>286</v>
      </c>
      <c r="P849" s="192" t="s">
        <v>24</v>
      </c>
    </row>
    <row r="850" spans="1:16" ht="90" x14ac:dyDescent="0.3">
      <c r="A850" s="2">
        <v>2023868</v>
      </c>
      <c r="B850" s="2">
        <v>7658</v>
      </c>
      <c r="C850" s="3" t="s">
        <v>142</v>
      </c>
      <c r="D850" s="191" t="s">
        <v>221</v>
      </c>
      <c r="E850" s="192">
        <v>80111600</v>
      </c>
      <c r="F850" s="192" t="s">
        <v>818</v>
      </c>
      <c r="G850" s="193">
        <v>45204</v>
      </c>
      <c r="H850" s="193">
        <v>45209</v>
      </c>
      <c r="I850" s="191">
        <v>3</v>
      </c>
      <c r="J850" s="191" t="s">
        <v>20</v>
      </c>
      <c r="K850" s="195" t="s">
        <v>21</v>
      </c>
      <c r="L850" s="191" t="s">
        <v>27</v>
      </c>
      <c r="M850" s="198">
        <v>12000000</v>
      </c>
      <c r="N850" s="192" t="s">
        <v>224</v>
      </c>
      <c r="O850" s="192" t="s">
        <v>163</v>
      </c>
      <c r="P850" s="192" t="s">
        <v>24</v>
      </c>
    </row>
    <row r="851" spans="1:16" ht="90" x14ac:dyDescent="0.3">
      <c r="A851" s="2">
        <v>2023869</v>
      </c>
      <c r="B851" s="2">
        <v>7658</v>
      </c>
      <c r="C851" s="3" t="s">
        <v>142</v>
      </c>
      <c r="D851" s="191" t="s">
        <v>221</v>
      </c>
      <c r="E851" s="192">
        <v>80111600</v>
      </c>
      <c r="F851" s="192" t="s">
        <v>819</v>
      </c>
      <c r="G851" s="193">
        <v>45204</v>
      </c>
      <c r="H851" s="193">
        <v>45209</v>
      </c>
      <c r="I851" s="191">
        <v>4</v>
      </c>
      <c r="J851" s="191" t="s">
        <v>20</v>
      </c>
      <c r="K851" s="195" t="s">
        <v>21</v>
      </c>
      <c r="L851" s="191" t="s">
        <v>27</v>
      </c>
      <c r="M851" s="198">
        <v>2450000</v>
      </c>
      <c r="N851" s="192" t="s">
        <v>224</v>
      </c>
      <c r="O851" s="192" t="s">
        <v>163</v>
      </c>
      <c r="P851" s="192" t="s">
        <v>364</v>
      </c>
    </row>
  </sheetData>
  <protectedRanges>
    <protectedRange sqref="D544" name="Rango1_9_1_1_1"/>
  </protectedRanges>
  <mergeCells count="2">
    <mergeCell ref="A1:L1"/>
    <mergeCell ref="A2:L2"/>
  </mergeCells>
  <phoneticPr fontId="5" type="noConversion"/>
  <conditionalFormatting sqref="A543:A546 A1:A541 A555:A65536">
    <cfRule type="expression" dxfId="66" priority="1057" stopIfTrue="1">
      <formula>AND(COUNTIF($A$543:$A$546, A1)+COUNTIF($A$1:$A$541, A1)+COUNTIF($A$555:$A$65536, A1)&gt;1,NOT(ISBLANK(A1)))</formula>
    </cfRule>
  </conditionalFormatting>
  <conditionalFormatting sqref="A1:A550 A555:A65536">
    <cfRule type="expression" dxfId="65" priority="1056" stopIfTrue="1">
      <formula>AND(COUNTIF($A$1:$A$550, A1)+COUNTIF($A$555:$A$65536, A1)&gt;1,NOT(ISBLANK(A1)))</formula>
    </cfRule>
  </conditionalFormatting>
  <conditionalFormatting sqref="A1:A1048576">
    <cfRule type="duplicateValues" dxfId="64" priority="1" stopIfTrue="1"/>
    <cfRule type="duplicateValues" dxfId="63" priority="3" stopIfTrue="1"/>
    <cfRule type="duplicateValues" dxfId="62" priority="7" stopIfTrue="1"/>
    <cfRule type="duplicateValues" dxfId="43" priority="9" stopIfTrue="1"/>
    <cfRule type="duplicateValues" dxfId="42" priority="13"/>
    <cfRule type="duplicateValues" dxfId="41" priority="15"/>
  </conditionalFormatting>
  <conditionalFormatting sqref="A542">
    <cfRule type="duplicateValues" dxfId="61" priority="31"/>
  </conditionalFormatting>
  <conditionalFormatting sqref="A547">
    <cfRule type="duplicateValues" dxfId="60" priority="28"/>
    <cfRule type="duplicateValues" dxfId="59" priority="29"/>
  </conditionalFormatting>
  <conditionalFormatting sqref="A548">
    <cfRule type="duplicateValues" dxfId="58" priority="48"/>
    <cfRule type="duplicateValues" dxfId="57" priority="49"/>
  </conditionalFormatting>
  <conditionalFormatting sqref="A551">
    <cfRule type="duplicateValues" dxfId="56" priority="20"/>
    <cfRule type="duplicateValues" dxfId="55" priority="21"/>
    <cfRule type="duplicateValues" dxfId="54" priority="22"/>
  </conditionalFormatting>
  <conditionalFormatting sqref="A552:A554">
    <cfRule type="duplicateValues" dxfId="53" priority="17"/>
    <cfRule type="duplicateValues" dxfId="52" priority="18"/>
    <cfRule type="duplicateValues" dxfId="51" priority="19"/>
  </conditionalFormatting>
  <conditionalFormatting sqref="A549:A550">
    <cfRule type="duplicateValues" dxfId="50" priority="1111"/>
    <cfRule type="duplicateValues" dxfId="49" priority="1112"/>
  </conditionalFormatting>
  <conditionalFormatting sqref="A555:A695 A7:A546">
    <cfRule type="expression" dxfId="48" priority="1396" stopIfTrue="1">
      <formula>AND(COUNTIF($A$555:$A$695, A7)+COUNTIF($A$7:$A$546, A7)&gt;1,NOT(ISBLANK(A7)))</formula>
    </cfRule>
  </conditionalFormatting>
  <conditionalFormatting sqref="A7:A721">
    <cfRule type="duplicateValues" dxfId="47" priority="1399" stopIfTrue="1"/>
  </conditionalFormatting>
  <conditionalFormatting sqref="A7:A851">
    <cfRule type="duplicateValues" dxfId="46" priority="1401" stopIfTrue="1"/>
    <cfRule type="duplicateValues" dxfId="45" priority="1402" stopIfTrue="1"/>
    <cfRule type="duplicateValues" dxfId="44" priority="1403" stopIfTrue="1"/>
    <cfRule type="duplicateValues" dxfId="40" priority="1404" stopIfTrue="1"/>
    <cfRule type="duplicateValues" dxfId="39" priority="1405" stopIfTrue="1"/>
    <cfRule type="duplicateValues" dxfId="38" priority="1406"/>
    <cfRule type="duplicateValues" dxfId="37" priority="1407"/>
    <cfRule type="duplicateValues" dxfId="36" priority="1408"/>
    <cfRule type="duplicateValues" dxfId="35" priority="1409"/>
  </conditionalFormatting>
  <dataValidations count="5">
    <dataValidation type="list" allowBlank="1" showInputMessage="1" showErrorMessage="1" sqref="J781:J793 J758 J769:J770 J772:J774"/>
    <dataValidation type="list" allowBlank="1" showInputMessage="1" showErrorMessage="1" sqref="J802 J846">
      <formula1>$AM$5:$AM$17</formula1>
    </dataValidation>
    <dataValidation type="list" allowBlank="1" showInputMessage="1" showErrorMessage="1" sqref="J807:J818 J822">
      <formula1>$AL$5:$AL$5</formula1>
    </dataValidation>
    <dataValidation type="list" allowBlank="1" showInputMessage="1" showErrorMessage="1" sqref="J823 J826">
      <formula1>$AM$5:$AM$18</formula1>
    </dataValidation>
    <dataValidation type="list" allowBlank="1" showInputMessage="1" showErrorMessage="1" sqref="J844:J845">
      <formula1>$AM$5:$AM$27</formula1>
    </dataValidation>
  </dataValidations>
  <pageMargins left="0.7" right="0.7" top="0.75" bottom="0.75" header="0.3" footer="0.3"/>
  <pageSetup paperSize="9" scale="17" orientation="portrait" r:id="rId1"/>
  <customProperties>
    <customPr name="_pios_id" r:id="rId2"/>
  </customProperties>
  <legacyDrawing r:id="rId3"/>
  <tableParts count="1">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K15"/>
  <sheetViews>
    <sheetView zoomScaleNormal="100" workbookViewId="0">
      <selection activeCell="I5" sqref="I5"/>
    </sheetView>
  </sheetViews>
  <sheetFormatPr baseColWidth="10" defaultColWidth="30.453125" defaultRowHeight="13" x14ac:dyDescent="0.3"/>
  <cols>
    <col min="1" max="1" width="10.453125" style="100" customWidth="1"/>
    <col min="2" max="2" width="4.453125" style="100" bestFit="1" customWidth="1"/>
    <col min="3" max="3" width="26.1796875" style="100" bestFit="1" customWidth="1"/>
    <col min="4" max="4" width="4.453125" style="100" bestFit="1" customWidth="1"/>
    <col min="5" max="5" width="13.453125" style="100" bestFit="1" customWidth="1"/>
    <col min="6" max="6" width="5" style="100" bestFit="1" customWidth="1"/>
    <col min="7" max="7" width="25.1796875" style="100" bestFit="1" customWidth="1"/>
    <col min="8" max="8" width="25.7265625" style="100" bestFit="1" customWidth="1"/>
    <col min="9" max="9" width="28.1796875" style="100" bestFit="1" customWidth="1"/>
    <col min="10" max="10" width="15.26953125" style="100" bestFit="1" customWidth="1"/>
    <col min="11" max="11" width="7.26953125" style="100" bestFit="1" customWidth="1"/>
    <col min="12" max="16384" width="30.453125" style="100"/>
  </cols>
  <sheetData>
    <row r="3" spans="2:11" x14ac:dyDescent="0.3">
      <c r="B3" s="253" t="s">
        <v>595</v>
      </c>
      <c r="C3" s="253"/>
      <c r="D3" s="253" t="s">
        <v>596</v>
      </c>
      <c r="E3" s="253"/>
      <c r="F3" s="253" t="s">
        <v>597</v>
      </c>
      <c r="G3" s="253"/>
      <c r="H3" s="253" t="s">
        <v>598</v>
      </c>
      <c r="I3" s="253" t="s">
        <v>599</v>
      </c>
      <c r="J3" s="254" t="s">
        <v>600</v>
      </c>
      <c r="K3" s="255"/>
    </row>
    <row r="4" spans="2:11" x14ac:dyDescent="0.3">
      <c r="B4" s="101" t="s">
        <v>601</v>
      </c>
      <c r="C4" s="101" t="s">
        <v>602</v>
      </c>
      <c r="D4" s="101" t="s">
        <v>601</v>
      </c>
      <c r="E4" s="101" t="s">
        <v>602</v>
      </c>
      <c r="F4" s="101" t="s">
        <v>601</v>
      </c>
      <c r="G4" s="101" t="s">
        <v>602</v>
      </c>
      <c r="H4" s="253"/>
      <c r="I4" s="253"/>
      <c r="J4" s="102" t="s">
        <v>603</v>
      </c>
      <c r="K4" s="102" t="s">
        <v>604</v>
      </c>
    </row>
    <row r="5" spans="2:11" ht="52" x14ac:dyDescent="0.3">
      <c r="B5" s="103">
        <v>2</v>
      </c>
      <c r="C5" s="104" t="s">
        <v>605</v>
      </c>
      <c r="D5" s="104">
        <v>30</v>
      </c>
      <c r="E5" s="104" t="s">
        <v>606</v>
      </c>
      <c r="F5" s="104">
        <v>7658</v>
      </c>
      <c r="G5" s="104" t="s">
        <v>607</v>
      </c>
      <c r="H5" s="105">
        <v>39240853000</v>
      </c>
      <c r="I5" s="105">
        <v>27326316000</v>
      </c>
      <c r="J5" s="106">
        <f>I5-H5</f>
        <v>-11914537000</v>
      </c>
      <c r="K5" s="107">
        <f>J5/H5</f>
        <v>-0.30362584116099617</v>
      </c>
    </row>
    <row r="6" spans="2:11" ht="65" x14ac:dyDescent="0.3">
      <c r="B6" s="256">
        <v>5</v>
      </c>
      <c r="C6" s="257" t="s">
        <v>608</v>
      </c>
      <c r="D6" s="257">
        <v>56</v>
      </c>
      <c r="E6" s="257" t="s">
        <v>609</v>
      </c>
      <c r="F6" s="104">
        <v>7637</v>
      </c>
      <c r="G6" s="104" t="s">
        <v>610</v>
      </c>
      <c r="H6" s="105">
        <v>5015011000</v>
      </c>
      <c r="I6" s="105">
        <v>2924147000</v>
      </c>
      <c r="J6" s="106">
        <f>I6-H6</f>
        <v>-2090864000</v>
      </c>
      <c r="K6" s="107">
        <f>J6/H6</f>
        <v>-0.41692111941529142</v>
      </c>
    </row>
    <row r="7" spans="2:11" ht="39" x14ac:dyDescent="0.3">
      <c r="B7" s="256"/>
      <c r="C7" s="257"/>
      <c r="D7" s="257"/>
      <c r="E7" s="257"/>
      <c r="F7" s="104">
        <v>7655</v>
      </c>
      <c r="G7" s="104" t="s">
        <v>611</v>
      </c>
      <c r="H7" s="105">
        <v>11744136000</v>
      </c>
      <c r="I7" s="105">
        <v>5991492000</v>
      </c>
      <c r="J7" s="106">
        <f>I7-H7</f>
        <v>-5752644000</v>
      </c>
      <c r="K7" s="107">
        <f>J7/H7</f>
        <v>-0.48983118042910945</v>
      </c>
    </row>
    <row r="8" spans="2:11" x14ac:dyDescent="0.3">
      <c r="H8" s="108">
        <f>SUM(H5:H7)</f>
        <v>56000000000</v>
      </c>
      <c r="I8" s="108">
        <f>SUM(I5:I7)</f>
        <v>36241955000</v>
      </c>
      <c r="J8" s="108">
        <f>I8-H8</f>
        <v>-19758045000</v>
      </c>
      <c r="K8" s="109">
        <f>J8/H8</f>
        <v>-0.35282223214285713</v>
      </c>
    </row>
    <row r="13" spans="2:11" x14ac:dyDescent="0.3">
      <c r="I13" s="110"/>
    </row>
    <row r="15" spans="2:11" x14ac:dyDescent="0.3">
      <c r="I15" s="111"/>
    </row>
  </sheetData>
  <mergeCells count="10">
    <mergeCell ref="F3:G3"/>
    <mergeCell ref="H3:H4"/>
    <mergeCell ref="I3:I4"/>
    <mergeCell ref="J3:K3"/>
    <mergeCell ref="B6:B7"/>
    <mergeCell ref="C6:C7"/>
    <mergeCell ref="D6:D7"/>
    <mergeCell ref="E6:E7"/>
    <mergeCell ref="B3:C3"/>
    <mergeCell ref="D3:E3"/>
  </mergeCells>
  <pageMargins left="0.7" right="0.7" top="0.75" bottom="0.75" header="0.3" footer="0.3"/>
  <pageSetup orientation="portrait" horizontalDpi="4294967294" verticalDpi="4294967294"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N19"/>
  <sheetViews>
    <sheetView topLeftCell="G1" zoomScale="85" zoomScaleNormal="85" workbookViewId="0">
      <selection activeCell="J17" sqref="J17"/>
    </sheetView>
  </sheetViews>
  <sheetFormatPr baseColWidth="10" defaultRowHeight="14.5" x14ac:dyDescent="0.35"/>
  <cols>
    <col min="1" max="1" width="3.81640625" customWidth="1"/>
    <col min="2" max="2" width="16.1796875" bestFit="1" customWidth="1"/>
    <col min="3" max="3" width="5" customWidth="1"/>
    <col min="4" max="4" width="37.81640625" customWidth="1"/>
    <col min="5" max="5" width="4.26953125" customWidth="1"/>
    <col min="6" max="6" width="41.81640625" bestFit="1" customWidth="1"/>
    <col min="7" max="7" width="4.1796875" bestFit="1" customWidth="1"/>
    <col min="8" max="8" width="30.1796875" customWidth="1"/>
    <col min="9" max="9" width="4.1796875" bestFit="1" customWidth="1"/>
    <col min="10" max="10" width="64.26953125" customWidth="1"/>
    <col min="11" max="11" width="4.1796875" bestFit="1" customWidth="1"/>
    <col min="14" max="14" width="47.26953125" customWidth="1"/>
  </cols>
  <sheetData>
    <row r="2" spans="2:14" x14ac:dyDescent="0.35">
      <c r="B2">
        <v>7637</v>
      </c>
      <c r="D2" t="s">
        <v>195</v>
      </c>
      <c r="F2" t="s">
        <v>159</v>
      </c>
      <c r="H2" t="s">
        <v>21</v>
      </c>
      <c r="J2" t="s">
        <v>285</v>
      </c>
      <c r="L2" t="s">
        <v>145</v>
      </c>
      <c r="N2" t="s">
        <v>25</v>
      </c>
    </row>
    <row r="3" spans="2:14" x14ac:dyDescent="0.35">
      <c r="B3">
        <v>7655</v>
      </c>
      <c r="D3" t="s">
        <v>204</v>
      </c>
      <c r="F3" t="s">
        <v>108</v>
      </c>
      <c r="H3" t="s">
        <v>160</v>
      </c>
      <c r="J3" t="s">
        <v>144</v>
      </c>
      <c r="L3" t="s">
        <v>286</v>
      </c>
      <c r="N3" t="s">
        <v>142</v>
      </c>
    </row>
    <row r="4" spans="2:14" x14ac:dyDescent="0.35">
      <c r="B4">
        <v>7658</v>
      </c>
      <c r="D4" t="s">
        <v>18</v>
      </c>
      <c r="F4" t="s">
        <v>154</v>
      </c>
      <c r="H4" t="s">
        <v>386</v>
      </c>
      <c r="J4" t="s">
        <v>389</v>
      </c>
      <c r="L4" t="s">
        <v>163</v>
      </c>
      <c r="N4" t="s">
        <v>73</v>
      </c>
    </row>
    <row r="5" spans="2:14" x14ac:dyDescent="0.35">
      <c r="B5" t="s">
        <v>17</v>
      </c>
      <c r="D5" t="s">
        <v>215</v>
      </c>
      <c r="F5" t="s">
        <v>101</v>
      </c>
      <c r="H5" t="s">
        <v>23</v>
      </c>
      <c r="J5" t="s">
        <v>381</v>
      </c>
      <c r="L5" t="s">
        <v>390</v>
      </c>
      <c r="N5" t="s">
        <v>17</v>
      </c>
    </row>
    <row r="6" spans="2:14" x14ac:dyDescent="0.35">
      <c r="B6" t="s">
        <v>385</v>
      </c>
      <c r="D6" t="s">
        <v>192</v>
      </c>
      <c r="F6" t="s">
        <v>118</v>
      </c>
      <c r="H6" t="s">
        <v>385</v>
      </c>
      <c r="J6" t="s">
        <v>340</v>
      </c>
      <c r="L6" t="s">
        <v>382</v>
      </c>
      <c r="N6" t="s">
        <v>385</v>
      </c>
    </row>
    <row r="7" spans="2:14" x14ac:dyDescent="0.35">
      <c r="D7" t="s">
        <v>47</v>
      </c>
      <c r="F7" t="s">
        <v>612</v>
      </c>
      <c r="J7" t="s">
        <v>166</v>
      </c>
      <c r="L7" t="s">
        <v>76</v>
      </c>
    </row>
    <row r="8" spans="2:14" x14ac:dyDescent="0.35">
      <c r="D8" t="s">
        <v>319</v>
      </c>
      <c r="F8" t="s">
        <v>20</v>
      </c>
      <c r="J8" t="s">
        <v>162</v>
      </c>
      <c r="L8" t="s">
        <v>29</v>
      </c>
    </row>
    <row r="9" spans="2:14" x14ac:dyDescent="0.35">
      <c r="D9" t="s">
        <v>281</v>
      </c>
      <c r="F9" t="s">
        <v>380</v>
      </c>
      <c r="J9" t="s">
        <v>229</v>
      </c>
      <c r="L9" s="117" t="s">
        <v>23</v>
      </c>
    </row>
    <row r="10" spans="2:14" x14ac:dyDescent="0.35">
      <c r="D10" t="s">
        <v>125</v>
      </c>
      <c r="F10" t="s">
        <v>357</v>
      </c>
      <c r="J10" t="s">
        <v>224</v>
      </c>
      <c r="L10" t="s">
        <v>385</v>
      </c>
    </row>
    <row r="11" spans="2:14" x14ac:dyDescent="0.35">
      <c r="D11" t="s">
        <v>221</v>
      </c>
      <c r="F11" t="s">
        <v>66</v>
      </c>
      <c r="J11" t="s">
        <v>86</v>
      </c>
      <c r="L11" s="113"/>
    </row>
    <row r="12" spans="2:14" x14ac:dyDescent="0.35">
      <c r="D12" t="s">
        <v>45</v>
      </c>
      <c r="F12" t="s">
        <v>385</v>
      </c>
      <c r="J12" t="s">
        <v>75</v>
      </c>
      <c r="L12" s="115"/>
    </row>
    <row r="13" spans="2:14" x14ac:dyDescent="0.35">
      <c r="J13" t="s">
        <v>94</v>
      </c>
      <c r="L13" s="115"/>
    </row>
    <row r="14" spans="2:14" x14ac:dyDescent="0.35">
      <c r="J14" t="s">
        <v>28</v>
      </c>
      <c r="L14" s="114"/>
    </row>
    <row r="15" spans="2:14" x14ac:dyDescent="0.35">
      <c r="J15" t="s">
        <v>46</v>
      </c>
      <c r="L15" s="116"/>
    </row>
    <row r="16" spans="2:14" x14ac:dyDescent="0.35">
      <c r="J16" s="117" t="s">
        <v>23</v>
      </c>
      <c r="L16" s="117"/>
    </row>
    <row r="17" spans="10:10" x14ac:dyDescent="0.35">
      <c r="J17" t="s">
        <v>385</v>
      </c>
    </row>
    <row r="19" spans="10:10" x14ac:dyDescent="0.35">
      <c r="J19" s="112"/>
    </row>
  </sheetData>
  <pageMargins left="0.7" right="0.7" top="0.75" bottom="0.75" header="0.3" footer="0.3"/>
  <pageSetup paperSize="9" orientation="portrait" horizontalDpi="4294967294" verticalDpi="4294967294"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53"/>
  <sheetViews>
    <sheetView topLeftCell="A31" zoomScale="85" zoomScaleNormal="85" workbookViewId="0">
      <selection activeCell="C34" sqref="C34"/>
    </sheetView>
  </sheetViews>
  <sheetFormatPr baseColWidth="10" defaultRowHeight="14.5" x14ac:dyDescent="0.35"/>
  <cols>
    <col min="2" max="2" width="28.1796875" bestFit="1" customWidth="1"/>
    <col min="3" max="4" width="17.1796875" bestFit="1" customWidth="1"/>
    <col min="5" max="5" width="17" bestFit="1" customWidth="1"/>
    <col min="6" max="6" width="16.81640625" bestFit="1" customWidth="1"/>
    <col min="7" max="7" width="17" bestFit="1" customWidth="1"/>
  </cols>
  <sheetData>
    <row r="2" spans="2:8" ht="15" thickBot="1" x14ac:dyDescent="0.4">
      <c r="B2" s="121" t="s">
        <v>613</v>
      </c>
      <c r="C2" s="121"/>
      <c r="D2" s="121"/>
      <c r="E2" s="121"/>
      <c r="F2" s="121"/>
    </row>
    <row r="3" spans="2:8" ht="29" x14ac:dyDescent="0.35">
      <c r="B3" s="129" t="s">
        <v>614</v>
      </c>
      <c r="C3" s="149" t="s">
        <v>615</v>
      </c>
      <c r="D3" s="149" t="s">
        <v>616</v>
      </c>
      <c r="E3" s="149" t="s">
        <v>617</v>
      </c>
      <c r="F3" s="149" t="s">
        <v>618</v>
      </c>
      <c r="G3" s="143" t="s">
        <v>619</v>
      </c>
    </row>
    <row r="4" spans="2:8" x14ac:dyDescent="0.35">
      <c r="B4" s="130" t="s">
        <v>620</v>
      </c>
      <c r="C4" s="150"/>
      <c r="D4" s="150"/>
      <c r="E4" s="150"/>
      <c r="F4" s="150"/>
      <c r="G4" s="144"/>
    </row>
    <row r="5" spans="2:8" x14ac:dyDescent="0.35">
      <c r="B5" s="122" t="s">
        <v>621</v>
      </c>
      <c r="C5" s="123">
        <v>743211000</v>
      </c>
      <c r="D5" s="123">
        <v>743211000</v>
      </c>
      <c r="E5" s="123">
        <v>704519800</v>
      </c>
      <c r="F5" s="123">
        <v>707927300</v>
      </c>
      <c r="G5" s="128">
        <v>707927300</v>
      </c>
    </row>
    <row r="6" spans="2:8" x14ac:dyDescent="0.35">
      <c r="B6" s="122" t="s">
        <v>622</v>
      </c>
      <c r="C6" s="123">
        <v>1536918000</v>
      </c>
      <c r="D6" s="123">
        <v>1536918000</v>
      </c>
      <c r="E6" s="123">
        <v>1466918000</v>
      </c>
      <c r="F6" s="123">
        <v>1422918000</v>
      </c>
      <c r="G6" s="128">
        <v>1422918000</v>
      </c>
      <c r="H6" s="99"/>
    </row>
    <row r="7" spans="2:8" x14ac:dyDescent="0.35">
      <c r="B7" s="122" t="s">
        <v>623</v>
      </c>
      <c r="C7" s="123">
        <v>0</v>
      </c>
      <c r="D7" s="123">
        <v>0</v>
      </c>
      <c r="E7" s="123">
        <v>0</v>
      </c>
      <c r="F7" s="123">
        <v>0</v>
      </c>
      <c r="G7" s="128">
        <v>0</v>
      </c>
    </row>
    <row r="8" spans="2:8" x14ac:dyDescent="0.35">
      <c r="B8" s="122" t="s">
        <v>624</v>
      </c>
      <c r="C8" s="123">
        <v>124514000</v>
      </c>
      <c r="D8" s="123">
        <v>124514000</v>
      </c>
      <c r="E8" s="123">
        <v>213505200</v>
      </c>
      <c r="F8" s="123">
        <v>213505200</v>
      </c>
      <c r="G8" s="128">
        <v>213505200</v>
      </c>
    </row>
    <row r="9" spans="2:8" x14ac:dyDescent="0.35">
      <c r="B9" s="122" t="s">
        <v>625</v>
      </c>
      <c r="C9" s="123">
        <v>0</v>
      </c>
      <c r="D9" s="123">
        <v>0</v>
      </c>
      <c r="E9" s="123">
        <v>180500000</v>
      </c>
      <c r="F9" s="123">
        <v>249100000</v>
      </c>
      <c r="G9" s="128">
        <v>249100000</v>
      </c>
    </row>
    <row r="10" spans="2:8" x14ac:dyDescent="0.35">
      <c r="B10" s="122" t="s">
        <v>626</v>
      </c>
      <c r="C10" s="123">
        <v>900000000</v>
      </c>
      <c r="D10" s="123">
        <v>900000000</v>
      </c>
      <c r="E10" s="123">
        <v>794200000</v>
      </c>
      <c r="F10" s="123">
        <v>680600000</v>
      </c>
      <c r="G10" s="128">
        <v>680600000</v>
      </c>
    </row>
    <row r="11" spans="2:8" x14ac:dyDescent="0.35">
      <c r="B11" s="122" t="s">
        <v>627</v>
      </c>
      <c r="C11" s="123">
        <v>0</v>
      </c>
      <c r="D11" s="123">
        <v>0</v>
      </c>
      <c r="E11" s="123">
        <v>0</v>
      </c>
      <c r="F11" s="123">
        <v>0</v>
      </c>
      <c r="G11" s="128">
        <v>0</v>
      </c>
    </row>
    <row r="12" spans="2:8" x14ac:dyDescent="0.35">
      <c r="B12" s="122" t="s">
        <v>628</v>
      </c>
      <c r="C12" s="123">
        <v>1128213000</v>
      </c>
      <c r="D12" s="123">
        <v>1128213000</v>
      </c>
      <c r="E12" s="123">
        <v>1038213000</v>
      </c>
      <c r="F12" s="123">
        <v>1038213000</v>
      </c>
      <c r="G12" s="128">
        <v>1038213000</v>
      </c>
    </row>
    <row r="13" spans="2:8" x14ac:dyDescent="0.35">
      <c r="B13" s="122" t="s">
        <v>629</v>
      </c>
      <c r="C13" s="123">
        <v>323006000</v>
      </c>
      <c r="D13" s="123">
        <v>323006000</v>
      </c>
      <c r="E13" s="123">
        <v>323006000</v>
      </c>
      <c r="F13" s="123">
        <v>323006000</v>
      </c>
      <c r="G13" s="128">
        <v>323006000</v>
      </c>
    </row>
    <row r="14" spans="2:8" x14ac:dyDescent="0.35">
      <c r="B14" s="122" t="s">
        <v>630</v>
      </c>
      <c r="C14" s="123">
        <v>353858000</v>
      </c>
      <c r="D14" s="123">
        <v>353858000</v>
      </c>
      <c r="E14" s="123">
        <v>353858000</v>
      </c>
      <c r="F14" s="123">
        <v>397858000</v>
      </c>
      <c r="G14" s="128">
        <v>397858000</v>
      </c>
    </row>
    <row r="15" spans="2:8" x14ac:dyDescent="0.35">
      <c r="B15" s="122" t="s">
        <v>631</v>
      </c>
      <c r="C15" s="123">
        <v>509999000</v>
      </c>
      <c r="D15" s="123">
        <v>509999000</v>
      </c>
      <c r="E15" s="123">
        <v>509999000</v>
      </c>
      <c r="F15" s="123">
        <v>551591500</v>
      </c>
      <c r="G15" s="128">
        <v>551591500</v>
      </c>
    </row>
    <row r="16" spans="2:8" x14ac:dyDescent="0.35">
      <c r="B16" s="122" t="s">
        <v>632</v>
      </c>
      <c r="C16" s="123">
        <v>371773000</v>
      </c>
      <c r="D16" s="123">
        <v>371773000</v>
      </c>
      <c r="E16" s="123">
        <v>406773000</v>
      </c>
      <c r="F16" s="123">
        <v>406773000</v>
      </c>
      <c r="G16" s="128">
        <v>406773000</v>
      </c>
    </row>
    <row r="17" spans="2:7" ht="15" thickBot="1" x14ac:dyDescent="0.4">
      <c r="B17" s="8" t="s">
        <v>633</v>
      </c>
      <c r="C17" s="124">
        <f>SUM(C5:C16)</f>
        <v>5991492000</v>
      </c>
      <c r="D17" s="124">
        <f>SUM(D5:D16)</f>
        <v>5991492000</v>
      </c>
      <c r="E17" s="124">
        <f>SUM(E5:E16)</f>
        <v>5991492000</v>
      </c>
      <c r="F17" s="124">
        <f>SUM(F5:F16)</f>
        <v>5991492000</v>
      </c>
      <c r="G17" s="127">
        <f>SUM(G5:G16)</f>
        <v>5991492000</v>
      </c>
    </row>
    <row r="19" spans="2:7" ht="15" thickBot="1" x14ac:dyDescent="0.4">
      <c r="B19" s="121" t="s">
        <v>613</v>
      </c>
      <c r="C19" s="121"/>
      <c r="D19" s="121"/>
      <c r="E19" s="121"/>
      <c r="F19" s="121"/>
    </row>
    <row r="20" spans="2:7" ht="29" x14ac:dyDescent="0.35">
      <c r="B20" s="131" t="s">
        <v>634</v>
      </c>
      <c r="C20" s="145" t="s">
        <v>615</v>
      </c>
      <c r="D20" s="145" t="s">
        <v>616</v>
      </c>
      <c r="E20" s="145" t="s">
        <v>617</v>
      </c>
      <c r="F20" s="145" t="s">
        <v>618</v>
      </c>
      <c r="G20" s="147" t="s">
        <v>619</v>
      </c>
    </row>
    <row r="21" spans="2:7" x14ac:dyDescent="0.35">
      <c r="B21" s="132" t="s">
        <v>620</v>
      </c>
      <c r="C21" s="146"/>
      <c r="D21" s="146"/>
      <c r="E21" s="146"/>
      <c r="F21" s="146"/>
      <c r="G21" s="148"/>
    </row>
    <row r="22" spans="2:7" x14ac:dyDescent="0.35">
      <c r="B22" s="122" t="s">
        <v>621</v>
      </c>
      <c r="C22" s="123">
        <v>1126789000</v>
      </c>
      <c r="D22" s="123">
        <v>1126789000</v>
      </c>
      <c r="E22" s="123">
        <v>1023289000</v>
      </c>
      <c r="F22" s="123">
        <v>1023289000</v>
      </c>
      <c r="G22" s="128">
        <v>1023289000</v>
      </c>
    </row>
    <row r="23" spans="2:7" x14ac:dyDescent="0.35">
      <c r="B23" s="122" t="s">
        <v>622</v>
      </c>
      <c r="C23" s="123">
        <v>4513282000</v>
      </c>
      <c r="D23" s="123">
        <v>4513282000</v>
      </c>
      <c r="E23" s="123">
        <v>4616782000</v>
      </c>
      <c r="F23" s="123">
        <v>4616782000</v>
      </c>
      <c r="G23" s="128">
        <v>4616782000</v>
      </c>
    </row>
    <row r="24" spans="2:7" x14ac:dyDescent="0.35">
      <c r="B24" s="122" t="s">
        <v>623</v>
      </c>
      <c r="C24" s="123">
        <v>9161000000</v>
      </c>
      <c r="D24" s="123">
        <v>9161000000</v>
      </c>
      <c r="E24" s="123">
        <v>9161000000</v>
      </c>
      <c r="F24" s="123">
        <v>8722535000</v>
      </c>
      <c r="G24" s="128">
        <v>8722535000</v>
      </c>
    </row>
    <row r="25" spans="2:7" x14ac:dyDescent="0.35">
      <c r="B25" s="122" t="s">
        <v>624</v>
      </c>
      <c r="C25" s="123">
        <v>3243692000</v>
      </c>
      <c r="D25" s="123">
        <v>3243692000</v>
      </c>
      <c r="E25" s="123">
        <v>3243692000</v>
      </c>
      <c r="F25" s="123">
        <v>3243692000</v>
      </c>
      <c r="G25" s="128">
        <v>3243692000</v>
      </c>
    </row>
    <row r="26" spans="2:7" x14ac:dyDescent="0.35">
      <c r="B26" s="122" t="s">
        <v>625</v>
      </c>
      <c r="C26" s="123">
        <v>9281553000</v>
      </c>
      <c r="D26" s="123">
        <v>9281553000</v>
      </c>
      <c r="E26" s="123">
        <v>9281553000</v>
      </c>
      <c r="F26" s="123">
        <v>9720018000</v>
      </c>
      <c r="G26" s="128">
        <v>9720018000</v>
      </c>
    </row>
    <row r="27" spans="2:7" x14ac:dyDescent="0.35">
      <c r="B27" s="122" t="s">
        <v>626</v>
      </c>
      <c r="C27" s="123">
        <v>0</v>
      </c>
      <c r="D27" s="123">
        <v>0</v>
      </c>
      <c r="E27" s="123">
        <v>0</v>
      </c>
      <c r="F27" s="123">
        <v>0</v>
      </c>
      <c r="G27" s="128">
        <v>0</v>
      </c>
    </row>
    <row r="28" spans="2:7" x14ac:dyDescent="0.35">
      <c r="B28" s="122" t="s">
        <v>627</v>
      </c>
      <c r="C28" s="123">
        <v>0</v>
      </c>
      <c r="D28" s="123">
        <v>0</v>
      </c>
      <c r="E28" s="123">
        <v>0</v>
      </c>
      <c r="F28" s="123">
        <v>0</v>
      </c>
      <c r="G28" s="128">
        <v>0</v>
      </c>
    </row>
    <row r="29" spans="2:7" x14ac:dyDescent="0.35">
      <c r="B29" s="122" t="s">
        <v>628</v>
      </c>
      <c r="C29" s="123">
        <v>0</v>
      </c>
      <c r="D29" s="123">
        <v>0</v>
      </c>
      <c r="E29" s="123">
        <v>0</v>
      </c>
      <c r="F29" s="123">
        <v>0</v>
      </c>
      <c r="G29" s="128">
        <v>0</v>
      </c>
    </row>
    <row r="30" spans="2:7" x14ac:dyDescent="0.35">
      <c r="B30" s="122" t="s">
        <v>629</v>
      </c>
      <c r="C30" s="123">
        <v>0</v>
      </c>
      <c r="D30" s="123">
        <v>0</v>
      </c>
      <c r="E30" s="123">
        <v>0</v>
      </c>
      <c r="F30" s="123">
        <v>0</v>
      </c>
      <c r="G30" s="128">
        <v>0</v>
      </c>
    </row>
    <row r="31" spans="2:7" x14ac:dyDescent="0.35">
      <c r="B31" s="122" t="s">
        <v>630</v>
      </c>
      <c r="C31" s="123">
        <v>0</v>
      </c>
      <c r="D31" s="123">
        <v>0</v>
      </c>
      <c r="E31" s="123">
        <v>0</v>
      </c>
      <c r="F31" s="123">
        <v>0</v>
      </c>
      <c r="G31" s="128">
        <v>0</v>
      </c>
    </row>
    <row r="32" spans="2:7" x14ac:dyDescent="0.35">
      <c r="B32" s="122" t="s">
        <v>631</v>
      </c>
      <c r="C32" s="123">
        <v>0</v>
      </c>
      <c r="D32" s="123">
        <v>0</v>
      </c>
      <c r="E32" s="123">
        <v>0</v>
      </c>
      <c r="F32" s="123">
        <v>0</v>
      </c>
      <c r="G32" s="128">
        <v>0</v>
      </c>
    </row>
    <row r="33" spans="2:7" x14ac:dyDescent="0.35">
      <c r="B33" s="122" t="s">
        <v>632</v>
      </c>
      <c r="C33" s="123">
        <v>0</v>
      </c>
      <c r="D33" s="123">
        <v>0</v>
      </c>
      <c r="E33" s="123">
        <v>0</v>
      </c>
      <c r="F33" s="123">
        <v>0</v>
      </c>
      <c r="G33" s="128">
        <v>0</v>
      </c>
    </row>
    <row r="34" spans="2:7" ht="15" thickBot="1" x14ac:dyDescent="0.4">
      <c r="B34" s="8" t="s">
        <v>633</v>
      </c>
      <c r="C34" s="124">
        <f>SUM(C22:C33)</f>
        <v>27326316000</v>
      </c>
      <c r="D34" s="124">
        <f>SUM(D22:D33)</f>
        <v>27326316000</v>
      </c>
      <c r="E34" s="124">
        <f>SUM(E22:E33)</f>
        <v>27326316000</v>
      </c>
      <c r="F34" s="124">
        <f>SUM(F22:F33)</f>
        <v>27326316000</v>
      </c>
      <c r="G34" s="127">
        <f>SUM(G22:G33)</f>
        <v>27326316000</v>
      </c>
    </row>
    <row r="36" spans="2:7" ht="15" thickBot="1" x14ac:dyDescent="0.4">
      <c r="B36" s="121" t="s">
        <v>613</v>
      </c>
      <c r="C36" s="121"/>
      <c r="D36" s="121"/>
      <c r="E36" s="121"/>
      <c r="F36" s="121"/>
    </row>
    <row r="37" spans="2:7" ht="29" x14ac:dyDescent="0.35">
      <c r="B37" s="133" t="s">
        <v>635</v>
      </c>
      <c r="C37" s="151" t="s">
        <v>615</v>
      </c>
      <c r="D37" s="151" t="s">
        <v>616</v>
      </c>
      <c r="E37" s="151" t="s">
        <v>617</v>
      </c>
      <c r="F37" s="151" t="s">
        <v>618</v>
      </c>
      <c r="G37" s="153" t="s">
        <v>619</v>
      </c>
    </row>
    <row r="38" spans="2:7" x14ac:dyDescent="0.35">
      <c r="B38" s="134" t="s">
        <v>620</v>
      </c>
      <c r="C38" s="152"/>
      <c r="D38" s="152"/>
      <c r="E38" s="152"/>
      <c r="F38" s="152"/>
      <c r="G38" s="154"/>
    </row>
    <row r="39" spans="2:7" x14ac:dyDescent="0.35">
      <c r="B39" s="122" t="s">
        <v>621</v>
      </c>
      <c r="C39" s="123">
        <v>0</v>
      </c>
      <c r="D39" s="123">
        <v>0</v>
      </c>
      <c r="E39" s="123">
        <v>0</v>
      </c>
      <c r="F39" s="123">
        <v>0</v>
      </c>
      <c r="G39" s="128">
        <v>0</v>
      </c>
    </row>
    <row r="40" spans="2:7" x14ac:dyDescent="0.35">
      <c r="B40" s="122" t="s">
        <v>622</v>
      </c>
      <c r="C40" s="123">
        <v>0</v>
      </c>
      <c r="D40" s="123">
        <v>0</v>
      </c>
      <c r="E40" s="123">
        <v>0</v>
      </c>
      <c r="F40" s="123">
        <v>0</v>
      </c>
      <c r="G40" s="128">
        <v>0</v>
      </c>
    </row>
    <row r="41" spans="2:7" x14ac:dyDescent="0.35">
      <c r="B41" s="122" t="s">
        <v>623</v>
      </c>
      <c r="C41" s="123">
        <v>0</v>
      </c>
      <c r="D41" s="123">
        <v>0</v>
      </c>
      <c r="E41" s="123">
        <v>0</v>
      </c>
      <c r="F41" s="123">
        <v>0</v>
      </c>
      <c r="G41" s="128">
        <v>0</v>
      </c>
    </row>
    <row r="42" spans="2:7" x14ac:dyDescent="0.35">
      <c r="B42" s="122" t="s">
        <v>624</v>
      </c>
      <c r="C42" s="123">
        <v>0</v>
      </c>
      <c r="D42" s="123">
        <v>0</v>
      </c>
      <c r="E42" s="123">
        <v>0</v>
      </c>
      <c r="F42" s="123">
        <v>0</v>
      </c>
      <c r="G42" s="128">
        <v>0</v>
      </c>
    </row>
    <row r="43" spans="2:7" x14ac:dyDescent="0.35">
      <c r="B43" s="122" t="s">
        <v>625</v>
      </c>
      <c r="C43" s="123">
        <v>0</v>
      </c>
      <c r="D43" s="123">
        <v>0</v>
      </c>
      <c r="E43" s="123">
        <v>0</v>
      </c>
      <c r="F43" s="123">
        <v>0</v>
      </c>
      <c r="G43" s="128">
        <v>0</v>
      </c>
    </row>
    <row r="44" spans="2:7" x14ac:dyDescent="0.35">
      <c r="B44" s="122" t="s">
        <v>626</v>
      </c>
      <c r="C44" s="123">
        <v>0</v>
      </c>
      <c r="D44" s="123">
        <v>0</v>
      </c>
      <c r="E44" s="123">
        <v>0</v>
      </c>
      <c r="F44" s="123">
        <v>0</v>
      </c>
      <c r="G44" s="128">
        <v>0</v>
      </c>
    </row>
    <row r="45" spans="2:7" x14ac:dyDescent="0.35">
      <c r="B45" s="122" t="s">
        <v>627</v>
      </c>
      <c r="C45" s="125">
        <v>2924147000</v>
      </c>
      <c r="D45" s="125">
        <v>2924147000</v>
      </c>
      <c r="E45" s="125">
        <v>2924147000</v>
      </c>
      <c r="F45" s="125">
        <v>2924147000</v>
      </c>
      <c r="G45" s="126">
        <v>2924147000</v>
      </c>
    </row>
    <row r="46" spans="2:7" x14ac:dyDescent="0.35">
      <c r="B46" s="122" t="s">
        <v>628</v>
      </c>
      <c r="C46" s="123">
        <v>0</v>
      </c>
      <c r="D46" s="123">
        <v>0</v>
      </c>
      <c r="E46" s="123">
        <v>0</v>
      </c>
      <c r="F46" s="123">
        <v>0</v>
      </c>
      <c r="G46" s="128">
        <v>0</v>
      </c>
    </row>
    <row r="47" spans="2:7" x14ac:dyDescent="0.35">
      <c r="B47" s="122" t="s">
        <v>629</v>
      </c>
      <c r="C47" s="123">
        <v>0</v>
      </c>
      <c r="D47" s="123">
        <v>0</v>
      </c>
      <c r="E47" s="123">
        <v>0</v>
      </c>
      <c r="F47" s="123">
        <v>0</v>
      </c>
      <c r="G47" s="128">
        <v>0</v>
      </c>
    </row>
    <row r="48" spans="2:7" x14ac:dyDescent="0.35">
      <c r="B48" s="122" t="s">
        <v>630</v>
      </c>
      <c r="C48" s="123">
        <v>0</v>
      </c>
      <c r="D48" s="123">
        <v>0</v>
      </c>
      <c r="E48" s="123">
        <v>0</v>
      </c>
      <c r="F48" s="123">
        <v>0</v>
      </c>
      <c r="G48" s="128">
        <v>0</v>
      </c>
    </row>
    <row r="49" spans="2:7" x14ac:dyDescent="0.35">
      <c r="B49" s="122" t="s">
        <v>631</v>
      </c>
      <c r="C49" s="123">
        <v>0</v>
      </c>
      <c r="D49" s="123">
        <v>0</v>
      </c>
      <c r="E49" s="123">
        <v>0</v>
      </c>
      <c r="F49" s="123">
        <v>0</v>
      </c>
      <c r="G49" s="128">
        <v>0</v>
      </c>
    </row>
    <row r="50" spans="2:7" x14ac:dyDescent="0.35">
      <c r="B50" s="122" t="s">
        <v>632</v>
      </c>
      <c r="C50" s="123">
        <v>0</v>
      </c>
      <c r="D50" s="123">
        <v>0</v>
      </c>
      <c r="E50" s="123">
        <v>0</v>
      </c>
      <c r="F50" s="123">
        <v>0</v>
      </c>
      <c r="G50" s="128">
        <v>0</v>
      </c>
    </row>
    <row r="51" spans="2:7" s="119" customFormat="1" ht="15" thickBot="1" x14ac:dyDescent="0.4">
      <c r="B51" s="8" t="s">
        <v>633</v>
      </c>
      <c r="C51" s="124">
        <f>SUM(C39:C50)</f>
        <v>2924147000</v>
      </c>
      <c r="D51" s="124">
        <f>SUM(D39:D50)</f>
        <v>2924147000</v>
      </c>
      <c r="E51" s="124">
        <f>SUM(E39:E50)</f>
        <v>2924147000</v>
      </c>
      <c r="F51" s="124">
        <f>SUM(F39:F50)</f>
        <v>2924147000</v>
      </c>
      <c r="G51" s="127">
        <f>SUM(G39:G50)</f>
        <v>2924147000</v>
      </c>
    </row>
    <row r="53" spans="2:7" x14ac:dyDescent="0.35">
      <c r="C53" s="99">
        <f>+C34+C17+C51</f>
        <v>36241955000</v>
      </c>
      <c r="D53" s="99">
        <f>+D34+D17+D51</f>
        <v>36241955000</v>
      </c>
      <c r="E53" s="99">
        <f>+E34+E17+E51</f>
        <v>36241955000</v>
      </c>
      <c r="F53" s="99">
        <f>+F34+F17+F51</f>
        <v>36241955000</v>
      </c>
      <c r="G53" s="99">
        <f>+G34+G17+G51</f>
        <v>36241955000</v>
      </c>
    </row>
  </sheetData>
  <pageMargins left="0.7" right="0.7" top="0.75" bottom="0.75" header="0.3" footer="0.3"/>
  <pageSetup paperSize="9" orientation="portrait" horizontalDpi="4294967294" verticalDpi="4294967294" r:id="rId1"/>
  <customProperties>
    <customPr name="_pios_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73"/>
  <sheetViews>
    <sheetView zoomScale="85" zoomScaleNormal="85" workbookViewId="0">
      <selection activeCell="B1" sqref="B1:I65536"/>
    </sheetView>
  </sheetViews>
  <sheetFormatPr baseColWidth="10" defaultRowHeight="14.5" x14ac:dyDescent="0.35"/>
  <cols>
    <col min="2" max="2" width="69.453125" customWidth="1"/>
    <col min="3" max="4" width="17.1796875" bestFit="1" customWidth="1"/>
    <col min="5" max="5" width="17" bestFit="1" customWidth="1"/>
    <col min="6" max="6" width="16.81640625" bestFit="1" customWidth="1"/>
    <col min="7" max="7" width="17" bestFit="1" customWidth="1"/>
  </cols>
  <sheetData>
    <row r="2" spans="2:8" ht="15" thickBot="1" x14ac:dyDescent="0.4">
      <c r="B2" s="121" t="s">
        <v>613</v>
      </c>
      <c r="C2" s="121"/>
      <c r="D2" s="121"/>
      <c r="E2" s="121"/>
      <c r="F2" s="121"/>
    </row>
    <row r="3" spans="2:8" ht="29" x14ac:dyDescent="0.35">
      <c r="B3" s="129" t="s">
        <v>614</v>
      </c>
      <c r="C3" s="258" t="s">
        <v>615</v>
      </c>
      <c r="D3" s="258" t="s">
        <v>616</v>
      </c>
      <c r="E3" s="258" t="s">
        <v>617</v>
      </c>
      <c r="F3" s="258" t="s">
        <v>618</v>
      </c>
      <c r="G3" s="260" t="s">
        <v>619</v>
      </c>
    </row>
    <row r="4" spans="2:8" ht="29" x14ac:dyDescent="0.35">
      <c r="B4" s="135" t="s">
        <v>636</v>
      </c>
      <c r="C4" s="259"/>
      <c r="D4" s="259"/>
      <c r="E4" s="259"/>
      <c r="F4" s="259"/>
      <c r="G4" s="261"/>
    </row>
    <row r="5" spans="2:8" x14ac:dyDescent="0.35">
      <c r="B5" s="141" t="s">
        <v>628</v>
      </c>
      <c r="C5" s="123">
        <v>840579634</v>
      </c>
      <c r="D5" s="123">
        <v>840579634</v>
      </c>
      <c r="E5" s="123"/>
      <c r="F5" s="123"/>
      <c r="G5" s="128"/>
    </row>
    <row r="6" spans="2:8" x14ac:dyDescent="0.35">
      <c r="B6" s="141" t="s">
        <v>622</v>
      </c>
      <c r="C6" s="123">
        <v>219500000</v>
      </c>
      <c r="D6" s="123">
        <v>219500000</v>
      </c>
      <c r="E6" s="123"/>
      <c r="F6" s="123"/>
      <c r="G6" s="128"/>
      <c r="H6" s="99"/>
    </row>
    <row r="7" spans="2:8" ht="43.5" x14ac:dyDescent="0.35">
      <c r="B7" s="138" t="s">
        <v>637</v>
      </c>
      <c r="C7" s="139"/>
      <c r="D7" s="139"/>
      <c r="E7" s="139"/>
      <c r="F7" s="139"/>
      <c r="G7" s="140"/>
    </row>
    <row r="8" spans="2:8" x14ac:dyDescent="0.35">
      <c r="B8" s="141" t="s">
        <v>621</v>
      </c>
      <c r="C8" s="123">
        <v>743211000</v>
      </c>
      <c r="D8" s="99">
        <v>743211000</v>
      </c>
      <c r="E8" s="123"/>
      <c r="F8" s="123"/>
      <c r="G8" s="128"/>
    </row>
    <row r="9" spans="2:8" x14ac:dyDescent="0.35">
      <c r="B9" s="141" t="s">
        <v>622</v>
      </c>
      <c r="C9" s="123">
        <v>1317418000</v>
      </c>
      <c r="D9" s="99">
        <v>1317418000</v>
      </c>
      <c r="E9" s="123"/>
      <c r="F9" s="123"/>
      <c r="G9" s="128"/>
    </row>
    <row r="10" spans="2:8" x14ac:dyDescent="0.35">
      <c r="B10" s="141" t="s">
        <v>623</v>
      </c>
      <c r="C10" s="123">
        <v>0</v>
      </c>
      <c r="D10" s="123">
        <v>0</v>
      </c>
      <c r="E10" s="123"/>
      <c r="F10" s="123"/>
      <c r="G10" s="128"/>
    </row>
    <row r="11" spans="2:8" x14ac:dyDescent="0.35">
      <c r="B11" s="141" t="s">
        <v>624</v>
      </c>
      <c r="C11" s="123">
        <v>124514000</v>
      </c>
      <c r="D11" s="99">
        <v>124514000</v>
      </c>
      <c r="E11" s="123"/>
      <c r="F11" s="123"/>
      <c r="G11" s="128"/>
    </row>
    <row r="12" spans="2:8" x14ac:dyDescent="0.35">
      <c r="B12" s="141" t="s">
        <v>625</v>
      </c>
      <c r="C12" s="123">
        <v>138190066</v>
      </c>
      <c r="D12" s="99">
        <v>138190866</v>
      </c>
      <c r="E12" s="123"/>
      <c r="F12" s="123"/>
      <c r="G12" s="128"/>
    </row>
    <row r="13" spans="2:8" x14ac:dyDescent="0.35">
      <c r="B13" s="141" t="s">
        <v>626</v>
      </c>
      <c r="C13" s="123">
        <v>885050000</v>
      </c>
      <c r="D13" s="123">
        <v>885050000</v>
      </c>
      <c r="E13" s="123"/>
      <c r="F13" s="123"/>
      <c r="G13" s="128"/>
    </row>
    <row r="14" spans="2:8" x14ac:dyDescent="0.35">
      <c r="B14" s="141" t="s">
        <v>627</v>
      </c>
      <c r="C14" s="123">
        <v>0</v>
      </c>
      <c r="D14" s="123">
        <v>0</v>
      </c>
      <c r="E14" s="123"/>
      <c r="F14" s="123"/>
      <c r="G14" s="128"/>
    </row>
    <row r="15" spans="2:8" x14ac:dyDescent="0.35">
      <c r="B15" s="141" t="s">
        <v>628</v>
      </c>
      <c r="C15" s="123">
        <v>164392500</v>
      </c>
      <c r="D15" s="123">
        <v>164392500</v>
      </c>
      <c r="E15" s="123"/>
      <c r="F15" s="123"/>
      <c r="G15" s="128"/>
    </row>
    <row r="16" spans="2:8" x14ac:dyDescent="0.35">
      <c r="B16" s="141" t="s">
        <v>629</v>
      </c>
      <c r="C16" s="123">
        <v>323006000</v>
      </c>
      <c r="D16" s="123">
        <v>323006000</v>
      </c>
      <c r="E16" s="123"/>
      <c r="F16" s="123"/>
      <c r="G16" s="128"/>
    </row>
    <row r="17" spans="2:7" x14ac:dyDescent="0.35">
      <c r="B17" s="141" t="s">
        <v>630</v>
      </c>
      <c r="C17" s="136">
        <v>353858000</v>
      </c>
      <c r="D17" s="136">
        <v>353858000</v>
      </c>
      <c r="E17" s="136"/>
      <c r="F17" s="136"/>
      <c r="G17" s="137"/>
    </row>
    <row r="18" spans="2:7" x14ac:dyDescent="0.35">
      <c r="B18" s="141" t="s">
        <v>631</v>
      </c>
      <c r="C18" s="136">
        <v>509999000</v>
      </c>
      <c r="D18" s="99">
        <v>509999000</v>
      </c>
      <c r="E18" s="136"/>
      <c r="F18" s="136"/>
      <c r="G18" s="137"/>
    </row>
    <row r="19" spans="2:7" x14ac:dyDescent="0.35">
      <c r="B19" s="141" t="s">
        <v>632</v>
      </c>
      <c r="C19" s="136">
        <v>371773000</v>
      </c>
      <c r="D19" s="99">
        <v>371773000</v>
      </c>
      <c r="E19" s="136"/>
      <c r="F19" s="136"/>
      <c r="G19" s="137"/>
    </row>
    <row r="20" spans="2:7" ht="15" thickBot="1" x14ac:dyDescent="0.4">
      <c r="B20" s="8" t="s">
        <v>633</v>
      </c>
      <c r="C20" s="124">
        <f>SUM(C5:C19)</f>
        <v>5991491200</v>
      </c>
      <c r="D20" s="124">
        <f>SUM(D5:D16)</f>
        <v>4755862000</v>
      </c>
      <c r="E20" s="124">
        <f>SUM(E5:E16)</f>
        <v>0</v>
      </c>
      <c r="F20" s="124">
        <f>SUM(F5:F16)</f>
        <v>0</v>
      </c>
      <c r="G20" s="127">
        <f>SUM(G5:G16)</f>
        <v>0</v>
      </c>
    </row>
    <row r="22" spans="2:7" ht="15" thickBot="1" x14ac:dyDescent="0.4">
      <c r="B22" s="121" t="s">
        <v>613</v>
      </c>
      <c r="C22" s="121"/>
      <c r="D22" s="121"/>
      <c r="E22" s="121"/>
      <c r="F22" s="121"/>
    </row>
    <row r="23" spans="2:7" ht="29" x14ac:dyDescent="0.35">
      <c r="B23" s="131" t="s">
        <v>634</v>
      </c>
      <c r="C23" s="262" t="s">
        <v>615</v>
      </c>
      <c r="D23" s="262" t="s">
        <v>616</v>
      </c>
      <c r="E23" s="262" t="s">
        <v>617</v>
      </c>
      <c r="F23" s="262" t="s">
        <v>618</v>
      </c>
      <c r="G23" s="264" t="s">
        <v>619</v>
      </c>
    </row>
    <row r="24" spans="2:7" ht="29" x14ac:dyDescent="0.35">
      <c r="B24" s="142" t="s">
        <v>638</v>
      </c>
      <c r="C24" s="263"/>
      <c r="D24" s="263"/>
      <c r="E24" s="263"/>
      <c r="F24" s="263"/>
      <c r="G24" s="265"/>
    </row>
    <row r="25" spans="2:7" x14ac:dyDescent="0.35">
      <c r="B25" s="141" t="s">
        <v>622</v>
      </c>
      <c r="C25" s="99">
        <v>0</v>
      </c>
      <c r="D25" s="99">
        <v>105000000</v>
      </c>
      <c r="E25" s="99">
        <v>0</v>
      </c>
      <c r="F25" s="99">
        <v>0</v>
      </c>
      <c r="G25" s="99">
        <v>0</v>
      </c>
    </row>
    <row r="26" spans="2:7" x14ac:dyDescent="0.35">
      <c r="B26" s="141" t="s">
        <v>623</v>
      </c>
      <c r="C26" s="99">
        <v>0</v>
      </c>
      <c r="D26" s="99">
        <v>1070000000</v>
      </c>
      <c r="E26" s="99">
        <v>0</v>
      </c>
      <c r="F26" s="99">
        <v>0</v>
      </c>
      <c r="G26" s="99">
        <v>0</v>
      </c>
    </row>
    <row r="27" spans="2:7" x14ac:dyDescent="0.35">
      <c r="B27" s="141" t="s">
        <v>625</v>
      </c>
      <c r="C27" s="99">
        <v>0</v>
      </c>
      <c r="D27" s="99">
        <v>7671453000</v>
      </c>
      <c r="E27" s="99">
        <v>0</v>
      </c>
      <c r="F27" s="99">
        <v>0</v>
      </c>
      <c r="G27" s="99">
        <v>0</v>
      </c>
    </row>
    <row r="28" spans="2:7" ht="43.5" x14ac:dyDescent="0.35">
      <c r="B28" s="142" t="s">
        <v>639</v>
      </c>
      <c r="C28" s="123"/>
      <c r="D28" s="99"/>
      <c r="E28" s="123"/>
      <c r="F28" s="123"/>
      <c r="G28" s="128"/>
    </row>
    <row r="29" spans="2:7" x14ac:dyDescent="0.35">
      <c r="B29" s="141" t="s">
        <v>623</v>
      </c>
      <c r="C29" s="123">
        <v>0</v>
      </c>
      <c r="D29" s="99">
        <v>1000000000</v>
      </c>
      <c r="E29" s="123">
        <v>0</v>
      </c>
      <c r="F29" s="123">
        <v>0</v>
      </c>
      <c r="G29" s="128">
        <v>0</v>
      </c>
    </row>
    <row r="30" spans="2:7" ht="29" x14ac:dyDescent="0.35">
      <c r="B30" s="142" t="s">
        <v>640</v>
      </c>
      <c r="C30" s="123"/>
      <c r="D30" s="99"/>
      <c r="E30" s="123"/>
      <c r="F30" s="123"/>
      <c r="G30" s="128"/>
    </row>
    <row r="31" spans="2:7" x14ac:dyDescent="0.35">
      <c r="B31" s="141" t="s">
        <v>623</v>
      </c>
      <c r="C31" s="123"/>
      <c r="D31" s="99">
        <v>50000000</v>
      </c>
      <c r="E31" s="123"/>
      <c r="F31" s="123"/>
      <c r="G31" s="128"/>
    </row>
    <row r="32" spans="2:7" ht="29" x14ac:dyDescent="0.35">
      <c r="B32" s="142" t="s">
        <v>641</v>
      </c>
      <c r="C32" s="123"/>
      <c r="D32" s="99"/>
      <c r="E32" s="123"/>
      <c r="F32" s="123"/>
      <c r="G32" s="128"/>
    </row>
    <row r="33" spans="2:7" x14ac:dyDescent="0.35">
      <c r="B33" s="141" t="s">
        <v>622</v>
      </c>
      <c r="C33" s="123"/>
      <c r="D33" s="99">
        <v>2491382000</v>
      </c>
      <c r="E33" s="123"/>
      <c r="F33" s="123"/>
      <c r="G33" s="128"/>
    </row>
    <row r="34" spans="2:7" ht="29" x14ac:dyDescent="0.35">
      <c r="B34" s="142" t="s">
        <v>642</v>
      </c>
      <c r="C34" s="123"/>
      <c r="D34" s="99"/>
      <c r="E34" s="123"/>
      <c r="F34" s="123"/>
      <c r="G34" s="128"/>
    </row>
    <row r="35" spans="2:7" x14ac:dyDescent="0.35">
      <c r="B35" s="141" t="s">
        <v>623</v>
      </c>
      <c r="C35" s="123"/>
      <c r="D35" s="99">
        <v>250000000</v>
      </c>
      <c r="E35" s="123"/>
      <c r="F35" s="123"/>
      <c r="G35" s="128"/>
    </row>
    <row r="36" spans="2:7" ht="29" x14ac:dyDescent="0.35">
      <c r="B36" s="142" t="s">
        <v>642</v>
      </c>
      <c r="C36" s="123"/>
      <c r="D36" s="99"/>
      <c r="E36" s="123"/>
      <c r="F36" s="123"/>
      <c r="G36" s="128"/>
    </row>
    <row r="37" spans="2:7" x14ac:dyDescent="0.35">
      <c r="B37" s="141" t="s">
        <v>622</v>
      </c>
      <c r="C37" s="123"/>
      <c r="D37" s="99">
        <v>115000000</v>
      </c>
      <c r="E37" s="123"/>
      <c r="F37" s="123"/>
      <c r="G37" s="128"/>
    </row>
    <row r="38" spans="2:7" x14ac:dyDescent="0.35">
      <c r="B38" s="141" t="s">
        <v>623</v>
      </c>
      <c r="C38" s="123"/>
      <c r="D38" s="99">
        <v>194450000</v>
      </c>
      <c r="E38" s="123"/>
      <c r="F38" s="123"/>
      <c r="G38" s="128"/>
    </row>
    <row r="39" spans="2:7" ht="29" x14ac:dyDescent="0.35">
      <c r="B39" s="142" t="s">
        <v>643</v>
      </c>
      <c r="C39" s="123"/>
      <c r="D39" s="99"/>
      <c r="E39" s="123"/>
      <c r="F39" s="123"/>
      <c r="G39" s="128"/>
    </row>
    <row r="40" spans="2:7" x14ac:dyDescent="0.35">
      <c r="B40" s="141" t="s">
        <v>623</v>
      </c>
      <c r="C40" s="123"/>
      <c r="D40" s="99">
        <v>100000000</v>
      </c>
      <c r="E40" s="123"/>
      <c r="F40" s="123"/>
      <c r="G40" s="128"/>
    </row>
    <row r="41" spans="2:7" ht="43.5" x14ac:dyDescent="0.35">
      <c r="B41" s="142" t="s">
        <v>637</v>
      </c>
      <c r="C41" s="123"/>
      <c r="D41" s="99"/>
      <c r="E41" s="123"/>
      <c r="F41" s="123"/>
      <c r="G41" s="128"/>
    </row>
    <row r="42" spans="2:7" x14ac:dyDescent="0.35">
      <c r="B42" s="141" t="s">
        <v>622</v>
      </c>
      <c r="C42" s="123"/>
      <c r="D42" s="99">
        <v>841375365</v>
      </c>
      <c r="E42" s="123"/>
      <c r="F42" s="123"/>
      <c r="G42" s="128"/>
    </row>
    <row r="43" spans="2:7" x14ac:dyDescent="0.35">
      <c r="B43" s="141" t="s">
        <v>624</v>
      </c>
      <c r="C43" s="123"/>
      <c r="D43" s="99">
        <v>3243692000</v>
      </c>
      <c r="E43" s="123"/>
      <c r="F43" s="123"/>
      <c r="G43" s="128"/>
    </row>
    <row r="44" spans="2:7" ht="14.25" customHeight="1" x14ac:dyDescent="0.35">
      <c r="B44" s="141" t="s">
        <v>621</v>
      </c>
      <c r="C44" s="123">
        <v>0</v>
      </c>
      <c r="D44" s="123">
        <v>1023289000</v>
      </c>
      <c r="E44" s="123">
        <v>0</v>
      </c>
      <c r="F44" s="123">
        <v>0</v>
      </c>
      <c r="G44" s="128">
        <v>0</v>
      </c>
    </row>
    <row r="45" spans="2:7" x14ac:dyDescent="0.35">
      <c r="B45" s="141" t="s">
        <v>623</v>
      </c>
      <c r="C45" s="123">
        <v>0</v>
      </c>
      <c r="D45" s="123">
        <v>2018085000</v>
      </c>
      <c r="E45" s="123">
        <v>0</v>
      </c>
      <c r="F45" s="123">
        <v>0</v>
      </c>
      <c r="G45" s="128">
        <v>0</v>
      </c>
    </row>
    <row r="46" spans="2:7" x14ac:dyDescent="0.35">
      <c r="B46" s="141" t="s">
        <v>625</v>
      </c>
      <c r="C46" s="123">
        <v>0</v>
      </c>
      <c r="D46" s="123">
        <v>1898565000</v>
      </c>
      <c r="E46" s="123">
        <v>0</v>
      </c>
      <c r="F46" s="123">
        <v>0</v>
      </c>
      <c r="G46" s="128">
        <v>0</v>
      </c>
    </row>
    <row r="47" spans="2:7" ht="29" x14ac:dyDescent="0.35">
      <c r="B47" s="142" t="s">
        <v>644</v>
      </c>
      <c r="C47" s="123"/>
      <c r="D47" s="123"/>
      <c r="E47" s="123"/>
      <c r="F47" s="123"/>
      <c r="G47" s="128"/>
    </row>
    <row r="48" spans="2:7" x14ac:dyDescent="0.35">
      <c r="B48" s="141" t="s">
        <v>622</v>
      </c>
      <c r="C48" s="123">
        <v>0</v>
      </c>
      <c r="D48" s="99">
        <v>589024635</v>
      </c>
      <c r="E48" s="123">
        <v>0</v>
      </c>
      <c r="F48" s="123">
        <v>0</v>
      </c>
      <c r="G48" s="128">
        <v>0</v>
      </c>
    </row>
    <row r="49" spans="2:7" ht="29" x14ac:dyDescent="0.35">
      <c r="B49" s="142" t="s">
        <v>645</v>
      </c>
      <c r="C49" s="123"/>
      <c r="D49" s="99"/>
      <c r="E49" s="123"/>
      <c r="F49" s="123"/>
      <c r="G49" s="128"/>
    </row>
    <row r="50" spans="2:7" x14ac:dyDescent="0.35">
      <c r="B50" s="141" t="s">
        <v>622</v>
      </c>
      <c r="C50" s="123">
        <v>0</v>
      </c>
      <c r="D50" s="123">
        <v>150000000</v>
      </c>
      <c r="E50" s="123">
        <v>0</v>
      </c>
      <c r="F50" s="123">
        <v>0</v>
      </c>
      <c r="G50" s="128">
        <v>0</v>
      </c>
    </row>
    <row r="51" spans="2:7" ht="43.5" x14ac:dyDescent="0.35">
      <c r="B51" s="142" t="s">
        <v>646</v>
      </c>
      <c r="C51" s="123"/>
      <c r="D51" s="123"/>
      <c r="E51" s="123"/>
      <c r="F51" s="123"/>
      <c r="G51" s="128"/>
    </row>
    <row r="52" spans="2:7" x14ac:dyDescent="0.35">
      <c r="B52" s="141" t="s">
        <v>623</v>
      </c>
      <c r="C52" s="123">
        <v>0</v>
      </c>
      <c r="D52" s="99">
        <v>4010000000</v>
      </c>
      <c r="E52" s="123">
        <v>0</v>
      </c>
      <c r="F52" s="123">
        <v>0</v>
      </c>
      <c r="G52" s="128">
        <v>0</v>
      </c>
    </row>
    <row r="53" spans="2:7" ht="43.5" x14ac:dyDescent="0.35">
      <c r="B53" s="142" t="s">
        <v>647</v>
      </c>
      <c r="C53" s="123"/>
      <c r="D53" s="99"/>
      <c r="E53" s="123"/>
      <c r="F53" s="123"/>
      <c r="G53" s="128"/>
    </row>
    <row r="54" spans="2:7" x14ac:dyDescent="0.35">
      <c r="B54" s="141" t="s">
        <v>622</v>
      </c>
      <c r="C54" s="123">
        <v>0</v>
      </c>
      <c r="D54" s="123">
        <v>325000000</v>
      </c>
      <c r="E54" s="123">
        <v>0</v>
      </c>
      <c r="F54" s="123">
        <v>0</v>
      </c>
      <c r="G54" s="128">
        <v>0</v>
      </c>
    </row>
    <row r="55" spans="2:7" x14ac:dyDescent="0.35">
      <c r="B55" s="141" t="s">
        <v>623</v>
      </c>
      <c r="C55" s="136"/>
      <c r="D55" s="136">
        <v>180000000</v>
      </c>
      <c r="E55" s="136"/>
      <c r="F55" s="136"/>
      <c r="G55" s="137"/>
    </row>
    <row r="56" spans="2:7" ht="15" thickBot="1" x14ac:dyDescent="0.4">
      <c r="B56" s="8" t="s">
        <v>633</v>
      </c>
      <c r="C56" s="124">
        <f>SUM(C25:C54)</f>
        <v>0</v>
      </c>
      <c r="D56" s="124">
        <f>SUM(D25:D55)</f>
        <v>27326316000</v>
      </c>
      <c r="E56" s="124">
        <f>SUM(E25:E54)</f>
        <v>0</v>
      </c>
      <c r="F56" s="124">
        <f>SUM(F25:F54)</f>
        <v>0</v>
      </c>
      <c r="G56" s="127">
        <f>SUM(G25:G54)</f>
        <v>0</v>
      </c>
    </row>
    <row r="58" spans="2:7" ht="15" thickBot="1" x14ac:dyDescent="0.4">
      <c r="B58" s="121" t="s">
        <v>613</v>
      </c>
      <c r="C58" s="121"/>
      <c r="D58" s="121"/>
      <c r="E58" s="121"/>
      <c r="F58" s="121"/>
    </row>
    <row r="59" spans="2:7" ht="29" x14ac:dyDescent="0.35">
      <c r="B59" s="133" t="s">
        <v>635</v>
      </c>
      <c r="C59" s="266" t="s">
        <v>615</v>
      </c>
      <c r="D59" s="266" t="s">
        <v>616</v>
      </c>
      <c r="E59" s="266" t="s">
        <v>617</v>
      </c>
      <c r="F59" s="266" t="s">
        <v>618</v>
      </c>
      <c r="G59" s="268" t="s">
        <v>619</v>
      </c>
    </row>
    <row r="60" spans="2:7" x14ac:dyDescent="0.35">
      <c r="B60" s="134" t="s">
        <v>620</v>
      </c>
      <c r="C60" s="267"/>
      <c r="D60" s="267"/>
      <c r="E60" s="267"/>
      <c r="F60" s="267"/>
      <c r="G60" s="269"/>
    </row>
    <row r="61" spans="2:7" x14ac:dyDescent="0.35">
      <c r="B61" s="122" t="s">
        <v>621</v>
      </c>
      <c r="C61" s="123">
        <v>0</v>
      </c>
      <c r="D61" s="123">
        <v>0</v>
      </c>
      <c r="E61" s="123">
        <v>0</v>
      </c>
      <c r="F61" s="123">
        <v>0</v>
      </c>
      <c r="G61" s="128">
        <v>0</v>
      </c>
    </row>
    <row r="62" spans="2:7" x14ac:dyDescent="0.35">
      <c r="B62" s="122" t="s">
        <v>622</v>
      </c>
      <c r="C62" s="123">
        <v>0</v>
      </c>
      <c r="D62" s="123">
        <v>0</v>
      </c>
      <c r="E62" s="123">
        <v>0</v>
      </c>
      <c r="F62" s="123">
        <v>0</v>
      </c>
      <c r="G62" s="128">
        <v>0</v>
      </c>
    </row>
    <row r="63" spans="2:7" x14ac:dyDescent="0.35">
      <c r="B63" s="122" t="s">
        <v>623</v>
      </c>
      <c r="C63" s="123">
        <v>0</v>
      </c>
      <c r="D63" s="123">
        <v>0</v>
      </c>
      <c r="E63" s="123">
        <v>0</v>
      </c>
      <c r="F63" s="123">
        <v>0</v>
      </c>
      <c r="G63" s="128">
        <v>0</v>
      </c>
    </row>
    <row r="64" spans="2:7" x14ac:dyDescent="0.35">
      <c r="B64" s="122" t="s">
        <v>624</v>
      </c>
      <c r="C64" s="123">
        <v>0</v>
      </c>
      <c r="D64" s="123">
        <v>0</v>
      </c>
      <c r="E64" s="123">
        <v>0</v>
      </c>
      <c r="F64" s="123">
        <v>0</v>
      </c>
      <c r="G64" s="128">
        <v>0</v>
      </c>
    </row>
    <row r="65" spans="2:8" x14ac:dyDescent="0.35">
      <c r="B65" s="122" t="s">
        <v>625</v>
      </c>
      <c r="C65" s="123">
        <v>0</v>
      </c>
      <c r="D65" s="123">
        <v>0</v>
      </c>
      <c r="E65" s="123">
        <v>0</v>
      </c>
      <c r="F65" s="123">
        <v>0</v>
      </c>
      <c r="G65" s="128">
        <v>0</v>
      </c>
    </row>
    <row r="66" spans="2:8" x14ac:dyDescent="0.35">
      <c r="B66" s="122" t="s">
        <v>626</v>
      </c>
      <c r="C66" s="123">
        <v>0</v>
      </c>
      <c r="D66" s="123">
        <v>0</v>
      </c>
      <c r="E66" s="123">
        <v>0</v>
      </c>
      <c r="F66" s="123">
        <v>0</v>
      </c>
      <c r="G66" s="128">
        <v>0</v>
      </c>
    </row>
    <row r="67" spans="2:8" x14ac:dyDescent="0.35">
      <c r="B67" s="122" t="s">
        <v>627</v>
      </c>
      <c r="C67" s="125">
        <v>2924147000</v>
      </c>
      <c r="D67" s="125">
        <v>2924147000</v>
      </c>
      <c r="E67" s="125">
        <v>2924147000</v>
      </c>
      <c r="F67" s="125">
        <v>2924147000</v>
      </c>
      <c r="G67" s="126">
        <v>2924147000</v>
      </c>
    </row>
    <row r="68" spans="2:8" x14ac:dyDescent="0.35">
      <c r="B68" s="122" t="s">
        <v>628</v>
      </c>
      <c r="C68" s="123">
        <v>0</v>
      </c>
      <c r="D68" s="123">
        <v>0</v>
      </c>
      <c r="E68" s="123">
        <v>0</v>
      </c>
      <c r="F68" s="123">
        <v>0</v>
      </c>
      <c r="G68" s="128">
        <v>0</v>
      </c>
    </row>
    <row r="69" spans="2:8" x14ac:dyDescent="0.35">
      <c r="B69" s="122" t="s">
        <v>629</v>
      </c>
      <c r="C69" s="123">
        <v>0</v>
      </c>
      <c r="D69" s="123">
        <v>0</v>
      </c>
      <c r="E69" s="123">
        <v>0</v>
      </c>
      <c r="F69" s="123">
        <v>0</v>
      </c>
      <c r="G69" s="128">
        <v>0</v>
      </c>
    </row>
    <row r="70" spans="2:8" x14ac:dyDescent="0.35">
      <c r="B70" s="122" t="s">
        <v>630</v>
      </c>
      <c r="C70" s="123">
        <v>0</v>
      </c>
      <c r="D70" s="123">
        <v>0</v>
      </c>
      <c r="E70" s="123">
        <v>0</v>
      </c>
      <c r="F70" s="123">
        <v>0</v>
      </c>
      <c r="G70" s="128">
        <v>0</v>
      </c>
    </row>
    <row r="71" spans="2:8" x14ac:dyDescent="0.35">
      <c r="B71" s="122" t="s">
        <v>631</v>
      </c>
      <c r="C71" s="123">
        <v>0</v>
      </c>
      <c r="D71" s="123">
        <v>0</v>
      </c>
      <c r="E71" s="123">
        <v>0</v>
      </c>
      <c r="F71" s="123">
        <v>0</v>
      </c>
      <c r="G71" s="128">
        <v>0</v>
      </c>
    </row>
    <row r="72" spans="2:8" x14ac:dyDescent="0.35">
      <c r="B72" s="122" t="s">
        <v>632</v>
      </c>
      <c r="C72" s="123">
        <v>0</v>
      </c>
      <c r="D72" s="123">
        <v>0</v>
      </c>
      <c r="E72" s="123">
        <v>0</v>
      </c>
      <c r="F72" s="123">
        <v>0</v>
      </c>
      <c r="G72" s="128">
        <v>0</v>
      </c>
    </row>
    <row r="73" spans="2:8" ht="15" thickBot="1" x14ac:dyDescent="0.4">
      <c r="B73" s="8" t="s">
        <v>633</v>
      </c>
      <c r="C73" s="124">
        <f>SUM(C61:C72)</f>
        <v>2924147000</v>
      </c>
      <c r="D73" s="124">
        <f>SUM(D61:D72)</f>
        <v>2924147000</v>
      </c>
      <c r="E73" s="124">
        <f>SUM(E61:E72)</f>
        <v>2924147000</v>
      </c>
      <c r="F73" s="124">
        <f>SUM(F61:F72)</f>
        <v>2924147000</v>
      </c>
      <c r="G73" s="127">
        <f>SUM(G61:G72)</f>
        <v>2924147000</v>
      </c>
      <c r="H73" s="119"/>
    </row>
  </sheetData>
  <mergeCells count="15">
    <mergeCell ref="C59:C60"/>
    <mergeCell ref="D59:D60"/>
    <mergeCell ref="E59:E60"/>
    <mergeCell ref="F59:F60"/>
    <mergeCell ref="G59:G60"/>
    <mergeCell ref="C3:C4"/>
    <mergeCell ref="D3:D4"/>
    <mergeCell ref="E3:E4"/>
    <mergeCell ref="F3:F4"/>
    <mergeCell ref="G3:G4"/>
    <mergeCell ref="C23:C24"/>
    <mergeCell ref="D23:D24"/>
    <mergeCell ref="E23:E24"/>
    <mergeCell ref="F23:F24"/>
    <mergeCell ref="G23:G24"/>
  </mergeCells>
  <pageMargins left="0.7" right="0.7" top="0.75" bottom="0.75" header="0.3" footer="0.3"/>
  <ignoredErrors>
    <ignoredError sqref="D56" 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I28"/>
  <sheetViews>
    <sheetView topLeftCell="A10" zoomScale="85" zoomScaleNormal="85" workbookViewId="0">
      <selection activeCell="C3" sqref="C3:C11"/>
    </sheetView>
  </sheetViews>
  <sheetFormatPr baseColWidth="10" defaultRowHeight="14.5" x14ac:dyDescent="0.35"/>
  <cols>
    <col min="2" max="2" width="11.26953125" bestFit="1" customWidth="1"/>
    <col min="3" max="3" width="67" style="48" bestFit="1" customWidth="1"/>
    <col min="4" max="4" width="17.81640625" bestFit="1" customWidth="1"/>
    <col min="5" max="5" width="25.453125" bestFit="1" customWidth="1"/>
    <col min="6" max="6" width="18.453125" style="49" bestFit="1" customWidth="1"/>
    <col min="7" max="7" width="18.453125" bestFit="1" customWidth="1"/>
    <col min="8" max="8" width="18.453125" style="49" bestFit="1" customWidth="1"/>
    <col min="9" max="9" width="23.1796875" bestFit="1" customWidth="1"/>
    <col min="10" max="10" width="16.1796875" customWidth="1"/>
  </cols>
  <sheetData>
    <row r="1" spans="2:9" ht="15" thickBot="1" x14ac:dyDescent="0.4"/>
    <row r="2" spans="2:9" x14ac:dyDescent="0.35">
      <c r="B2" s="50" t="s">
        <v>648</v>
      </c>
      <c r="C2" s="51" t="s">
        <v>649</v>
      </c>
      <c r="D2" s="52" t="s">
        <v>650</v>
      </c>
      <c r="E2" s="52" t="s">
        <v>651</v>
      </c>
      <c r="F2" s="53" t="s">
        <v>652</v>
      </c>
      <c r="G2" s="54" t="s">
        <v>653</v>
      </c>
      <c r="H2" s="54" t="s">
        <v>654</v>
      </c>
    </row>
    <row r="3" spans="2:9" ht="43.5" x14ac:dyDescent="0.35">
      <c r="B3" s="55"/>
      <c r="C3" s="56" t="s">
        <v>655</v>
      </c>
      <c r="D3" s="92">
        <v>6530900000</v>
      </c>
      <c r="E3" s="92">
        <v>3243692000</v>
      </c>
      <c r="F3" s="93">
        <f>E3</f>
        <v>3243692000</v>
      </c>
      <c r="G3" s="97">
        <v>3243692000</v>
      </c>
      <c r="H3" s="97">
        <f t="shared" ref="H3:H11" si="0">F3-G3</f>
        <v>0</v>
      </c>
    </row>
    <row r="4" spans="2:9" ht="43.5" x14ac:dyDescent="0.35">
      <c r="B4" s="55"/>
      <c r="C4" s="56" t="s">
        <v>144</v>
      </c>
      <c r="D4" s="92">
        <v>2800779000</v>
      </c>
      <c r="E4" s="92">
        <v>1186854000</v>
      </c>
      <c r="F4" s="93">
        <v>1126789000</v>
      </c>
      <c r="G4" s="97">
        <v>1126789000</v>
      </c>
      <c r="H4" s="97">
        <f t="shared" si="0"/>
        <v>0</v>
      </c>
      <c r="I4" s="99"/>
    </row>
    <row r="5" spans="2:9" ht="43.5" x14ac:dyDescent="0.35">
      <c r="B5" s="55"/>
      <c r="C5" s="56" t="s">
        <v>389</v>
      </c>
      <c r="D5" s="92">
        <v>175000000</v>
      </c>
      <c r="E5" s="92">
        <v>0</v>
      </c>
      <c r="F5" s="93"/>
      <c r="G5" s="97">
        <v>25000000</v>
      </c>
      <c r="H5" s="98">
        <f t="shared" si="0"/>
        <v>-25000000</v>
      </c>
    </row>
    <row r="6" spans="2:9" x14ac:dyDescent="0.35">
      <c r="B6" s="55"/>
      <c r="C6" s="56" t="s">
        <v>381</v>
      </c>
      <c r="D6" s="92">
        <v>3361000000</v>
      </c>
      <c r="E6" s="92">
        <v>600000000</v>
      </c>
      <c r="F6" s="93">
        <f>E6</f>
        <v>600000000</v>
      </c>
      <c r="G6" s="97">
        <v>1990382000</v>
      </c>
      <c r="H6" s="98">
        <f t="shared" si="0"/>
        <v>-1390382000</v>
      </c>
    </row>
    <row r="7" spans="2:9" ht="29" x14ac:dyDescent="0.35">
      <c r="B7" s="55"/>
      <c r="C7" s="56" t="s">
        <v>166</v>
      </c>
      <c r="D7" s="92">
        <v>5389000000</v>
      </c>
      <c r="E7" s="92">
        <v>926548000</v>
      </c>
      <c r="F7" s="93">
        <v>2000000000</v>
      </c>
      <c r="G7" s="97">
        <v>2000000000</v>
      </c>
      <c r="H7" s="97">
        <f t="shared" si="0"/>
        <v>0</v>
      </c>
    </row>
    <row r="8" spans="2:9" ht="29" x14ac:dyDescent="0.35">
      <c r="B8" s="55"/>
      <c r="C8" s="56" t="s">
        <v>162</v>
      </c>
      <c r="D8" s="94">
        <v>5600000000</v>
      </c>
      <c r="E8" s="94">
        <v>7281553000</v>
      </c>
      <c r="F8" s="93">
        <f>E8</f>
        <v>7281553000</v>
      </c>
      <c r="G8" s="97">
        <v>7281553000</v>
      </c>
      <c r="H8" s="97">
        <f t="shared" si="0"/>
        <v>0</v>
      </c>
    </row>
    <row r="9" spans="2:9" ht="29" x14ac:dyDescent="0.35">
      <c r="B9" s="55"/>
      <c r="C9" s="56" t="s">
        <v>340</v>
      </c>
      <c r="D9" s="92">
        <v>5434174000</v>
      </c>
      <c r="E9" s="92">
        <v>4206688000</v>
      </c>
      <c r="F9" s="93">
        <v>3913282000</v>
      </c>
      <c r="G9" s="97">
        <v>2497900000</v>
      </c>
      <c r="H9" s="98">
        <f t="shared" si="0"/>
        <v>1415382000</v>
      </c>
    </row>
    <row r="10" spans="2:9" ht="29" x14ac:dyDescent="0.35">
      <c r="B10" s="55"/>
      <c r="C10" s="56" t="s">
        <v>229</v>
      </c>
      <c r="D10" s="92">
        <v>1554802000</v>
      </c>
      <c r="E10" s="92">
        <v>2597836000</v>
      </c>
      <c r="F10" s="93">
        <v>1991000000</v>
      </c>
      <c r="G10" s="97">
        <v>1347970000</v>
      </c>
      <c r="H10" s="98">
        <f t="shared" si="0"/>
        <v>643030000</v>
      </c>
    </row>
    <row r="11" spans="2:9" ht="29" x14ac:dyDescent="0.35">
      <c r="B11" s="55"/>
      <c r="C11" s="56" t="s">
        <v>224</v>
      </c>
      <c r="D11" s="92">
        <v>8395198000</v>
      </c>
      <c r="E11" s="92">
        <v>7283145000</v>
      </c>
      <c r="F11" s="93">
        <v>7170000000</v>
      </c>
      <c r="G11" s="97">
        <v>7813030000</v>
      </c>
      <c r="H11" s="98">
        <f t="shared" si="0"/>
        <v>-643030000</v>
      </c>
    </row>
    <row r="12" spans="2:9" ht="15" thickBot="1" x14ac:dyDescent="0.4">
      <c r="B12" s="55"/>
      <c r="C12" s="57" t="s">
        <v>656</v>
      </c>
      <c r="D12" s="95">
        <f>SUM(D3:D11)</f>
        <v>39240853000</v>
      </c>
      <c r="E12" s="95">
        <f>SUM(E3:E11)</f>
        <v>27326316000</v>
      </c>
      <c r="F12" s="96">
        <f>SUM(F3:F11)</f>
        <v>27326316000</v>
      </c>
      <c r="G12" s="95">
        <f>SUM(G3:G11)</f>
        <v>27326316000</v>
      </c>
      <c r="H12" s="95">
        <f>SUM(H3:H11)</f>
        <v>0</v>
      </c>
    </row>
    <row r="13" spans="2:9" x14ac:dyDescent="0.35">
      <c r="D13" s="58"/>
      <c r="I13" s="58"/>
    </row>
    <row r="15" spans="2:9" x14ac:dyDescent="0.35">
      <c r="B15" s="54" t="s">
        <v>648</v>
      </c>
      <c r="C15" s="54" t="s">
        <v>657</v>
      </c>
      <c r="D15" s="54" t="s">
        <v>650</v>
      </c>
      <c r="E15" s="59" t="s">
        <v>658</v>
      </c>
      <c r="F15" s="54" t="s">
        <v>653</v>
      </c>
      <c r="G15" s="54" t="s">
        <v>654</v>
      </c>
    </row>
    <row r="16" spans="2:9" s="88" customFormat="1" ht="29" x14ac:dyDescent="0.35">
      <c r="B16" s="86"/>
      <c r="C16" s="84" t="s">
        <v>659</v>
      </c>
      <c r="D16" s="62">
        <v>403677000</v>
      </c>
      <c r="E16" s="63">
        <v>385856000</v>
      </c>
      <c r="F16" s="89">
        <v>403423000</v>
      </c>
      <c r="G16" s="90">
        <f>E16-F16</f>
        <v>-17567000</v>
      </c>
      <c r="H16" s="87"/>
    </row>
    <row r="17" spans="2:9" s="88" customFormat="1" ht="29" x14ac:dyDescent="0.35">
      <c r="B17" s="86"/>
      <c r="C17" s="85" t="s">
        <v>660</v>
      </c>
      <c r="D17" s="65">
        <v>4484334000</v>
      </c>
      <c r="E17" s="66">
        <v>2252124000</v>
      </c>
      <c r="F17" s="91">
        <v>2231657000</v>
      </c>
      <c r="G17" s="90">
        <f>E17-F17</f>
        <v>20467000</v>
      </c>
      <c r="H17" s="87"/>
    </row>
    <row r="18" spans="2:9" s="88" customFormat="1" x14ac:dyDescent="0.35">
      <c r="B18" s="86"/>
      <c r="C18" s="84" t="s">
        <v>94</v>
      </c>
      <c r="D18" s="62">
        <v>127000000</v>
      </c>
      <c r="E18" s="63">
        <v>286167000</v>
      </c>
      <c r="F18" s="89">
        <v>289067000</v>
      </c>
      <c r="G18" s="90">
        <f>E18-F18</f>
        <v>-2900000</v>
      </c>
      <c r="H18" s="87"/>
    </row>
    <row r="19" spans="2:9" s="88" customFormat="1" x14ac:dyDescent="0.35">
      <c r="B19" s="86"/>
      <c r="C19" s="54" t="s">
        <v>661</v>
      </c>
      <c r="D19" s="67">
        <f>SUM(D16:D18)</f>
        <v>5015011000</v>
      </c>
      <c r="E19" s="68">
        <f>SUM(E16:E18)</f>
        <v>2924147000</v>
      </c>
      <c r="F19" s="67">
        <f>SUM(F16:F18)</f>
        <v>2924147000</v>
      </c>
      <c r="G19" s="67">
        <f>SUM(G16:G18)</f>
        <v>0</v>
      </c>
      <c r="H19" s="87"/>
    </row>
    <row r="20" spans="2:9" x14ac:dyDescent="0.35">
      <c r="D20" s="69">
        <v>5015011000</v>
      </c>
    </row>
    <row r="22" spans="2:9" x14ac:dyDescent="0.35">
      <c r="B22" s="54" t="s">
        <v>648</v>
      </c>
      <c r="C22" s="54" t="s">
        <v>662</v>
      </c>
      <c r="D22" s="54" t="s">
        <v>650</v>
      </c>
      <c r="E22" s="59" t="s">
        <v>658</v>
      </c>
      <c r="F22" s="54" t="s">
        <v>653</v>
      </c>
      <c r="G22" s="54" t="s">
        <v>654</v>
      </c>
    </row>
    <row r="23" spans="2:9" s="48" customFormat="1" x14ac:dyDescent="0.35">
      <c r="B23" s="78"/>
      <c r="C23" s="61" t="s">
        <v>663</v>
      </c>
      <c r="D23" s="70">
        <v>10744136000</v>
      </c>
      <c r="E23" s="71">
        <v>5991492000</v>
      </c>
      <c r="F23" s="79">
        <v>5853301134</v>
      </c>
      <c r="G23" s="80"/>
      <c r="H23" s="81"/>
      <c r="I23" s="82"/>
    </row>
    <row r="24" spans="2:9" s="48" customFormat="1" ht="29" x14ac:dyDescent="0.35">
      <c r="B24" s="78"/>
      <c r="C24" s="64" t="s">
        <v>664</v>
      </c>
      <c r="D24" s="72">
        <v>1000000000</v>
      </c>
      <c r="E24" s="73">
        <v>0</v>
      </c>
      <c r="F24" s="83">
        <v>138190866</v>
      </c>
      <c r="G24" s="78"/>
      <c r="H24" s="81"/>
    </row>
    <row r="25" spans="2:9" x14ac:dyDescent="0.35">
      <c r="B25" s="60"/>
      <c r="C25" s="74" t="s">
        <v>665</v>
      </c>
      <c r="D25" s="75">
        <f>D23+D24</f>
        <v>11744136000</v>
      </c>
      <c r="E25" s="76">
        <f>E23+E24</f>
        <v>5991492000</v>
      </c>
      <c r="F25" s="75">
        <f>F23+F24</f>
        <v>5991492000</v>
      </c>
      <c r="G25" s="75">
        <f>G23+G24</f>
        <v>0</v>
      </c>
    </row>
    <row r="26" spans="2:9" x14ac:dyDescent="0.35">
      <c r="D26" s="58">
        <v>11744136000</v>
      </c>
    </row>
    <row r="27" spans="2:9" x14ac:dyDescent="0.35">
      <c r="D27" s="58"/>
    </row>
    <row r="28" spans="2:9" x14ac:dyDescent="0.35">
      <c r="D28" s="77">
        <f>D12+D19+D25</f>
        <v>56000000000</v>
      </c>
      <c r="E28" s="77"/>
    </row>
  </sheetData>
  <pageMargins left="0.7" right="0.7" top="0.75" bottom="0.75" header="0.3" footer="0.3"/>
  <pageSetup scale="48" orientation="portrait" horizontalDpi="4294967294" verticalDpi="4294967294"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I28"/>
  <sheetViews>
    <sheetView topLeftCell="A7" zoomScale="70" zoomScaleNormal="70" workbookViewId="0">
      <selection activeCell="C3" sqref="C3:C11"/>
    </sheetView>
  </sheetViews>
  <sheetFormatPr baseColWidth="10" defaultColWidth="11.453125" defaultRowHeight="14" x14ac:dyDescent="0.3"/>
  <cols>
    <col min="1" max="1" width="11.453125" style="9"/>
    <col min="2" max="2" width="21.7265625" style="9" hidden="1" customWidth="1"/>
    <col min="3" max="3" width="63.7265625" style="10" customWidth="1"/>
    <col min="4" max="4" width="22.26953125" style="9" hidden="1" customWidth="1"/>
    <col min="5" max="5" width="25.7265625" style="9" hidden="1" customWidth="1"/>
    <col min="6" max="6" width="25.7265625" style="11" customWidth="1"/>
    <col min="7" max="7" width="26.7265625" style="9" hidden="1" customWidth="1"/>
    <col min="8" max="8" width="22.453125" style="11" bestFit="1" customWidth="1"/>
    <col min="9" max="9" width="23.1796875" style="9" bestFit="1" customWidth="1"/>
    <col min="10" max="10" width="16.1796875" style="9" customWidth="1"/>
    <col min="11" max="16384" width="11.453125" style="9"/>
  </cols>
  <sheetData>
    <row r="1" spans="2:9" ht="14.5" thickBot="1" x14ac:dyDescent="0.35"/>
    <row r="2" spans="2:9" ht="26.25" customHeight="1" x14ac:dyDescent="0.3">
      <c r="B2" s="12" t="s">
        <v>648</v>
      </c>
      <c r="C2" s="13" t="s">
        <v>649</v>
      </c>
      <c r="D2" s="14" t="s">
        <v>650</v>
      </c>
      <c r="E2" s="14" t="s">
        <v>651</v>
      </c>
      <c r="F2" s="14" t="s">
        <v>652</v>
      </c>
      <c r="G2" s="15" t="s">
        <v>654</v>
      </c>
      <c r="H2" s="16" t="s">
        <v>653</v>
      </c>
      <c r="I2" s="16" t="s">
        <v>654</v>
      </c>
    </row>
    <row r="3" spans="2:9" ht="48.75" customHeight="1" x14ac:dyDescent="0.3">
      <c r="B3" s="17"/>
      <c r="C3" s="18" t="s">
        <v>666</v>
      </c>
      <c r="D3" s="19">
        <v>6530900000</v>
      </c>
      <c r="E3" s="19">
        <v>3243692000</v>
      </c>
      <c r="F3" s="20">
        <f>E3</f>
        <v>3243692000</v>
      </c>
      <c r="G3" s="21">
        <f>F3-E3</f>
        <v>0</v>
      </c>
      <c r="H3" s="22">
        <v>3243692000</v>
      </c>
      <c r="I3" s="23">
        <f>F3-H3</f>
        <v>0</v>
      </c>
    </row>
    <row r="4" spans="2:9" ht="52.5" customHeight="1" x14ac:dyDescent="0.3">
      <c r="B4" s="17"/>
      <c r="C4" s="18" t="s">
        <v>667</v>
      </c>
      <c r="D4" s="19">
        <v>2800779000</v>
      </c>
      <c r="E4" s="19">
        <v>1186854000</v>
      </c>
      <c r="F4" s="20">
        <v>1126789000</v>
      </c>
      <c r="G4" s="24">
        <f t="shared" ref="G4:G11" si="0">F4-E4</f>
        <v>-60065000</v>
      </c>
      <c r="H4" s="22">
        <v>1126789000</v>
      </c>
      <c r="I4" s="23">
        <f t="shared" ref="I4:I11" si="1">F4-H4</f>
        <v>0</v>
      </c>
    </row>
    <row r="5" spans="2:9" ht="42" x14ac:dyDescent="0.3">
      <c r="B5" s="17"/>
      <c r="C5" s="18" t="s">
        <v>668</v>
      </c>
      <c r="D5" s="19">
        <v>175000000</v>
      </c>
      <c r="E5" s="19">
        <v>0</v>
      </c>
      <c r="F5" s="20"/>
      <c r="G5" s="21">
        <f t="shared" si="0"/>
        <v>0</v>
      </c>
      <c r="H5" s="22">
        <v>25000000</v>
      </c>
      <c r="I5" s="25">
        <f>F5-H5</f>
        <v>-25000000</v>
      </c>
    </row>
    <row r="6" spans="2:9" x14ac:dyDescent="0.3">
      <c r="B6" s="17"/>
      <c r="C6" s="18" t="s">
        <v>669</v>
      </c>
      <c r="D6" s="19">
        <v>3361000000</v>
      </c>
      <c r="E6" s="19">
        <v>600000000</v>
      </c>
      <c r="F6" s="20">
        <f>E6</f>
        <v>600000000</v>
      </c>
      <c r="G6" s="21">
        <f t="shared" si="0"/>
        <v>0</v>
      </c>
      <c r="H6" s="22">
        <v>2084782000</v>
      </c>
      <c r="I6" s="25">
        <f t="shared" si="1"/>
        <v>-1484782000</v>
      </c>
    </row>
    <row r="7" spans="2:9" ht="54" customHeight="1" x14ac:dyDescent="0.3">
      <c r="B7" s="17"/>
      <c r="C7" s="18" t="s">
        <v>670</v>
      </c>
      <c r="D7" s="19">
        <v>5389000000</v>
      </c>
      <c r="E7" s="19">
        <v>926548000</v>
      </c>
      <c r="F7" s="20">
        <v>2000000000</v>
      </c>
      <c r="G7" s="26">
        <f t="shared" si="0"/>
        <v>1073452000</v>
      </c>
      <c r="H7" s="22">
        <v>2000000000</v>
      </c>
      <c r="I7" s="23">
        <f t="shared" si="1"/>
        <v>0</v>
      </c>
    </row>
    <row r="8" spans="2:9" ht="51" customHeight="1" x14ac:dyDescent="0.3">
      <c r="B8" s="17"/>
      <c r="C8" s="18" t="s">
        <v>671</v>
      </c>
      <c r="D8" s="19">
        <v>5600000000</v>
      </c>
      <c r="E8" s="19">
        <v>7281553000</v>
      </c>
      <c r="F8" s="27">
        <f>E8</f>
        <v>7281553000</v>
      </c>
      <c r="G8" s="21">
        <f t="shared" si="0"/>
        <v>0</v>
      </c>
      <c r="H8" s="22">
        <v>7281553000</v>
      </c>
      <c r="I8" s="23">
        <f t="shared" si="1"/>
        <v>0</v>
      </c>
    </row>
    <row r="9" spans="2:9" ht="28" x14ac:dyDescent="0.3">
      <c r="B9" s="17"/>
      <c r="C9" s="18" t="s">
        <v>672</v>
      </c>
      <c r="D9" s="19">
        <v>5434174000</v>
      </c>
      <c r="E9" s="19">
        <v>4206688000</v>
      </c>
      <c r="F9" s="20">
        <v>3913282000</v>
      </c>
      <c r="G9" s="24">
        <f t="shared" si="0"/>
        <v>-293406000</v>
      </c>
      <c r="H9" s="22">
        <v>2403500000</v>
      </c>
      <c r="I9" s="25">
        <f>F9-H9</f>
        <v>1509782000</v>
      </c>
    </row>
    <row r="10" spans="2:9" ht="28" x14ac:dyDescent="0.3">
      <c r="B10" s="17"/>
      <c r="C10" s="18" t="s">
        <v>673</v>
      </c>
      <c r="D10" s="19">
        <v>1554802000</v>
      </c>
      <c r="E10" s="19">
        <v>2597836000</v>
      </c>
      <c r="F10" s="20">
        <v>1991000000</v>
      </c>
      <c r="G10" s="24">
        <f t="shared" si="0"/>
        <v>-606836000</v>
      </c>
      <c r="H10" s="22">
        <v>1347970000</v>
      </c>
      <c r="I10" s="25">
        <f t="shared" si="1"/>
        <v>643030000</v>
      </c>
    </row>
    <row r="11" spans="2:9" ht="28" x14ac:dyDescent="0.3">
      <c r="B11" s="17"/>
      <c r="C11" s="18" t="s">
        <v>674</v>
      </c>
      <c r="D11" s="19">
        <v>8395198000</v>
      </c>
      <c r="E11" s="19">
        <v>7283145000</v>
      </c>
      <c r="F11" s="20">
        <v>7170000000</v>
      </c>
      <c r="G11" s="24">
        <f t="shared" si="0"/>
        <v>-113145000</v>
      </c>
      <c r="H11" s="22">
        <v>7813030000</v>
      </c>
      <c r="I11" s="25">
        <f t="shared" si="1"/>
        <v>-643030000</v>
      </c>
    </row>
    <row r="12" spans="2:9" ht="14.5" thickBot="1" x14ac:dyDescent="0.35">
      <c r="B12" s="17"/>
      <c r="C12" s="28" t="s">
        <v>656</v>
      </c>
      <c r="D12" s="29">
        <f t="shared" ref="D12:I12" si="2">SUM(D3:D11)</f>
        <v>39240853000</v>
      </c>
      <c r="E12" s="29">
        <f t="shared" si="2"/>
        <v>27326316000</v>
      </c>
      <c r="F12" s="29">
        <f t="shared" si="2"/>
        <v>27326316000</v>
      </c>
      <c r="G12" s="29">
        <f t="shared" si="2"/>
        <v>0</v>
      </c>
      <c r="H12" s="29">
        <f t="shared" si="2"/>
        <v>27326316000</v>
      </c>
      <c r="I12" s="29">
        <f t="shared" si="2"/>
        <v>0</v>
      </c>
    </row>
    <row r="13" spans="2:9" x14ac:dyDescent="0.3">
      <c r="D13" s="30"/>
      <c r="I13" s="30"/>
    </row>
    <row r="15" spans="2:9" x14ac:dyDescent="0.3">
      <c r="B15" s="16" t="s">
        <v>648</v>
      </c>
      <c r="C15" s="16" t="s">
        <v>657</v>
      </c>
      <c r="D15" s="16" t="s">
        <v>650</v>
      </c>
      <c r="E15" s="16" t="s">
        <v>658</v>
      </c>
      <c r="F15" s="16" t="s">
        <v>653</v>
      </c>
      <c r="G15" s="16" t="s">
        <v>654</v>
      </c>
    </row>
    <row r="16" spans="2:9" ht="54" customHeight="1" x14ac:dyDescent="0.3">
      <c r="B16" s="31"/>
      <c r="C16" s="32" t="s">
        <v>675</v>
      </c>
      <c r="D16" s="33">
        <v>403677000</v>
      </c>
      <c r="E16" s="33">
        <v>385856000</v>
      </c>
      <c r="F16" s="20">
        <v>403423000</v>
      </c>
      <c r="G16" s="23">
        <f>E16-F16</f>
        <v>-17567000</v>
      </c>
    </row>
    <row r="17" spans="2:9" ht="36" customHeight="1" x14ac:dyDescent="0.3">
      <c r="B17" s="31"/>
      <c r="C17" s="34" t="s">
        <v>676</v>
      </c>
      <c r="D17" s="35">
        <v>4484334000</v>
      </c>
      <c r="E17" s="47">
        <v>2252124000</v>
      </c>
      <c r="F17" s="20">
        <v>2231657000</v>
      </c>
      <c r="G17" s="23">
        <f>E17-F17</f>
        <v>20467000</v>
      </c>
    </row>
    <row r="18" spans="2:9" x14ac:dyDescent="0.3">
      <c r="B18" s="31"/>
      <c r="C18" s="32" t="s">
        <v>677</v>
      </c>
      <c r="D18" s="33">
        <v>127000000</v>
      </c>
      <c r="E18" s="33">
        <v>286167000</v>
      </c>
      <c r="F18" s="20">
        <v>289067000</v>
      </c>
      <c r="G18" s="23">
        <f>E18-F18</f>
        <v>-2900000</v>
      </c>
    </row>
    <row r="19" spans="2:9" x14ac:dyDescent="0.3">
      <c r="B19" s="31"/>
      <c r="C19" s="16" t="s">
        <v>661</v>
      </c>
      <c r="D19" s="36">
        <f>SUM(D16:D18)</f>
        <v>5015011000</v>
      </c>
      <c r="E19" s="36">
        <f>SUM(E16:E18)</f>
        <v>2924147000</v>
      </c>
      <c r="F19" s="37">
        <f>SUM(F16:F18)</f>
        <v>2924147000</v>
      </c>
      <c r="G19" s="37">
        <f>SUM(G16:G18)</f>
        <v>0</v>
      </c>
    </row>
    <row r="20" spans="2:9" x14ac:dyDescent="0.3">
      <c r="D20" s="38">
        <v>5015011000</v>
      </c>
    </row>
    <row r="22" spans="2:9" x14ac:dyDescent="0.3">
      <c r="B22" s="16" t="s">
        <v>648</v>
      </c>
      <c r="C22" s="16" t="s">
        <v>662</v>
      </c>
      <c r="D22" s="16" t="s">
        <v>650</v>
      </c>
      <c r="E22" s="16" t="s">
        <v>658</v>
      </c>
      <c r="F22" s="16" t="s">
        <v>653</v>
      </c>
      <c r="G22" s="16" t="s">
        <v>654</v>
      </c>
    </row>
    <row r="23" spans="2:9" x14ac:dyDescent="0.3">
      <c r="B23" s="31"/>
      <c r="C23" s="32" t="s">
        <v>663</v>
      </c>
      <c r="D23" s="39">
        <v>10744136000</v>
      </c>
      <c r="E23" s="39">
        <v>5991492000</v>
      </c>
      <c r="F23" s="22">
        <v>5853301134</v>
      </c>
      <c r="G23" s="40"/>
      <c r="I23" s="30"/>
    </row>
    <row r="24" spans="2:9" ht="50.25" customHeight="1" x14ac:dyDescent="0.3">
      <c r="B24" s="31"/>
      <c r="C24" s="34" t="s">
        <v>664</v>
      </c>
      <c r="D24" s="41">
        <v>1000000000</v>
      </c>
      <c r="E24" s="42">
        <v>0</v>
      </c>
      <c r="F24" s="43">
        <v>138190866</v>
      </c>
      <c r="G24" s="31"/>
    </row>
    <row r="25" spans="2:9" x14ac:dyDescent="0.3">
      <c r="B25" s="31"/>
      <c r="C25" s="44" t="s">
        <v>665</v>
      </c>
      <c r="D25" s="45">
        <f>D23+D24</f>
        <v>11744136000</v>
      </c>
      <c r="E25" s="45">
        <f>E23+E24</f>
        <v>5991492000</v>
      </c>
      <c r="F25" s="45">
        <f>F23+F24</f>
        <v>5991492000</v>
      </c>
      <c r="G25" s="45">
        <f>G23+G24</f>
        <v>0</v>
      </c>
    </row>
    <row r="26" spans="2:9" x14ac:dyDescent="0.3">
      <c r="D26" s="30">
        <v>11744136000</v>
      </c>
    </row>
    <row r="27" spans="2:9" x14ac:dyDescent="0.3">
      <c r="D27" s="30"/>
    </row>
    <row r="28" spans="2:9" x14ac:dyDescent="0.3">
      <c r="D28" s="46">
        <f>D12+D19+D25</f>
        <v>56000000000</v>
      </c>
      <c r="E28" s="46"/>
    </row>
  </sheetData>
  <pageMargins left="0.7" right="0.7" top="0.75" bottom="0.75" header="0.3" footer="0.3"/>
  <pageSetup scale="31" orientation="portrait" horizontalDpi="4294967294" verticalDpi="4294967294" r:id="rId1"/>
  <customProperties>
    <customPr name="_pios_id" r:id="rId2"/>
  </customProperti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PAA Vr 24 - 2023 </vt:lpstr>
      <vt:lpstr>Resumen inversión 2022-2023</vt:lpstr>
      <vt:lpstr>VR</vt:lpstr>
      <vt:lpstr>ppto 2023 por área y proyecto</vt:lpstr>
      <vt:lpstr>ppto 2023 por CG</vt:lpstr>
      <vt:lpstr>Metas inversión pp</vt:lpstr>
      <vt:lpstr>Metas inversión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LEYDY TATIANA ROMERO MUÑOZ</dc:creator>
  <cp:keywords/>
  <dc:description/>
  <cp:lastModifiedBy>Neyfy Liliana Agudelo Zapata</cp:lastModifiedBy>
  <cp:revision/>
  <dcterms:created xsi:type="dcterms:W3CDTF">2022-12-09T19:21:09Z</dcterms:created>
  <dcterms:modified xsi:type="dcterms:W3CDTF">2023-10-18T23:23:14Z</dcterms:modified>
  <cp:category/>
  <cp:contentStatus/>
</cp:coreProperties>
</file>