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nagudelo\Downloads\"/>
    </mc:Choice>
  </mc:AlternateContent>
  <xr:revisionPtr revIDLastSave="0" documentId="8_{B0301CE4-7637-4232-BA30-039B1762862A}" xr6:coauthVersionLast="47" xr6:coauthVersionMax="47" xr10:uidLastSave="{00000000-0000-0000-0000-000000000000}"/>
  <bookViews>
    <workbookView xWindow="-120" yWindow="-120" windowWidth="29040" windowHeight="15720" tabRatio="599" firstSheet="7" activeTab="7" xr2:uid="{00000000-000D-0000-FFFF-FFFF00000000}"/>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PAA V21" sheetId="56" r:id="rId8"/>
    <sheet name="PAA V4" sheetId="49" state="hidden" r:id="rId9"/>
    <sheet name="PAA V5" sheetId="51" state="hidden" r:id="rId10"/>
    <sheet name="PPA V 21" sheetId="34" state="hidden" r:id="rId11"/>
    <sheet name="Viabilidades" sheetId="27" state="hidden" r:id="rId12"/>
    <sheet name="Reservas x Metas" sheetId="16" state="hidden" r:id="rId13"/>
    <sheet name="SEG. METAS PDD a 30 de Ene 2021" sheetId="10" state="hidden" r:id="rId14"/>
  </sheets>
  <externalReferences>
    <externalReference r:id="rId15"/>
    <externalReference r:id="rId16"/>
    <externalReference r:id="rId17"/>
  </externalReferences>
  <definedNames>
    <definedName name="_xlnm._FilterDatabase" localSheetId="1" hidden="1">'EN PLATAFORMA'!$A$2:$F$12</definedName>
    <definedName name="_xlnm._FilterDatabase" localSheetId="7" hidden="1">'PAA V21'!$S$3:$V$5</definedName>
    <definedName name="_xlnm._FilterDatabase" localSheetId="8" hidden="1">'PAA V4'!$A$6:$CY$6</definedName>
    <definedName name="_xlnm._FilterDatabase" localSheetId="9" hidden="1">'PAA V5'!$A$6:$R$6</definedName>
    <definedName name="_xlnm._FilterDatabase" localSheetId="10"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2" hidden="1">'Reservas x Metas'!$A$1:$M$8</definedName>
    <definedName name="_xlnm._FilterDatabase" localSheetId="13" hidden="1">'SEG. METAS PDD a 30 de Ene 2021'!$A$7:$AE$21</definedName>
    <definedName name="_xlnm._FilterDatabase" localSheetId="0" hidden="1">'SEGUIMIENTO CON PAA '!$A$7:$AS$100</definedName>
    <definedName name="_xlnm._FilterDatabase" localSheetId="11"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91028"/>
  <pivotCaches>
    <pivotCache cacheId="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 i="56" l="1"/>
  <c r="V5" i="56"/>
  <c r="S5" i="56"/>
  <c r="U5" i="56"/>
  <c r="T1132" i="56"/>
  <c r="T1131" i="56" l="1"/>
  <c r="M9" i="56"/>
  <c r="M40" i="56"/>
  <c r="M35" i="56" l="1"/>
  <c r="M11" i="56"/>
  <c r="M20" i="56"/>
  <c r="M21" i="56"/>
  <c r="M19" i="56"/>
  <c r="M22" i="56"/>
  <c r="M32" i="56"/>
  <c r="M14" i="56"/>
  <c r="M15" i="56"/>
  <c r="M8" i="56"/>
  <c r="M33" i="56"/>
  <c r="M31" i="56"/>
  <c r="M18" i="56"/>
  <c r="M17" i="56"/>
  <c r="M16" i="56"/>
  <c r="T1130" i="56" l="1"/>
  <c r="M10" i="56" l="1"/>
  <c r="T1129" i="56" l="1"/>
  <c r="M24" i="56"/>
  <c r="M25" i="56"/>
  <c r="M13" i="56"/>
  <c r="M12" i="56"/>
  <c r="M331" i="56" l="1"/>
  <c r="M300" i="56"/>
  <c r="M299" i="56"/>
  <c r="M297" i="56"/>
  <c r="M293" i="56"/>
  <c r="M298" i="56"/>
  <c r="M333" i="56"/>
  <c r="M697" i="56"/>
  <c r="M696" i="56"/>
  <c r="M324" i="56"/>
  <c r="M330" i="56"/>
  <c r="M179" i="56" l="1"/>
  <c r="M107" i="56"/>
  <c r="M111" i="56"/>
  <c r="M110" i="56"/>
  <c r="M740" i="56" l="1"/>
  <c r="M67" i="56" l="1"/>
  <c r="M65" i="56"/>
  <c r="M59" i="56"/>
  <c r="M5" i="56"/>
  <c r="M221" i="56" l="1"/>
  <c r="M262" i="56"/>
  <c r="M261" i="56"/>
  <c r="M250" i="56"/>
  <c r="M672" i="56" l="1"/>
  <c r="M329" i="56" l="1"/>
  <c r="M328" i="56"/>
  <c r="M744" i="56" l="1"/>
  <c r="M743" i="56"/>
  <c r="M481" i="56"/>
  <c r="M639" i="56"/>
  <c r="M490" i="56"/>
  <c r="M486" i="56"/>
  <c r="T1128" i="56" l="1"/>
  <c r="M68" i="56"/>
  <c r="M56" i="56"/>
  <c r="M54" i="56"/>
  <c r="M53" i="56"/>
  <c r="M778" i="56" l="1"/>
  <c r="M75" i="56"/>
  <c r="M73" i="56"/>
  <c r="M134" i="56"/>
  <c r="M62" i="56" l="1"/>
  <c r="M71" i="56" l="1"/>
  <c r="M70" i="56"/>
  <c r="M66" i="56" l="1"/>
  <c r="M61" i="56"/>
  <c r="M60" i="56"/>
  <c r="M517" i="56" l="1"/>
  <c r="M693" i="56"/>
  <c r="M554" i="56"/>
  <c r="M692" i="56"/>
  <c r="M505" i="56"/>
  <c r="M544" i="56"/>
  <c r="T1127" i="56" l="1"/>
  <c r="M55" i="56"/>
  <c r="M57" i="56" l="1"/>
  <c r="M219" i="56"/>
  <c r="T1126" i="56"/>
  <c r="T1125" i="56"/>
  <c r="M69" i="56"/>
  <c r="M419" i="56" l="1"/>
  <c r="M420" i="56"/>
  <c r="M660" i="56"/>
  <c r="M620" i="56"/>
  <c r="M416" i="56"/>
  <c r="M656" i="56"/>
  <c r="M460" i="56"/>
  <c r="M454" i="56"/>
  <c r="M418" i="56"/>
  <c r="T419" i="56"/>
  <c r="M518" i="56" l="1"/>
  <c r="M213" i="56" l="1"/>
  <c r="M217" i="56"/>
  <c r="M188" i="56"/>
  <c r="M199" i="56"/>
  <c r="M193" i="56"/>
  <c r="M210" i="56"/>
  <c r="M187" i="56"/>
  <c r="M186" i="56"/>
  <c r="M343" i="56"/>
  <c r="M347" i="56"/>
  <c r="M341" i="56"/>
  <c r="M340" i="56"/>
  <c r="M742" i="56"/>
  <c r="T1124" i="56"/>
  <c r="M351" i="56"/>
  <c r="M731" i="56"/>
  <c r="M689" i="56"/>
  <c r="M741" i="56"/>
  <c r="M736" i="56"/>
  <c r="M218" i="56" l="1"/>
  <c r="M360" i="56"/>
  <c r="M359" i="56"/>
  <c r="M254" i="56"/>
  <c r="M257" i="56"/>
  <c r="M226" i="56" l="1"/>
  <c r="M225" i="56"/>
  <c r="M224" i="56"/>
  <c r="M223" i="56"/>
  <c r="M222" i="56"/>
  <c r="M260" i="56"/>
  <c r="M256" i="56"/>
  <c r="M252" i="56"/>
  <c r="M614" i="56" l="1"/>
  <c r="M264" i="56"/>
  <c r="T1123" i="56"/>
  <c r="T1122" i="56"/>
  <c r="R1134" i="56" l="1"/>
  <c r="T752" i="56"/>
  <c r="T751" i="56"/>
  <c r="T750" i="56"/>
  <c r="T748" i="56"/>
  <c r="T741" i="56"/>
  <c r="T740" i="56"/>
  <c r="T738" i="56"/>
  <c r="T737" i="56"/>
  <c r="T734" i="56"/>
  <c r="T727" i="56"/>
  <c r="T725" i="56"/>
  <c r="T715" i="56"/>
  <c r="T711" i="56"/>
  <c r="T710" i="56"/>
  <c r="T700" i="56"/>
  <c r="T687" i="56"/>
  <c r="T686" i="56"/>
  <c r="T683" i="56"/>
  <c r="T673" i="56"/>
  <c r="T614" i="56"/>
  <c r="T613" i="56"/>
  <c r="T612" i="56"/>
  <c r="T292" i="56"/>
  <c r="T290" i="56"/>
  <c r="T289" i="56"/>
  <c r="T288" i="56"/>
  <c r="T287" i="56"/>
  <c r="T286" i="56"/>
  <c r="T285" i="56"/>
  <c r="T284" i="56"/>
  <c r="T282" i="56"/>
  <c r="T281" i="56"/>
  <c r="T280" i="56"/>
  <c r="T279" i="56"/>
  <c r="T274" i="56"/>
  <c r="T270" i="56"/>
  <c r="T266" i="56"/>
  <c r="T262" i="56"/>
  <c r="T258" i="56"/>
  <c r="T254" i="56"/>
  <c r="T250" i="56"/>
  <c r="T246" i="56"/>
  <c r="T242" i="56"/>
  <c r="T238" i="56"/>
  <c r="T234" i="56"/>
  <c r="T230" i="56"/>
  <c r="T227" i="56"/>
  <c r="T223" i="56"/>
  <c r="T219" i="56"/>
  <c r="T218" i="56"/>
  <c r="T9" i="56"/>
  <c r="T216" i="56"/>
  <c r="T215" i="56"/>
  <c r="T214" i="56"/>
  <c r="T212" i="56"/>
  <c r="T211" i="56"/>
  <c r="T210" i="56"/>
  <c r="T208" i="56"/>
  <c r="T207" i="56"/>
  <c r="T206" i="56"/>
  <c r="T204" i="56"/>
  <c r="T203" i="56"/>
  <c r="T202" i="56"/>
  <c r="T200" i="56"/>
  <c r="T199" i="56"/>
  <c r="T198" i="56"/>
  <c r="T196" i="56"/>
  <c r="T195" i="56"/>
  <c r="T194" i="56"/>
  <c r="T192" i="56"/>
  <c r="T191" i="56"/>
  <c r="T190" i="56"/>
  <c r="T188" i="56"/>
  <c r="T187" i="56"/>
  <c r="T186" i="56"/>
  <c r="T184" i="56"/>
  <c r="T183" i="56"/>
  <c r="T182" i="56"/>
  <c r="T180" i="56"/>
  <c r="T179" i="56"/>
  <c r="T178" i="56"/>
  <c r="T176" i="56"/>
  <c r="T175" i="56"/>
  <c r="T174" i="56"/>
  <c r="T172" i="56"/>
  <c r="T171" i="56"/>
  <c r="T168" i="56"/>
  <c r="T164" i="56"/>
  <c r="T163" i="56"/>
  <c r="T160" i="56"/>
  <c r="T159" i="56"/>
  <c r="T156" i="56"/>
  <c r="T154" i="56"/>
  <c r="T152" i="56"/>
  <c r="T151" i="56"/>
  <c r="T148" i="56"/>
  <c r="T147" i="56"/>
  <c r="T144" i="56"/>
  <c r="T143" i="56"/>
  <c r="T140" i="56"/>
  <c r="T139" i="56"/>
  <c r="T132" i="56"/>
  <c r="T131" i="56"/>
  <c r="T130" i="56"/>
  <c r="T128" i="56"/>
  <c r="T127" i="56"/>
  <c r="T124" i="56"/>
  <c r="T122" i="56"/>
  <c r="T120" i="56"/>
  <c r="T119" i="56"/>
  <c r="T118" i="56"/>
  <c r="T117" i="56"/>
  <c r="T116" i="56"/>
  <c r="T115" i="56"/>
  <c r="T108" i="56"/>
  <c r="T107" i="56"/>
  <c r="T105" i="56"/>
  <c r="T103" i="56"/>
  <c r="T102" i="56"/>
  <c r="T100" i="56"/>
  <c r="T99" i="56"/>
  <c r="T98" i="56"/>
  <c r="T8" i="56"/>
  <c r="T96" i="56"/>
  <c r="T93" i="56"/>
  <c r="T92" i="56"/>
  <c r="T89" i="56"/>
  <c r="T746" i="56"/>
  <c r="T745" i="56"/>
  <c r="T744" i="56"/>
  <c r="T730" i="56"/>
  <c r="T729" i="56"/>
  <c r="T726" i="56"/>
  <c r="T724" i="56"/>
  <c r="T719" i="56"/>
  <c r="T716" i="56"/>
  <c r="T714" i="56"/>
  <c r="T696" i="56"/>
  <c r="T694" i="56"/>
  <c r="T691" i="56"/>
  <c r="T690" i="56"/>
  <c r="T670" i="56"/>
  <c r="T32" i="56"/>
  <c r="T30" i="56"/>
  <c r="T627" i="56"/>
  <c r="T611" i="56"/>
  <c r="T505" i="56"/>
  <c r="T494" i="56"/>
  <c r="T478" i="56"/>
  <c r="T427" i="56"/>
  <c r="T423" i="56"/>
  <c r="T418" i="56"/>
  <c r="T415" i="56"/>
  <c r="T396" i="56"/>
  <c r="T361" i="56"/>
  <c r="T18" i="56"/>
  <c r="T17" i="56"/>
  <c r="T336" i="56"/>
  <c r="T16" i="56"/>
  <c r="T330" i="56"/>
  <c r="T329" i="56"/>
  <c r="T328" i="56"/>
  <c r="T324" i="56"/>
  <c r="T317" i="56"/>
  <c r="T87" i="56"/>
  <c r="T85" i="56"/>
  <c r="T80" i="56"/>
  <c r="T77" i="56"/>
  <c r="T743" i="56"/>
  <c r="T728" i="56"/>
  <c r="T708" i="56"/>
  <c r="T34" i="56"/>
  <c r="T671" i="56"/>
  <c r="T669" i="56"/>
  <c r="T663" i="56"/>
  <c r="T637" i="56"/>
  <c r="T629" i="56"/>
  <c r="T624" i="56"/>
  <c r="T617" i="56"/>
  <c r="T486" i="56"/>
  <c r="T331" i="56"/>
  <c r="T323" i="56"/>
  <c r="T74" i="56"/>
  <c r="T88" i="56"/>
  <c r="T83" i="56"/>
  <c r="T78" i="56"/>
  <c r="T76" i="56"/>
  <c r="T75" i="56"/>
  <c r="T73" i="56"/>
  <c r="T71" i="56"/>
  <c r="T69" i="56"/>
  <c r="T68" i="56"/>
  <c r="T65" i="56"/>
  <c r="T64" i="56"/>
  <c r="T63" i="56"/>
  <c r="T62" i="56"/>
  <c r="T61" i="56"/>
  <c r="T60" i="56"/>
  <c r="T59" i="56"/>
  <c r="T57" i="56"/>
  <c r="T7" i="56"/>
  <c r="T56" i="56"/>
  <c r="T55" i="56"/>
  <c r="T53" i="56"/>
  <c r="T54" i="56"/>
  <c r="T72" i="56"/>
  <c r="T84" i="56"/>
  <c r="T91" i="56"/>
  <c r="T111" i="56"/>
  <c r="T114" i="56"/>
  <c r="T123" i="56"/>
  <c r="T134" i="56"/>
  <c r="T135" i="56"/>
  <c r="T146" i="56"/>
  <c r="T150" i="56"/>
  <c r="T155" i="56"/>
  <c r="T162" i="56"/>
  <c r="T166" i="56"/>
  <c r="T167" i="56"/>
  <c r="T170" i="56"/>
  <c r="T158" i="56"/>
  <c r="T142" i="56"/>
  <c r="T138" i="56"/>
  <c r="T126" i="56"/>
  <c r="T110" i="56"/>
  <c r="T106" i="56"/>
  <c r="T95" i="56"/>
  <c r="T79" i="56"/>
  <c r="T67" i="56"/>
  <c r="T747" i="56"/>
  <c r="T732" i="56"/>
  <c r="T731" i="56"/>
  <c r="T721" i="56"/>
  <c r="T35" i="56"/>
  <c r="T720" i="56"/>
  <c r="T718" i="56"/>
  <c r="T717" i="56"/>
  <c r="T707" i="56"/>
  <c r="T706" i="56"/>
  <c r="T705" i="56"/>
  <c r="T704" i="56"/>
  <c r="T703" i="56"/>
  <c r="T702" i="56"/>
  <c r="T701" i="56"/>
  <c r="T33" i="56"/>
  <c r="T699" i="56"/>
  <c r="T698" i="56"/>
  <c r="T697" i="56"/>
  <c r="T695" i="56"/>
  <c r="T693" i="56"/>
  <c r="T692" i="56"/>
  <c r="T682" i="56"/>
  <c r="T680" i="56"/>
  <c r="T679" i="56"/>
  <c r="T678" i="56"/>
  <c r="T677" i="56"/>
  <c r="T676" i="56"/>
  <c r="T675" i="56"/>
  <c r="T674" i="56"/>
  <c r="T667" i="56"/>
  <c r="T662" i="56"/>
  <c r="T661" i="56"/>
  <c r="T660" i="56"/>
  <c r="T659" i="56"/>
  <c r="T656" i="56"/>
  <c r="T655" i="56"/>
  <c r="T654" i="56"/>
  <c r="T653" i="56"/>
  <c r="T652" i="56"/>
  <c r="T651" i="56"/>
  <c r="T650" i="56"/>
  <c r="T649" i="56"/>
  <c r="T648" i="56"/>
  <c r="T647" i="56"/>
  <c r="T646" i="56"/>
  <c r="T645" i="56"/>
  <c r="T644" i="56"/>
  <c r="T643" i="56"/>
  <c r="T642" i="56"/>
  <c r="T641" i="56"/>
  <c r="T640" i="56"/>
  <c r="T639" i="56"/>
  <c r="T638" i="56"/>
  <c r="T636" i="56"/>
  <c r="T635" i="56"/>
  <c r="T634" i="56"/>
  <c r="T631" i="56"/>
  <c r="T31" i="56"/>
  <c r="T628" i="56"/>
  <c r="T625" i="56"/>
  <c r="T622" i="56"/>
  <c r="T29" i="56"/>
  <c r="T28" i="56"/>
  <c r="T27" i="56"/>
  <c r="T26" i="56"/>
  <c r="T621" i="56"/>
  <c r="T620" i="56"/>
  <c r="T618" i="56"/>
  <c r="T558" i="56"/>
  <c r="T557" i="56"/>
  <c r="T556" i="56"/>
  <c r="T555" i="56"/>
  <c r="T554" i="56"/>
  <c r="T553" i="56"/>
  <c r="T552" i="56"/>
  <c r="T551" i="56"/>
  <c r="T550" i="56"/>
  <c r="T549" i="56"/>
  <c r="T548" i="56"/>
  <c r="T547" i="56"/>
  <c r="T546" i="56"/>
  <c r="T545" i="56"/>
  <c r="T544" i="56"/>
  <c r="T543" i="56"/>
  <c r="T542" i="56"/>
  <c r="T541" i="56"/>
  <c r="T540" i="56"/>
  <c r="T539" i="56"/>
  <c r="T538" i="56"/>
  <c r="T537" i="56"/>
  <c r="T536" i="56"/>
  <c r="T535" i="56"/>
  <c r="T534" i="56"/>
  <c r="T533" i="56"/>
  <c r="T532" i="56"/>
  <c r="T531" i="56"/>
  <c r="T530" i="56"/>
  <c r="T529" i="56"/>
  <c r="T528" i="56"/>
  <c r="T527" i="56"/>
  <c r="T526" i="56"/>
  <c r="T525" i="56"/>
  <c r="T524" i="56"/>
  <c r="T523" i="56"/>
  <c r="T522" i="56"/>
  <c r="T521" i="56"/>
  <c r="T520" i="56"/>
  <c r="T519" i="56"/>
  <c r="T518" i="56"/>
  <c r="T517" i="56"/>
  <c r="T516" i="56"/>
  <c r="T515" i="56"/>
  <c r="T514" i="56"/>
  <c r="T513" i="56"/>
  <c r="T512" i="56"/>
  <c r="T511" i="56"/>
  <c r="T510" i="56"/>
  <c r="T509" i="56"/>
  <c r="T508" i="56"/>
  <c r="T507" i="56"/>
  <c r="T506" i="56"/>
  <c r="T504" i="56"/>
  <c r="T503" i="56"/>
  <c r="T502" i="56"/>
  <c r="T501" i="56"/>
  <c r="T500" i="56"/>
  <c r="T499" i="56"/>
  <c r="T498" i="56"/>
  <c r="T497" i="56"/>
  <c r="T496" i="56"/>
  <c r="T495" i="56"/>
  <c r="T493" i="56"/>
  <c r="T492" i="56"/>
  <c r="T491" i="56"/>
  <c r="T490" i="56"/>
  <c r="T489" i="56"/>
  <c r="T488" i="56"/>
  <c r="T487" i="56"/>
  <c r="T485" i="56"/>
  <c r="T484" i="56"/>
  <c r="T483" i="56"/>
  <c r="T482" i="56"/>
  <c r="T481" i="56"/>
  <c r="T480" i="56"/>
  <c r="T479" i="56"/>
  <c r="T477" i="56"/>
  <c r="T476" i="56"/>
  <c r="T475" i="56"/>
  <c r="T474" i="56"/>
  <c r="T473" i="56"/>
  <c r="T472" i="56"/>
  <c r="T471" i="56"/>
  <c r="T470" i="56"/>
  <c r="T469" i="56"/>
  <c r="T468" i="56"/>
  <c r="T467" i="56"/>
  <c r="T466" i="56"/>
  <c r="T465" i="56"/>
  <c r="T464" i="56"/>
  <c r="T463" i="56"/>
  <c r="T462" i="56"/>
  <c r="T461" i="56"/>
  <c r="T460" i="56"/>
  <c r="T459" i="56"/>
  <c r="T458" i="56"/>
  <c r="T457" i="56"/>
  <c r="T456" i="56"/>
  <c r="T455" i="56"/>
  <c r="T454" i="56"/>
  <c r="T453" i="56"/>
  <c r="T452" i="56"/>
  <c r="T451" i="56"/>
  <c r="T450" i="56"/>
  <c r="T449" i="56"/>
  <c r="T448" i="56"/>
  <c r="T447" i="56"/>
  <c r="T446" i="56"/>
  <c r="T445" i="56"/>
  <c r="T444" i="56"/>
  <c r="T443" i="56"/>
  <c r="T442" i="56"/>
  <c r="T441" i="56"/>
  <c r="T440" i="56"/>
  <c r="T439" i="56"/>
  <c r="T438" i="56"/>
  <c r="T437" i="56"/>
  <c r="T436" i="56"/>
  <c r="T435" i="56"/>
  <c r="T434" i="56"/>
  <c r="T433" i="56"/>
  <c r="T432" i="56"/>
  <c r="T431" i="56"/>
  <c r="T430" i="56"/>
  <c r="T429" i="56"/>
  <c r="T428" i="56"/>
  <c r="T426" i="56"/>
  <c r="T425" i="56"/>
  <c r="T424" i="56"/>
  <c r="T422" i="56"/>
  <c r="T421" i="56"/>
  <c r="T417" i="56"/>
  <c r="T416" i="56"/>
  <c r="T414" i="56"/>
  <c r="T413" i="56"/>
  <c r="T412" i="56"/>
  <c r="T411" i="56"/>
  <c r="T410" i="56"/>
  <c r="T409" i="56"/>
  <c r="T408" i="56"/>
  <c r="T407" i="56"/>
  <c r="T406" i="56"/>
  <c r="T405" i="56"/>
  <c r="T404" i="56"/>
  <c r="T403" i="56"/>
  <c r="T402" i="56"/>
  <c r="T401" i="56"/>
  <c r="T400" i="56"/>
  <c r="T399" i="56"/>
  <c r="T398" i="56"/>
  <c r="T397" i="56"/>
  <c r="T395" i="56"/>
  <c r="T394" i="56"/>
  <c r="T393" i="56"/>
  <c r="T392" i="56"/>
  <c r="T391" i="56"/>
  <c r="T390" i="56"/>
  <c r="T389" i="56"/>
  <c r="T388" i="56"/>
  <c r="T387" i="56"/>
  <c r="T386" i="56"/>
  <c r="T385" i="56"/>
  <c r="T384" i="56"/>
  <c r="T383" i="56"/>
  <c r="T382" i="56"/>
  <c r="T381" i="56"/>
  <c r="T380" i="56"/>
  <c r="T379" i="56"/>
  <c r="T378" i="56"/>
  <c r="T377" i="56"/>
  <c r="T376" i="56"/>
  <c r="T375" i="56"/>
  <c r="T374" i="56"/>
  <c r="T373" i="56"/>
  <c r="T372" i="56"/>
  <c r="T371" i="56"/>
  <c r="T370" i="56"/>
  <c r="T369" i="56"/>
  <c r="T368" i="56"/>
  <c r="T367" i="56"/>
  <c r="T366" i="56"/>
  <c r="T365" i="56"/>
  <c r="T364" i="56"/>
  <c r="T363" i="56"/>
  <c r="T362" i="56"/>
  <c r="T360" i="56"/>
  <c r="T359" i="56"/>
  <c r="T358" i="56"/>
  <c r="T357" i="56"/>
  <c r="T356" i="56"/>
  <c r="T355" i="56"/>
  <c r="T354" i="56"/>
  <c r="T353" i="56"/>
  <c r="T352" i="56"/>
  <c r="T351" i="56"/>
  <c r="T350" i="56"/>
  <c r="T349" i="56"/>
  <c r="T348" i="56"/>
  <c r="T347" i="56"/>
  <c r="T346" i="56"/>
  <c r="T345" i="56"/>
  <c r="T344" i="56"/>
  <c r="T343" i="56"/>
  <c r="T342" i="56"/>
  <c r="T341" i="56"/>
  <c r="T340" i="56"/>
  <c r="T339" i="56"/>
  <c r="T338" i="56"/>
  <c r="T337" i="56"/>
  <c r="T15" i="56"/>
  <c r="T14" i="56"/>
  <c r="T335" i="56"/>
  <c r="T334" i="56"/>
  <c r="T333" i="56"/>
  <c r="T332" i="56"/>
  <c r="T13" i="56"/>
  <c r="T12" i="56"/>
  <c r="T327" i="56"/>
  <c r="T326" i="56"/>
  <c r="T325" i="56"/>
  <c r="T322" i="56"/>
  <c r="T321" i="56"/>
  <c r="T320" i="56"/>
  <c r="T319" i="56"/>
  <c r="T318" i="56"/>
  <c r="T316" i="56"/>
  <c r="T315" i="56"/>
  <c r="T314" i="56"/>
  <c r="T313" i="56"/>
  <c r="T312" i="56"/>
  <c r="T311" i="56"/>
  <c r="T310" i="56"/>
  <c r="T309" i="56"/>
  <c r="T308" i="56"/>
  <c r="T307" i="56"/>
  <c r="T306" i="56"/>
  <c r="T305" i="56"/>
  <c r="T304" i="56"/>
  <c r="T303" i="56"/>
  <c r="T302" i="56"/>
  <c r="T301" i="56"/>
  <c r="T300" i="56"/>
  <c r="T299" i="56"/>
  <c r="T298" i="56"/>
  <c r="T297" i="56"/>
  <c r="T296" i="56"/>
  <c r="T295" i="56"/>
  <c r="T11" i="56"/>
  <c r="T294" i="56"/>
  <c r="T58" i="56"/>
  <c r="T66" i="56"/>
  <c r="T70" i="56"/>
  <c r="T81" i="56"/>
  <c r="T82" i="56"/>
  <c r="T86" i="56"/>
  <c r="T90" i="56"/>
  <c r="T94" i="56"/>
  <c r="T97" i="56"/>
  <c r="T101" i="56"/>
  <c r="T104" i="56"/>
  <c r="T109" i="56"/>
  <c r="T112" i="56"/>
  <c r="T113" i="56"/>
  <c r="T121" i="56"/>
  <c r="T125" i="56"/>
  <c r="T129" i="56"/>
  <c r="T133" i="56"/>
  <c r="T136" i="56"/>
  <c r="T137" i="56"/>
  <c r="T141" i="56"/>
  <c r="T145" i="56"/>
  <c r="T149" i="56"/>
  <c r="T153" i="56"/>
  <c r="T157" i="56"/>
  <c r="T161" i="56"/>
  <c r="T165" i="56"/>
  <c r="T169" i="56"/>
  <c r="T173" i="56"/>
  <c r="T177" i="56"/>
  <c r="T181" i="56"/>
  <c r="T185" i="56"/>
  <c r="T189" i="56"/>
  <c r="T193" i="56"/>
  <c r="T197" i="56"/>
  <c r="T201" i="56"/>
  <c r="T205" i="56"/>
  <c r="T209" i="56"/>
  <c r="T213" i="56"/>
  <c r="T217" i="56"/>
  <c r="T220" i="56"/>
  <c r="T221" i="56"/>
  <c r="T222" i="56"/>
  <c r="T224" i="56"/>
  <c r="T225" i="56"/>
  <c r="T226" i="56"/>
  <c r="T228" i="56"/>
  <c r="T10" i="56"/>
  <c r="T229" i="56"/>
  <c r="T231" i="56"/>
  <c r="T232" i="56"/>
  <c r="T233" i="56"/>
  <c r="T235" i="56"/>
  <c r="T236" i="56"/>
  <c r="T237" i="56"/>
  <c r="T239" i="56"/>
  <c r="T240" i="56"/>
  <c r="T241" i="56"/>
  <c r="T243" i="56"/>
  <c r="T244" i="56"/>
  <c r="T245" i="56"/>
  <c r="T247" i="56"/>
  <c r="T248" i="56"/>
  <c r="T249" i="56"/>
  <c r="T251" i="56"/>
  <c r="T252" i="56"/>
  <c r="T253" i="56"/>
  <c r="T255" i="56"/>
  <c r="T256" i="56"/>
  <c r="T257" i="56"/>
  <c r="T259" i="56"/>
  <c r="T260" i="56"/>
  <c r="T261" i="56"/>
  <c r="T263" i="56"/>
  <c r="T264" i="56"/>
  <c r="T265" i="56"/>
  <c r="T267" i="56"/>
  <c r="T268" i="56"/>
  <c r="T269" i="56"/>
  <c r="T271" i="56"/>
  <c r="T272" i="56"/>
  <c r="T273" i="56"/>
  <c r="T275" i="56"/>
  <c r="T276" i="56"/>
  <c r="T277" i="56"/>
  <c r="T278" i="56"/>
  <c r="T283" i="56"/>
  <c r="T291" i="56"/>
  <c r="T559" i="56"/>
  <c r="T560" i="56"/>
  <c r="T19" i="56"/>
  <c r="T561" i="56"/>
  <c r="T562" i="56"/>
  <c r="T563" i="56"/>
  <c r="T564" i="56"/>
  <c r="T565" i="56"/>
  <c r="T566" i="56"/>
  <c r="T567" i="56"/>
  <c r="T568" i="56"/>
  <c r="T569" i="56"/>
  <c r="T570" i="56"/>
  <c r="T571" i="56"/>
  <c r="T572" i="56"/>
  <c r="T573" i="56"/>
  <c r="T574" i="56"/>
  <c r="T575" i="56"/>
  <c r="T576" i="56"/>
  <c r="T577" i="56"/>
  <c r="T578" i="56"/>
  <c r="T579" i="56"/>
  <c r="T580" i="56"/>
  <c r="T581" i="56"/>
  <c r="T582" i="56"/>
  <c r="T583" i="56"/>
  <c r="T584" i="56"/>
  <c r="T585" i="56"/>
  <c r="T20" i="56"/>
  <c r="T21" i="56"/>
  <c r="T22" i="56"/>
  <c r="T586" i="56"/>
  <c r="T587" i="56"/>
  <c r="T588" i="56"/>
  <c r="T589" i="56"/>
  <c r="T590" i="56"/>
  <c r="T591" i="56"/>
  <c r="T592" i="56"/>
  <c r="T593" i="56"/>
  <c r="T594" i="56"/>
  <c r="T595" i="56"/>
  <c r="T596" i="56"/>
  <c r="T597" i="56"/>
  <c r="T598" i="56"/>
  <c r="T599" i="56"/>
  <c r="T600" i="56"/>
  <c r="T601" i="56"/>
  <c r="T602" i="56"/>
  <c r="T23" i="56"/>
  <c r="T603" i="56"/>
  <c r="T604" i="56"/>
  <c r="T605" i="56"/>
  <c r="T606" i="56"/>
  <c r="T607" i="56"/>
  <c r="T24" i="56"/>
  <c r="T608" i="56"/>
  <c r="T25" i="56"/>
  <c r="T609" i="56"/>
  <c r="T610" i="56"/>
  <c r="T615" i="56"/>
  <c r="T616" i="56"/>
  <c r="T619" i="56"/>
  <c r="T623" i="56"/>
  <c r="T626" i="56"/>
  <c r="T630" i="56"/>
  <c r="T632" i="56"/>
  <c r="T633" i="56"/>
  <c r="T657" i="56"/>
  <c r="T658" i="56"/>
  <c r="T664" i="56"/>
  <c r="T665" i="56"/>
  <c r="T666" i="56"/>
  <c r="T668" i="56"/>
  <c r="T672" i="56"/>
  <c r="T681" i="56"/>
  <c r="T684" i="56"/>
  <c r="T685" i="56"/>
  <c r="T688" i="56"/>
  <c r="T689" i="56"/>
  <c r="T709" i="56"/>
  <c r="T712" i="56"/>
  <c r="T713" i="56"/>
  <c r="T722" i="56"/>
  <c r="T723" i="56"/>
  <c r="T733" i="56"/>
  <c r="T735" i="56"/>
  <c r="T736" i="56"/>
  <c r="T739" i="56"/>
  <c r="T742" i="56"/>
  <c r="T749" i="56"/>
  <c r="T753" i="56"/>
  <c r="T754" i="56"/>
  <c r="T755" i="56"/>
  <c r="T756" i="56"/>
  <c r="T757" i="56"/>
  <c r="T758" i="56"/>
  <c r="T759" i="56"/>
  <c r="T760" i="56"/>
  <c r="T761" i="56"/>
  <c r="T762" i="56"/>
  <c r="T763" i="56"/>
  <c r="T764" i="56"/>
  <c r="T765" i="56"/>
  <c r="T766" i="56"/>
  <c r="T767" i="56"/>
  <c r="T768" i="56"/>
  <c r="T769" i="56"/>
  <c r="T770" i="56"/>
  <c r="T771" i="56"/>
  <c r="T772" i="56"/>
  <c r="T773" i="56"/>
  <c r="T774" i="56"/>
  <c r="T775" i="56"/>
  <c r="T776" i="56"/>
  <c r="T777" i="56"/>
  <c r="T778" i="56"/>
  <c r="T779" i="56"/>
  <c r="T36" i="56"/>
  <c r="T37" i="56"/>
  <c r="T38" i="56"/>
  <c r="T780" i="56"/>
  <c r="T781" i="56"/>
  <c r="T782" i="56"/>
  <c r="T783" i="56"/>
  <c r="T784" i="56"/>
  <c r="T785" i="56"/>
  <c r="T786" i="56"/>
  <c r="T787" i="56"/>
  <c r="T789" i="56"/>
  <c r="T790" i="56"/>
  <c r="T791" i="56"/>
  <c r="T792" i="56"/>
  <c r="T793" i="56"/>
  <c r="T794" i="56"/>
  <c r="T39" i="56"/>
  <c r="T795" i="56"/>
  <c r="T796" i="56"/>
  <c r="T797" i="56"/>
  <c r="T798" i="56"/>
  <c r="T799" i="56"/>
  <c r="T800" i="56"/>
  <c r="T801" i="56"/>
  <c r="T802" i="56"/>
  <c r="T803" i="56"/>
  <c r="T804" i="56"/>
  <c r="T805" i="56"/>
  <c r="T806" i="56"/>
  <c r="T807" i="56"/>
  <c r="T808" i="56"/>
  <c r="T40" i="56"/>
  <c r="T809" i="56"/>
  <c r="T41" i="56"/>
  <c r="T42" i="56"/>
  <c r="T43" i="56"/>
  <c r="T44" i="56"/>
  <c r="T45" i="56"/>
  <c r="T46" i="56"/>
  <c r="T47" i="56"/>
  <c r="T48" i="56"/>
  <c r="T49" i="56"/>
  <c r="T50" i="56"/>
  <c r="T51" i="56"/>
  <c r="T52" i="56"/>
  <c r="T810" i="56"/>
  <c r="T811" i="56"/>
  <c r="T812" i="56"/>
  <c r="T813" i="56"/>
  <c r="T814" i="56"/>
  <c r="T815" i="56"/>
  <c r="T816" i="56"/>
  <c r="T817" i="56"/>
  <c r="T818" i="56"/>
  <c r="T819" i="56"/>
  <c r="T820" i="56"/>
  <c r="T821" i="56"/>
  <c r="T822" i="56"/>
  <c r="T823" i="56"/>
  <c r="T824" i="56"/>
  <c r="T825" i="56"/>
  <c r="T826" i="56"/>
  <c r="T827" i="56"/>
  <c r="T828" i="56"/>
  <c r="T829" i="56"/>
  <c r="T830" i="56"/>
  <c r="T831" i="56"/>
  <c r="T832" i="56"/>
  <c r="T833" i="56"/>
  <c r="T834" i="56"/>
  <c r="T835" i="56"/>
  <c r="T836" i="56"/>
  <c r="T837" i="56"/>
  <c r="T838" i="56"/>
  <c r="T839" i="56"/>
  <c r="T840" i="56"/>
  <c r="T841" i="56"/>
  <c r="T842" i="56"/>
  <c r="T843" i="56"/>
  <c r="T844" i="56"/>
  <c r="T845" i="56"/>
  <c r="T846" i="56"/>
  <c r="T847" i="56"/>
  <c r="T848" i="56"/>
  <c r="T849" i="56"/>
  <c r="T850" i="56"/>
  <c r="T851" i="56"/>
  <c r="T852" i="56"/>
  <c r="T853" i="56"/>
  <c r="T854" i="56"/>
  <c r="T855" i="56"/>
  <c r="T856" i="56"/>
  <c r="T857" i="56"/>
  <c r="T858" i="56"/>
  <c r="T859" i="56"/>
  <c r="T860" i="56"/>
  <c r="T861" i="56"/>
  <c r="T862" i="56"/>
  <c r="T863" i="56"/>
  <c r="T864" i="56"/>
  <c r="T865" i="56"/>
  <c r="T866" i="56"/>
  <c r="T867" i="56"/>
  <c r="T868" i="56"/>
  <c r="T869" i="56"/>
  <c r="T870" i="56"/>
  <c r="T871" i="56"/>
  <c r="T872" i="56"/>
  <c r="T873" i="56"/>
  <c r="T874" i="56"/>
  <c r="T875" i="56"/>
  <c r="T876" i="56"/>
  <c r="T877" i="56"/>
  <c r="T878" i="56"/>
  <c r="T879" i="56"/>
  <c r="T880" i="56"/>
  <c r="T881" i="56"/>
  <c r="T882" i="56"/>
  <c r="T883" i="56"/>
  <c r="T884" i="56"/>
  <c r="T885" i="56"/>
  <c r="T886" i="56"/>
  <c r="T887" i="56"/>
  <c r="T888" i="56"/>
  <c r="T889" i="56"/>
  <c r="T890" i="56"/>
  <c r="T891" i="56"/>
  <c r="T892" i="56"/>
  <c r="T893" i="56"/>
  <c r="T894" i="56"/>
  <c r="T895" i="56"/>
  <c r="T896" i="56"/>
  <c r="T897" i="56"/>
  <c r="T898" i="56"/>
  <c r="T899" i="56"/>
  <c r="T900" i="56"/>
  <c r="T901" i="56"/>
  <c r="T902" i="56"/>
  <c r="T903" i="56"/>
  <c r="T904" i="56"/>
  <c r="T905" i="56"/>
  <c r="T906" i="56"/>
  <c r="T907" i="56"/>
  <c r="T908" i="56"/>
  <c r="T909" i="56"/>
  <c r="T910" i="56"/>
  <c r="T911" i="56"/>
  <c r="T912" i="56"/>
  <c r="T913" i="56"/>
  <c r="T914" i="56"/>
  <c r="T915" i="56"/>
  <c r="T916" i="56"/>
  <c r="T917" i="56"/>
  <c r="T918" i="56"/>
  <c r="T919" i="56"/>
  <c r="T920" i="56"/>
  <c r="T921" i="56"/>
  <c r="T922" i="56"/>
  <c r="T923" i="56"/>
  <c r="T924" i="56"/>
  <c r="T925" i="56"/>
  <c r="T926" i="56"/>
  <c r="T927" i="56"/>
  <c r="T928" i="56"/>
  <c r="T929" i="56"/>
  <c r="T930" i="56"/>
  <c r="T931" i="56"/>
  <c r="T932" i="56"/>
  <c r="T933" i="56"/>
  <c r="T934" i="56"/>
  <c r="T935" i="56"/>
  <c r="T936" i="56"/>
  <c r="T937" i="56"/>
  <c r="T938" i="56"/>
  <c r="T939" i="56"/>
  <c r="T940" i="56"/>
  <c r="T941" i="56"/>
  <c r="T942" i="56"/>
  <c r="T943" i="56"/>
  <c r="T944" i="56"/>
  <c r="T945" i="56"/>
  <c r="T946" i="56"/>
  <c r="T947" i="56"/>
  <c r="T948" i="56"/>
  <c r="T949" i="56"/>
  <c r="T950" i="56"/>
  <c r="T951" i="56"/>
  <c r="T952" i="56"/>
  <c r="T953" i="56"/>
  <c r="T954" i="56"/>
  <c r="T955" i="56"/>
  <c r="T956" i="56"/>
  <c r="T957" i="56"/>
  <c r="T958" i="56"/>
  <c r="T959" i="56"/>
  <c r="T960" i="56"/>
  <c r="T961" i="56"/>
  <c r="T962" i="56"/>
  <c r="T963" i="56"/>
  <c r="T964" i="56"/>
  <c r="T965" i="56"/>
  <c r="T966" i="56"/>
  <c r="T967" i="56"/>
  <c r="T968" i="56"/>
  <c r="T969" i="56"/>
  <c r="T970" i="56"/>
  <c r="T971" i="56"/>
  <c r="T972" i="56"/>
  <c r="T973" i="56"/>
  <c r="T974" i="56"/>
  <c r="T975" i="56"/>
  <c r="T976" i="56"/>
  <c r="T977" i="56"/>
  <c r="T978" i="56"/>
  <c r="T979" i="56"/>
  <c r="T980" i="56"/>
  <c r="T981" i="56"/>
  <c r="T982" i="56"/>
  <c r="T983" i="56"/>
  <c r="T984" i="56"/>
  <c r="T985" i="56"/>
  <c r="T986" i="56"/>
  <c r="T987" i="56"/>
  <c r="T988" i="56"/>
  <c r="T989" i="56"/>
  <c r="T990" i="56"/>
  <c r="T991" i="56"/>
  <c r="T992" i="56"/>
  <c r="T993" i="56"/>
  <c r="T994" i="56"/>
  <c r="T995" i="56"/>
  <c r="T996" i="56"/>
  <c r="T997" i="56"/>
  <c r="T998" i="56"/>
  <c r="T999" i="56"/>
  <c r="T1000" i="56"/>
  <c r="T1001" i="56"/>
  <c r="T1002" i="56"/>
  <c r="T1003" i="56"/>
  <c r="T1004" i="56"/>
  <c r="T1005" i="56"/>
  <c r="T1006" i="56"/>
  <c r="T1007" i="56"/>
  <c r="T1008" i="56"/>
  <c r="T1009" i="56"/>
  <c r="T1010" i="56"/>
  <c r="T1011" i="56"/>
  <c r="T1012" i="56"/>
  <c r="T1013" i="56"/>
  <c r="T1014" i="56"/>
  <c r="T1015" i="56"/>
  <c r="T1016" i="56"/>
  <c r="T1017" i="56"/>
  <c r="T1018" i="56"/>
  <c r="T1019" i="56"/>
  <c r="T1020" i="56"/>
  <c r="T1021" i="56"/>
  <c r="T1022" i="56"/>
  <c r="T1023" i="56"/>
  <c r="T1024" i="56"/>
  <c r="T1025" i="56"/>
  <c r="T1026" i="56"/>
  <c r="T1027" i="56"/>
  <c r="T1028" i="56"/>
  <c r="T1029" i="56"/>
  <c r="T1030" i="56"/>
  <c r="T1031" i="56"/>
  <c r="T1032" i="56"/>
  <c r="T1033" i="56"/>
  <c r="T1034" i="56"/>
  <c r="T1035" i="56"/>
  <c r="T1036" i="56"/>
  <c r="T1037" i="56"/>
  <c r="T1038" i="56"/>
  <c r="T1039" i="56"/>
  <c r="T1040" i="56"/>
  <c r="T1041" i="56"/>
  <c r="T1042" i="56"/>
  <c r="T1043" i="56"/>
  <c r="T1044" i="56"/>
  <c r="T1045" i="56"/>
  <c r="T1046" i="56"/>
  <c r="T1047" i="56"/>
  <c r="T1048" i="56"/>
  <c r="T1049" i="56"/>
  <c r="T1050" i="56"/>
  <c r="T1051" i="56"/>
  <c r="T1052" i="56"/>
  <c r="T1053" i="56"/>
  <c r="T1054" i="56"/>
  <c r="T1055" i="56"/>
  <c r="T1056" i="56"/>
  <c r="T1057" i="56"/>
  <c r="T1058" i="56"/>
  <c r="T1059" i="56"/>
  <c r="T1060" i="56"/>
  <c r="T1061" i="56"/>
  <c r="T1062" i="56"/>
  <c r="T1063" i="56"/>
  <c r="T1064" i="56"/>
  <c r="T1065" i="56"/>
  <c r="T1066" i="56"/>
  <c r="T1067" i="56"/>
  <c r="T1068" i="56"/>
  <c r="T1069" i="56"/>
  <c r="T1070" i="56"/>
  <c r="T1071" i="56"/>
  <c r="T1072" i="56"/>
  <c r="T1073" i="56"/>
  <c r="T1074" i="56"/>
  <c r="T1075" i="56"/>
  <c r="T1076" i="56"/>
  <c r="T1077" i="56"/>
  <c r="T1078" i="56"/>
  <c r="T1079" i="56"/>
  <c r="T1080" i="56"/>
  <c r="T1081" i="56"/>
  <c r="T1082" i="56"/>
  <c r="T1083" i="56"/>
  <c r="T1084" i="56"/>
  <c r="T1085" i="56"/>
  <c r="T1086" i="56"/>
  <c r="T1087" i="56"/>
  <c r="T1088" i="56"/>
  <c r="T1089" i="56"/>
  <c r="T1090" i="56"/>
  <c r="T1091" i="56"/>
  <c r="T1092" i="56"/>
  <c r="T1093" i="56"/>
  <c r="T1094" i="56"/>
  <c r="T1095" i="56"/>
  <c r="T1096" i="56"/>
  <c r="T1097" i="56"/>
  <c r="T1098" i="56"/>
  <c r="T1099" i="56"/>
  <c r="T1100" i="56"/>
  <c r="T1101" i="56"/>
  <c r="T1102" i="56"/>
  <c r="T1103" i="56"/>
  <c r="T1104" i="56"/>
  <c r="T1105" i="56"/>
  <c r="T1106" i="56"/>
  <c r="T1107" i="56"/>
  <c r="T1108" i="56"/>
  <c r="T1109" i="56"/>
  <c r="T1110" i="56"/>
  <c r="T1111" i="56"/>
  <c r="T1112" i="56"/>
  <c r="T1113" i="56"/>
  <c r="T1114" i="56"/>
  <c r="T1115" i="56"/>
  <c r="T1116" i="56"/>
  <c r="T1117" i="56"/>
  <c r="T1118" i="56"/>
  <c r="T1119" i="56"/>
  <c r="T1120" i="56"/>
  <c r="T1121" i="56"/>
  <c r="T293" i="56" l="1"/>
  <c r="M146" i="56" l="1"/>
  <c r="M265" i="56" l="1"/>
  <c r="M747" i="56" l="1"/>
  <c r="M746" i="56"/>
  <c r="M745" i="56"/>
  <c r="M415" i="56"/>
  <c r="M475" i="56"/>
  <c r="M494" i="56"/>
  <c r="M339" i="56" l="1"/>
  <c r="M206" i="56"/>
  <c r="M192" i="56"/>
  <c r="M208" i="56"/>
  <c r="M191" i="56"/>
  <c r="M345" i="56"/>
  <c r="M348" i="56"/>
  <c r="M267" i="56" l="1"/>
  <c r="M72" i="56" l="1"/>
  <c r="M76" i="56"/>
  <c r="M78" i="56"/>
  <c r="M79" i="56"/>
  <c r="M80" i="56"/>
  <c r="M82" i="56"/>
  <c r="M83" i="56"/>
  <c r="M86" i="56"/>
  <c r="M87" i="56"/>
  <c r="M203" i="56"/>
  <c r="M238" i="56"/>
  <c r="M246" i="56"/>
  <c r="M266" i="56"/>
  <c r="M269" i="56"/>
  <c r="M271" i="56"/>
  <c r="M273" i="56"/>
  <c r="M276" i="56"/>
  <c r="M278" i="56"/>
  <c r="M280" i="56"/>
  <c r="M321" i="56"/>
  <c r="M322" i="56"/>
  <c r="M323" i="56"/>
  <c r="M326" i="56"/>
  <c r="M327" i="56"/>
  <c r="M336" i="56"/>
  <c r="M337" i="56"/>
  <c r="M338" i="56"/>
  <c r="M349" i="56"/>
  <c r="M352" i="56"/>
  <c r="M354" i="56"/>
  <c r="M355" i="56"/>
  <c r="M357" i="56"/>
  <c r="M361" i="56"/>
  <c r="M372" i="56"/>
  <c r="M378" i="56"/>
  <c r="M379" i="56"/>
  <c r="M380" i="56"/>
  <c r="M381" i="56"/>
  <c r="M382" i="56"/>
  <c r="M383" i="56"/>
  <c r="M384" i="56"/>
  <c r="M386" i="56"/>
  <c r="M387" i="56"/>
  <c r="M388" i="56"/>
  <c r="M389" i="56"/>
  <c r="M390" i="56"/>
  <c r="M396" i="56"/>
  <c r="M397" i="56"/>
  <c r="M398" i="56"/>
  <c r="M399" i="56"/>
  <c r="M413" i="56"/>
  <c r="M417" i="56"/>
  <c r="M421" i="56"/>
  <c r="M434" i="56"/>
  <c r="M439" i="56"/>
  <c r="M440" i="56"/>
  <c r="M443" i="56"/>
  <c r="M445" i="56"/>
  <c r="M468" i="56"/>
  <c r="M469" i="56"/>
  <c r="M480" i="56"/>
  <c r="M482" i="56"/>
  <c r="M485" i="56"/>
  <c r="M501" i="56"/>
  <c r="M502" i="56"/>
  <c r="M503" i="56"/>
  <c r="M511" i="56"/>
  <c r="M516" i="56"/>
  <c r="M519" i="56"/>
  <c r="M520" i="56"/>
  <c r="M521" i="56"/>
  <c r="M522" i="56"/>
  <c r="M523" i="56"/>
  <c r="M524" i="56"/>
  <c r="M525" i="56"/>
  <c r="M526" i="56"/>
  <c r="M527" i="56"/>
  <c r="M528" i="56"/>
  <c r="M529" i="56"/>
  <c r="M530" i="56"/>
  <c r="M531" i="56"/>
  <c r="M532" i="56"/>
  <c r="M533" i="56"/>
  <c r="M534" i="56"/>
  <c r="M535" i="56"/>
  <c r="M536" i="56"/>
  <c r="M537" i="56"/>
  <c r="M538" i="56"/>
  <c r="M539" i="56"/>
  <c r="M540" i="56"/>
  <c r="M541" i="56"/>
  <c r="M542" i="56"/>
  <c r="M543" i="56"/>
  <c r="M545" i="56"/>
  <c r="M546" i="56"/>
  <c r="M547" i="56"/>
  <c r="M548" i="56"/>
  <c r="M549" i="56"/>
  <c r="M550" i="56"/>
  <c r="M551" i="56"/>
  <c r="M552" i="56"/>
  <c r="M553" i="56"/>
  <c r="M555" i="56"/>
  <c r="M556" i="56"/>
  <c r="M557" i="56"/>
  <c r="M558" i="56"/>
  <c r="M564" i="56"/>
  <c r="M565" i="56"/>
  <c r="M577" i="56"/>
  <c r="M578" i="56"/>
  <c r="M579" i="56"/>
  <c r="M580" i="56"/>
  <c r="M581" i="56"/>
  <c r="M582" i="56"/>
  <c r="M586" i="56"/>
  <c r="M587" i="56"/>
  <c r="M588" i="56"/>
  <c r="M589" i="56"/>
  <c r="M597" i="56"/>
  <c r="M601" i="56"/>
  <c r="M602" i="56"/>
  <c r="M618" i="56"/>
  <c r="M26" i="56"/>
  <c r="M27" i="56"/>
  <c r="M624" i="56"/>
  <c r="M625" i="56"/>
  <c r="M627" i="56"/>
  <c r="M628" i="56"/>
  <c r="M631" i="56"/>
  <c r="M640" i="56"/>
  <c r="M641" i="56"/>
  <c r="M642" i="56"/>
  <c r="M643" i="56"/>
  <c r="M644" i="56"/>
  <c r="M645" i="56"/>
  <c r="M646" i="56"/>
  <c r="M647" i="56"/>
  <c r="M648" i="56"/>
  <c r="M649" i="56"/>
  <c r="M650" i="56"/>
  <c r="M651" i="56"/>
  <c r="M652" i="56"/>
  <c r="M653" i="56"/>
  <c r="M654" i="56"/>
  <c r="M655" i="56"/>
  <c r="M657" i="56"/>
  <c r="M665" i="56"/>
  <c r="M667" i="56"/>
  <c r="M674" i="56"/>
  <c r="M681" i="56"/>
  <c r="M682" i="56"/>
  <c r="M687" i="56"/>
  <c r="M724" i="56"/>
  <c r="X6" i="56" l="1"/>
  <c r="M620" i="51" l="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s="1"/>
  <c r="M220" i="51"/>
  <c r="Q220" i="51" s="1"/>
  <c r="M182" i="51"/>
  <c r="M42" i="51"/>
  <c r="M24" i="51"/>
  <c r="M7" i="51"/>
  <c r="M5" i="51" l="1"/>
  <c r="T619" i="49"/>
  <c r="M615" i="49" l="1"/>
  <c r="M611" i="49"/>
  <c r="M603" i="49"/>
  <c r="M543" i="49"/>
  <c r="M535" i="49"/>
  <c r="M512" i="49"/>
  <c r="M506" i="49"/>
  <c r="M399" i="49"/>
  <c r="M358" i="49"/>
  <c r="M352" i="49"/>
  <c r="M332" i="49"/>
  <c r="M243" i="49"/>
  <c r="M237" i="49"/>
  <c r="M226" i="49"/>
  <c r="M220" i="49"/>
  <c r="M182" i="49"/>
  <c r="M24" i="49"/>
  <c r="M7" i="49"/>
  <c r="M619" i="49" l="1"/>
  <c r="M5" i="49"/>
  <c r="E13" i="44"/>
  <c r="I6" i="42" l="1"/>
  <c r="I5" i="40"/>
  <c r="F13" i="42"/>
  <c r="I13" i="42" s="1"/>
  <c r="I12" i="42"/>
  <c r="I11" i="42"/>
  <c r="I10" i="42"/>
  <c r="I9" i="42"/>
  <c r="I8" i="42"/>
  <c r="I7" i="42"/>
  <c r="I5" i="42"/>
  <c r="F6" i="40"/>
  <c r="I6" i="40" s="1"/>
  <c r="I5" i="38"/>
  <c r="I6" i="38"/>
  <c r="G7" i="38"/>
  <c r="F7" i="38"/>
  <c r="Z84" i="32"/>
  <c r="X43" i="32"/>
  <c r="X45" i="32"/>
  <c r="Y45" i="32" s="1"/>
  <c r="W37" i="32"/>
  <c r="AA37" i="32" s="1"/>
  <c r="W36" i="32"/>
  <c r="Y36" i="32" s="1"/>
  <c r="W35" i="32"/>
  <c r="AA35" i="32" s="1"/>
  <c r="W34" i="32"/>
  <c r="AB33" i="32"/>
  <c r="V95" i="32"/>
  <c r="W95" i="32" s="1"/>
  <c r="V25" i="32"/>
  <c r="W25" i="32" s="1"/>
  <c r="AA25" i="32" s="1"/>
  <c r="W30" i="32"/>
  <c r="C740" i="34"/>
  <c r="AB8" i="32"/>
  <c r="AB6" i="32"/>
  <c r="AB13" i="32"/>
  <c r="AB39" i="32"/>
  <c r="AB41" i="32"/>
  <c r="Z41" i="32"/>
  <c r="AA41" i="32" s="1"/>
  <c r="AB26" i="32"/>
  <c r="AB57" i="32"/>
  <c r="AB55" i="32"/>
  <c r="AB56" i="32"/>
  <c r="AB84" i="32"/>
  <c r="AB75" i="32"/>
  <c r="AB79" i="32"/>
  <c r="AB73" i="32"/>
  <c r="AB37" i="32"/>
  <c r="AB32" i="32"/>
  <c r="Z80" i="32"/>
  <c r="AA80" i="32" s="1"/>
  <c r="AB54" i="32"/>
  <c r="Z54" i="32"/>
  <c r="AA54" i="32" s="1"/>
  <c r="AB67" i="32"/>
  <c r="AB85" i="32"/>
  <c r="AB59" i="32"/>
  <c r="AA101" i="32"/>
  <c r="Y101" i="32"/>
  <c r="AA100" i="32"/>
  <c r="Y100" i="32"/>
  <c r="AA99" i="32"/>
  <c r="Y99" i="32"/>
  <c r="Z98" i="32"/>
  <c r="AA98" i="32" s="1"/>
  <c r="X98" i="32"/>
  <c r="Y98" i="32" s="1"/>
  <c r="AA97" i="32"/>
  <c r="Y97" i="32"/>
  <c r="AA96" i="32"/>
  <c r="Y96" i="32"/>
  <c r="T95" i="32"/>
  <c r="W94" i="32"/>
  <c r="AA94" i="32" s="1"/>
  <c r="AA93" i="32"/>
  <c r="Y93" i="32"/>
  <c r="AA92" i="32"/>
  <c r="Y92" i="32"/>
  <c r="AA91" i="32"/>
  <c r="Y91" i="32"/>
  <c r="AA90" i="32"/>
  <c r="Y90" i="32"/>
  <c r="AA89" i="32"/>
  <c r="Y89" i="32"/>
  <c r="AA88" i="32"/>
  <c r="Y88" i="32"/>
  <c r="W87" i="32"/>
  <c r="Z86" i="32"/>
  <c r="AA86" i="32" s="1"/>
  <c r="Y86" i="32"/>
  <c r="Z85" i="32"/>
  <c r="AA85" i="32" s="1"/>
  <c r="Y85" i="32"/>
  <c r="V84" i="32"/>
  <c r="W84" i="32" s="1"/>
  <c r="Y84" i="32" s="1"/>
  <c r="AA83" i="32"/>
  <c r="Y83" i="32"/>
  <c r="W82" i="32"/>
  <c r="Y82" i="32" s="1"/>
  <c r="AA81" i="32"/>
  <c r="Y81" i="32"/>
  <c r="Y80" i="32"/>
  <c r="W79" i="32"/>
  <c r="W78" i="32"/>
  <c r="W77" i="32"/>
  <c r="Y77" i="32" s="1"/>
  <c r="AB76" i="32"/>
  <c r="Z76" i="32"/>
  <c r="AA76" i="32" s="1"/>
  <c r="Y76" i="32"/>
  <c r="Z75" i="32"/>
  <c r="W75" i="32"/>
  <c r="Y75" i="32" s="1"/>
  <c r="AA74" i="32"/>
  <c r="Y74" i="32"/>
  <c r="AA73" i="32"/>
  <c r="X73" i="32"/>
  <c r="Y73" i="32" s="1"/>
  <c r="W72" i="32"/>
  <c r="W71" i="32"/>
  <c r="Y71" i="32" s="1"/>
  <c r="AA70" i="32"/>
  <c r="Y70" i="32"/>
  <c r="AA69" i="32"/>
  <c r="Y69" i="32"/>
  <c r="X68" i="32"/>
  <c r="V68" i="32"/>
  <c r="AA67" i="32"/>
  <c r="Y67" i="32"/>
  <c r="AA66" i="32"/>
  <c r="X66" i="32"/>
  <c r="Y66" i="32" s="1"/>
  <c r="X65" i="32"/>
  <c r="V65" i="32"/>
  <c r="W65" i="32" s="1"/>
  <c r="AA64" i="32"/>
  <c r="X64" i="32"/>
  <c r="Y64" i="32" s="1"/>
  <c r="W63" i="32"/>
  <c r="AA62" i="32"/>
  <c r="Y62" i="32"/>
  <c r="AA61" i="32"/>
  <c r="Y61" i="32"/>
  <c r="AA60" i="32"/>
  <c r="Y60" i="32"/>
  <c r="Z59" i="32"/>
  <c r="AA59" i="32" s="1"/>
  <c r="Y59" i="32"/>
  <c r="Z58" i="32"/>
  <c r="AA58" i="32" s="1"/>
  <c r="Y58" i="32"/>
  <c r="AA57" i="32"/>
  <c r="Y57" i="32"/>
  <c r="Z56" i="32"/>
  <c r="X56" i="32"/>
  <c r="W56" i="32"/>
  <c r="Y56" i="32" s="1"/>
  <c r="AA55" i="32"/>
  <c r="Y55" i="32"/>
  <c r="Y54" i="32"/>
  <c r="AB53" i="32"/>
  <c r="AA53" i="32"/>
  <c r="W52" i="32"/>
  <c r="Y52" i="32" s="1"/>
  <c r="T52" i="32"/>
  <c r="V51" i="32"/>
  <c r="W51" i="32" s="1"/>
  <c r="W50" i="32"/>
  <c r="W49" i="32"/>
  <c r="Y49" i="32" s="1"/>
  <c r="V48" i="32"/>
  <c r="W48" i="32" s="1"/>
  <c r="AA47" i="32"/>
  <c r="Y47" i="32"/>
  <c r="AA46" i="32"/>
  <c r="Y46" i="32"/>
  <c r="AA45" i="32"/>
  <c r="W44" i="32"/>
  <c r="Y44" i="32" s="1"/>
  <c r="V43" i="32"/>
  <c r="W43" i="32" s="1"/>
  <c r="AA42" i="32"/>
  <c r="Y42" i="32"/>
  <c r="Y41" i="32"/>
  <c r="T40" i="32"/>
  <c r="U40" i="32" s="1"/>
  <c r="W40" i="32" s="1"/>
  <c r="AA40" i="32" s="1"/>
  <c r="Z39" i="32"/>
  <c r="AA39" i="32" s="1"/>
  <c r="Y39" i="32"/>
  <c r="V38" i="32"/>
  <c r="W38" i="32" s="1"/>
  <c r="AA33" i="32"/>
  <c r="Y33" i="32"/>
  <c r="AA32" i="32"/>
  <c r="Y32" i="32"/>
  <c r="AA31" i="32"/>
  <c r="Y31" i="32"/>
  <c r="X30" i="32"/>
  <c r="V29" i="32"/>
  <c r="W29" i="32" s="1"/>
  <c r="Y29" i="32" s="1"/>
  <c r="AA28" i="32"/>
  <c r="Y28" i="32"/>
  <c r="AA27" i="32"/>
  <c r="Y27" i="32"/>
  <c r="AA26" i="32"/>
  <c r="Y26" i="32"/>
  <c r="W24" i="32"/>
  <c r="U23" i="32"/>
  <c r="W23" i="32" s="1"/>
  <c r="AA23" i="32" s="1"/>
  <c r="W22" i="32"/>
  <c r="Y22" i="32" s="1"/>
  <c r="AA21" i="32"/>
  <c r="Y21" i="32"/>
  <c r="AA20" i="32"/>
  <c r="Y20" i="32"/>
  <c r="AA19" i="32"/>
  <c r="Y19" i="32"/>
  <c r="AA18" i="32"/>
  <c r="Y18" i="32"/>
  <c r="AA17" i="32"/>
  <c r="Y17" i="32"/>
  <c r="W16" i="32"/>
  <c r="W15" i="32"/>
  <c r="W14" i="32"/>
  <c r="U13" i="32"/>
  <c r="W13" i="32" s="1"/>
  <c r="AA12" i="32"/>
  <c r="Y12" i="32"/>
  <c r="AA11" i="32"/>
  <c r="Y11" i="32"/>
  <c r="U11" i="32"/>
  <c r="Z10" i="32"/>
  <c r="AA10" i="32" s="1"/>
  <c r="X10" i="32"/>
  <c r="Y10" i="32" s="1"/>
  <c r="W9" i="32"/>
  <c r="Y9" i="32" s="1"/>
  <c r="U8" i="32"/>
  <c r="AA7" i="32"/>
  <c r="X7" i="32"/>
  <c r="Y7" i="32" s="1"/>
  <c r="W6" i="32"/>
  <c r="Y6" i="32" s="1"/>
  <c r="Y1" i="32"/>
  <c r="Z26" i="19"/>
  <c r="AA26" i="19" s="1"/>
  <c r="V38" i="19"/>
  <c r="W38" i="19" s="1"/>
  <c r="AA38" i="19" s="1"/>
  <c r="V29" i="19"/>
  <c r="W29" i="19" s="1"/>
  <c r="W30" i="19"/>
  <c r="Z86" i="19"/>
  <c r="W25" i="19"/>
  <c r="Y25" i="19" s="1"/>
  <c r="W22" i="19"/>
  <c r="AA22" i="19" s="1"/>
  <c r="Z8" i="19"/>
  <c r="X15" i="19"/>
  <c r="X8" i="19"/>
  <c r="Y25" i="32"/>
  <c r="X7" i="19"/>
  <c r="Y7" i="19" s="1"/>
  <c r="W16" i="19"/>
  <c r="W15" i="19"/>
  <c r="AA15" i="19" s="1"/>
  <c r="Y17" i="19"/>
  <c r="W14" i="19"/>
  <c r="W6" i="19"/>
  <c r="AA6" i="19" s="1"/>
  <c r="Z98" i="19"/>
  <c r="Z56" i="19"/>
  <c r="Z67" i="19"/>
  <c r="AA67" i="19" s="1"/>
  <c r="X67" i="19"/>
  <c r="Y67" i="19" s="1"/>
  <c r="X68" i="19"/>
  <c r="X66" i="19"/>
  <c r="Y66" i="19" s="1"/>
  <c r="X64" i="19"/>
  <c r="Y64" i="19" s="1"/>
  <c r="X71" i="19"/>
  <c r="W78" i="19"/>
  <c r="W77" i="19"/>
  <c r="Y77" i="19" s="1"/>
  <c r="W82" i="19"/>
  <c r="Y82" i="19" s="1"/>
  <c r="W72" i="19"/>
  <c r="W105" i="19"/>
  <c r="V68" i="19"/>
  <c r="W68" i="19" s="1"/>
  <c r="V65" i="19"/>
  <c r="W65" i="19" s="1"/>
  <c r="AA65" i="19" s="1"/>
  <c r="V43" i="19"/>
  <c r="W43" i="19" s="1"/>
  <c r="Y43" i="19" s="1"/>
  <c r="V48" i="19"/>
  <c r="W48" i="19" s="1"/>
  <c r="Z54" i="19"/>
  <c r="AA54" i="19" s="1"/>
  <c r="AB56" i="19"/>
  <c r="AB59" i="19"/>
  <c r="AB58" i="19"/>
  <c r="AB55" i="19"/>
  <c r="AB53" i="19"/>
  <c r="AB49" i="19"/>
  <c r="AB54" i="19"/>
  <c r="AB67" i="19"/>
  <c r="AB57" i="19"/>
  <c r="AB84" i="19"/>
  <c r="AB85" i="19"/>
  <c r="AB75" i="19"/>
  <c r="AB79" i="19"/>
  <c r="AB71" i="19"/>
  <c r="X73" i="19"/>
  <c r="Y73" i="19" s="1"/>
  <c r="W24" i="19"/>
  <c r="W9" i="19"/>
  <c r="Y9" i="19" s="1"/>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s="1"/>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s="1"/>
  <c r="AG554" i="27"/>
  <c r="AG553" i="27"/>
  <c r="AG552" i="27"/>
  <c r="AG551" i="27"/>
  <c r="AG550" i="27"/>
  <c r="AG549" i="27"/>
  <c r="AG548" i="27"/>
  <c r="U547" i="27"/>
  <c r="AG547" i="27" s="1"/>
  <c r="V546" i="27"/>
  <c r="U546" i="27"/>
  <c r="AG546" i="27" s="1"/>
  <c r="U545" i="27"/>
  <c r="AG545" i="27" s="1"/>
  <c r="U544" i="27"/>
  <c r="AG544" i="27" s="1"/>
  <c r="U543" i="27"/>
  <c r="AG543" i="27" s="1"/>
  <c r="U542" i="27"/>
  <c r="AG542" i="27" s="1"/>
  <c r="AG541" i="27"/>
  <c r="U540" i="27"/>
  <c r="AG540" i="27" s="1"/>
  <c r="U539" i="27"/>
  <c r="AG539" i="27" s="1"/>
  <c r="AG538" i="27"/>
  <c r="AG537" i="27"/>
  <c r="AG536" i="27"/>
  <c r="U535" i="27"/>
  <c r="AG535" i="27" s="1"/>
  <c r="AG534" i="27"/>
  <c r="AG533" i="27"/>
  <c r="AG532" i="27"/>
  <c r="AG531" i="27"/>
  <c r="AG530" i="27"/>
  <c r="U529" i="27"/>
  <c r="AG529" i="27" s="1"/>
  <c r="AG528" i="27"/>
  <c r="V527" i="27"/>
  <c r="U527" i="27"/>
  <c r="AG527" i="27" s="1"/>
  <c r="AG526" i="27"/>
  <c r="AG525" i="27"/>
  <c r="AG524" i="27"/>
  <c r="AG523" i="27"/>
  <c r="AG522" i="27"/>
  <c r="AG521" i="27"/>
  <c r="AG520" i="27"/>
  <c r="AG519" i="27"/>
  <c r="AG518" i="27"/>
  <c r="U517" i="27"/>
  <c r="AG517" i="27" s="1"/>
  <c r="AG516" i="27"/>
  <c r="AG515" i="27"/>
  <c r="U514" i="27"/>
  <c r="AG514" i="27" s="1"/>
  <c r="AG513" i="27"/>
  <c r="U512" i="27"/>
  <c r="AG512" i="27" s="1"/>
  <c r="AG511" i="27"/>
  <c r="AG510" i="27"/>
  <c r="AG509" i="27"/>
  <c r="U508" i="27"/>
  <c r="AG508" i="27" s="1"/>
  <c r="AG507" i="27"/>
  <c r="AG506" i="27"/>
  <c r="AG505" i="27"/>
  <c r="AG504" i="27"/>
  <c r="AG503" i="27"/>
  <c r="AG502" i="27"/>
  <c r="AG501" i="27"/>
  <c r="U500" i="27"/>
  <c r="AG500" i="27" s="1"/>
  <c r="AG499" i="27"/>
  <c r="U498" i="27"/>
  <c r="AG498" i="27" s="1"/>
  <c r="U497" i="27"/>
  <c r="AG497" i="27" s="1"/>
  <c r="U496" i="27"/>
  <c r="AG496" i="27" s="1"/>
  <c r="AG495" i="27"/>
  <c r="AG494" i="27"/>
  <c r="U493" i="27"/>
  <c r="AG493" i="27" s="1"/>
  <c r="U492" i="27"/>
  <c r="AG492" i="27" s="1"/>
  <c r="V491" i="27"/>
  <c r="U491" i="27"/>
  <c r="AG491" i="27" s="1"/>
  <c r="U490" i="27"/>
  <c r="AG490" i="27" s="1"/>
  <c r="U489" i="27"/>
  <c r="AG489" i="27" s="1"/>
  <c r="U488" i="27"/>
  <c r="AG488" i="27" s="1"/>
  <c r="AG487" i="27"/>
  <c r="AG486" i="27"/>
  <c r="AG485" i="27"/>
  <c r="AG484" i="27"/>
  <c r="AG483" i="27"/>
  <c r="AG482" i="27"/>
  <c r="AG481" i="27"/>
  <c r="AG480" i="27"/>
  <c r="AG479" i="27"/>
  <c r="AG478" i="27"/>
  <c r="AG477" i="27"/>
  <c r="AG476" i="27"/>
  <c r="AG475" i="27"/>
  <c r="AG474" i="27"/>
  <c r="U473" i="27"/>
  <c r="AG473" i="27" s="1"/>
  <c r="AG472" i="27"/>
  <c r="AG471" i="27"/>
  <c r="U470" i="27"/>
  <c r="AG470" i="27" s="1"/>
  <c r="U469" i="27"/>
  <c r="AG469" i="27" s="1"/>
  <c r="AG468" i="27"/>
  <c r="AG467" i="27"/>
  <c r="AG466" i="27"/>
  <c r="AG465" i="27"/>
  <c r="AG464" i="27"/>
  <c r="AG463" i="27"/>
  <c r="AG462" i="27"/>
  <c r="AG461" i="27"/>
  <c r="U460" i="27"/>
  <c r="AG460" i="27" s="1"/>
  <c r="AG459" i="27"/>
  <c r="AG458" i="27"/>
  <c r="AG457" i="27"/>
  <c r="AG456" i="27"/>
  <c r="AG455" i="27"/>
  <c r="U454" i="27"/>
  <c r="AG454" i="27" s="1"/>
  <c r="AG453" i="27"/>
  <c r="U452" i="27"/>
  <c r="AG452" i="27" s="1"/>
  <c r="AG451" i="27"/>
  <c r="AG450" i="27"/>
  <c r="AG449" i="27"/>
  <c r="AG448" i="27"/>
  <c r="AG447" i="27"/>
  <c r="AG446" i="27"/>
  <c r="AG445" i="27"/>
  <c r="V444" i="27"/>
  <c r="U444" i="27"/>
  <c r="AG444" i="27" s="1"/>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s="1"/>
  <c r="AG408" i="27"/>
  <c r="AG407" i="27"/>
  <c r="AG406" i="27"/>
  <c r="AG405" i="27"/>
  <c r="AG404" i="27"/>
  <c r="AG403" i="27"/>
  <c r="AG402" i="27"/>
  <c r="AG401" i="27"/>
  <c r="U400" i="27"/>
  <c r="AG400" i="27" s="1"/>
  <c r="AG399" i="27"/>
  <c r="AG398" i="27"/>
  <c r="AG397" i="27"/>
  <c r="AG396" i="27"/>
  <c r="AG395" i="27"/>
  <c r="AG394" i="27"/>
  <c r="AG393" i="27"/>
  <c r="AG392" i="27"/>
  <c r="AG391" i="27"/>
  <c r="AG390" i="27"/>
  <c r="AG389" i="27"/>
  <c r="AG388" i="27"/>
  <c r="AG387" i="27"/>
  <c r="AG386" i="27"/>
  <c r="U385" i="27"/>
  <c r="AG385" i="27" s="1"/>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s="1"/>
  <c r="AG360" i="27"/>
  <c r="AG359" i="27"/>
  <c r="AG358" i="27"/>
  <c r="AG357" i="27"/>
  <c r="U356" i="27"/>
  <c r="AG356" i="27" s="1"/>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s="1"/>
  <c r="AG297" i="27"/>
  <c r="AG296" i="27"/>
  <c r="AG295" i="27"/>
  <c r="AG294" i="27"/>
  <c r="U293" i="27"/>
  <c r="AG293" i="27" s="1"/>
  <c r="AG292" i="27"/>
  <c r="U291" i="27"/>
  <c r="AG291" i="27" s="1"/>
  <c r="U290" i="27"/>
  <c r="AG290" i="27" s="1"/>
  <c r="U289" i="27"/>
  <c r="AG289" i="27" s="1"/>
  <c r="U288" i="27"/>
  <c r="AG288" i="27" s="1"/>
  <c r="AG287" i="27"/>
  <c r="AG286" i="27"/>
  <c r="AG285" i="27"/>
  <c r="AG284" i="27"/>
  <c r="AG283" i="27"/>
  <c r="U282" i="27"/>
  <c r="AG282" i="27" s="1"/>
  <c r="AG281" i="27"/>
  <c r="AG279" i="27"/>
  <c r="AG278" i="27"/>
  <c r="AG277" i="27"/>
  <c r="AG276" i="27"/>
  <c r="AG274" i="27"/>
  <c r="U273" i="27"/>
  <c r="AG273" i="27" s="1"/>
  <c r="AG272" i="27"/>
  <c r="AG271" i="27"/>
  <c r="AG269" i="27"/>
  <c r="U267" i="27"/>
  <c r="AG267" i="27" s="1"/>
  <c r="AG266" i="27"/>
  <c r="U265" i="27"/>
  <c r="AG265" i="27" s="1"/>
  <c r="U264" i="27"/>
  <c r="AG264" i="27" s="1"/>
  <c r="U263" i="27"/>
  <c r="AG263" i="27" s="1"/>
  <c r="U261" i="27"/>
  <c r="AG261" i="27" s="1"/>
  <c r="AG260" i="27"/>
  <c r="AG259" i="27"/>
  <c r="U258" i="27"/>
  <c r="AG258" i="27" s="1"/>
  <c r="U257" i="27"/>
  <c r="AG257" i="27" s="1"/>
  <c r="U256" i="27"/>
  <c r="AG256" i="27" s="1"/>
  <c r="AG255" i="27"/>
  <c r="AG253" i="27"/>
  <c r="AG252" i="27"/>
  <c r="AG251" i="27"/>
  <c r="U250" i="27"/>
  <c r="AG250" i="27" s="1"/>
  <c r="AG249" i="27"/>
  <c r="AG248" i="27"/>
  <c r="AG247" i="27"/>
  <c r="U246" i="27"/>
  <c r="AG246" i="27" s="1"/>
  <c r="U245" i="27"/>
  <c r="AG245" i="27" s="1"/>
  <c r="U244" i="27"/>
  <c r="AG244" i="27" s="1"/>
  <c r="AG243" i="27"/>
  <c r="U242" i="27"/>
  <c r="AG242" i="27" s="1"/>
  <c r="U241" i="27"/>
  <c r="AG241" i="27" s="1"/>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s="1"/>
  <c r="AG219" i="27"/>
  <c r="U218" i="27"/>
  <c r="AG218" i="27" s="1"/>
  <c r="U217" i="27"/>
  <c r="AG217" i="27" s="1"/>
  <c r="U216" i="27"/>
  <c r="AG216" i="27" s="1"/>
  <c r="U215" i="27"/>
  <c r="AG215" i="27" s="1"/>
  <c r="U214" i="27"/>
  <c r="AG214" i="27" s="1"/>
  <c r="U213" i="27"/>
  <c r="AG213" i="27" s="1"/>
  <c r="U212" i="27"/>
  <c r="AG212" i="27" s="1"/>
  <c r="U211" i="27"/>
  <c r="AG211" i="27" s="1"/>
  <c r="U210" i="27"/>
  <c r="AG210" i="27" s="1"/>
  <c r="U209" i="27"/>
  <c r="AG209" i="27" s="1"/>
  <c r="U208" i="27"/>
  <c r="AG208" i="27" s="1"/>
  <c r="U207" i="27"/>
  <c r="AG207" i="27" s="1"/>
  <c r="U206" i="27"/>
  <c r="AG206" i="27" s="1"/>
  <c r="U205" i="27"/>
  <c r="AG205" i="27" s="1"/>
  <c r="U204" i="27"/>
  <c r="AG204" i="27" s="1"/>
  <c r="AG203" i="27"/>
  <c r="AG202" i="27"/>
  <c r="AG201" i="27"/>
  <c r="AG200" i="27"/>
  <c r="AG199" i="27"/>
  <c r="U198" i="27"/>
  <c r="AG198" i="27" s="1"/>
  <c r="AG197" i="27"/>
  <c r="U196" i="27"/>
  <c r="AG196" i="27" s="1"/>
  <c r="AG195" i="27"/>
  <c r="U194" i="27"/>
  <c r="AG194" i="27" s="1"/>
  <c r="AG193" i="27"/>
  <c r="AG192" i="27"/>
  <c r="U191" i="27"/>
  <c r="AG191" i="27" s="1"/>
  <c r="AG190" i="27"/>
  <c r="AG189" i="27"/>
  <c r="AG188" i="27"/>
  <c r="AG187" i="27"/>
  <c r="U186" i="27"/>
  <c r="AG186" i="27" s="1"/>
  <c r="AG185" i="27"/>
  <c r="AG184" i="27"/>
  <c r="X184" i="27"/>
  <c r="AG183" i="27"/>
  <c r="AG182" i="27"/>
  <c r="AG181" i="27"/>
  <c r="AG180" i="27"/>
  <c r="AG179" i="27"/>
  <c r="AG178" i="27"/>
  <c r="AG177" i="27"/>
  <c r="U176" i="27"/>
  <c r="AG176" i="27" s="1"/>
  <c r="U175" i="27"/>
  <c r="AG175" i="27" s="1"/>
  <c r="U174" i="27"/>
  <c r="AG174" i="27" s="1"/>
  <c r="AG173" i="27"/>
  <c r="AG172" i="27"/>
  <c r="AG171" i="27"/>
  <c r="AG170" i="27"/>
  <c r="AG169" i="27"/>
  <c r="AG168" i="27"/>
  <c r="AG167" i="27"/>
  <c r="AF166" i="27"/>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s="1"/>
  <c r="U144" i="27"/>
  <c r="AG144" i="27" s="1"/>
  <c r="U143" i="27"/>
  <c r="AG143" i="27" s="1"/>
  <c r="U142" i="27"/>
  <c r="AG142" i="27" s="1"/>
  <c r="U141" i="27"/>
  <c r="AG141" i="27" s="1"/>
  <c r="U140" i="27"/>
  <c r="AG140" i="27" s="1"/>
  <c r="U139" i="27"/>
  <c r="AG139" i="27" s="1"/>
  <c r="AG138" i="27"/>
  <c r="AG137" i="27"/>
  <c r="AG136" i="27"/>
  <c r="AG135" i="27"/>
  <c r="U134" i="27"/>
  <c r="AG134" i="27" s="1"/>
  <c r="U133" i="27"/>
  <c r="AG133" i="27" s="1"/>
  <c r="U132" i="27"/>
  <c r="AG132" i="27" s="1"/>
  <c r="U131" i="27"/>
  <c r="AG131" i="27" s="1"/>
  <c r="U130" i="27"/>
  <c r="AG130" i="27" s="1"/>
  <c r="U129" i="27"/>
  <c r="AG129" i="27" s="1"/>
  <c r="U128" i="27"/>
  <c r="AG128" i="27" s="1"/>
  <c r="AG127" i="27"/>
  <c r="AG126" i="27"/>
  <c r="AG125" i="27"/>
  <c r="AK124" i="27"/>
  <c r="U124" i="27"/>
  <c r="AG124" i="27" s="1"/>
  <c r="U123" i="27"/>
  <c r="AG123" i="27" s="1"/>
  <c r="U122" i="27"/>
  <c r="AG122" i="27" s="1"/>
  <c r="U121" i="27"/>
  <c r="AG121" i="27" s="1"/>
  <c r="AG120" i="27"/>
  <c r="U119" i="27"/>
  <c r="AG119" i="27" s="1"/>
  <c r="U118" i="27"/>
  <c r="AG118" i="27" s="1"/>
  <c r="U117" i="27"/>
  <c r="AG117" i="27" s="1"/>
  <c r="U116" i="27"/>
  <c r="AG116" i="27" s="1"/>
  <c r="AG115" i="27"/>
  <c r="AG114" i="27"/>
  <c r="AG113" i="27"/>
  <c r="AG112" i="27"/>
  <c r="AG111" i="27"/>
  <c r="AG110" i="27"/>
  <c r="AG109" i="27"/>
  <c r="AG108" i="27"/>
  <c r="AG107" i="27"/>
  <c r="AG106" i="27"/>
  <c r="AG105" i="27"/>
  <c r="AG104" i="27"/>
  <c r="AG103" i="27"/>
  <c r="U102" i="27"/>
  <c r="AG102" i="27" s="1"/>
  <c r="U101" i="27"/>
  <c r="AG101" i="27" s="1"/>
  <c r="U100" i="27"/>
  <c r="AG100" i="27" s="1"/>
  <c r="U99" i="27"/>
  <c r="AG99" i="27" s="1"/>
  <c r="U98" i="27"/>
  <c r="AG98" i="27" s="1"/>
  <c r="AG97" i="27"/>
  <c r="U96" i="27"/>
  <c r="AG96" i="27" s="1"/>
  <c r="U95" i="27"/>
  <c r="AG95" i="27" s="1"/>
  <c r="U94" i="27"/>
  <c r="AG94" i="27" s="1"/>
  <c r="U93" i="27"/>
  <c r="AG93" i="27" s="1"/>
  <c r="U92" i="27"/>
  <c r="AG92" i="27" s="1"/>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s="1"/>
  <c r="AG56" i="27"/>
  <c r="U55" i="27"/>
  <c r="AG55" i="27" s="1"/>
  <c r="U54" i="27"/>
  <c r="AG54" i="27" s="1"/>
  <c r="U53" i="27"/>
  <c r="AG53" i="27" s="1"/>
  <c r="AF52" i="27"/>
  <c r="U52" i="27"/>
  <c r="U51" i="27"/>
  <c r="AG51" i="27" s="1"/>
  <c r="U50" i="27"/>
  <c r="AG50" i="27" s="1"/>
  <c r="AK49" i="27"/>
  <c r="U49" i="27"/>
  <c r="AG49" i="27" s="1"/>
  <c r="U48" i="27"/>
  <c r="AG48" i="27" s="1"/>
  <c r="U47" i="27"/>
  <c r="AG47" i="27" s="1"/>
  <c r="U46" i="27"/>
  <c r="AG46" i="27" s="1"/>
  <c r="AG45" i="27"/>
  <c r="U44" i="27"/>
  <c r="AG44" i="27" s="1"/>
  <c r="U43" i="27"/>
  <c r="AG43" i="27" s="1"/>
  <c r="U42" i="27"/>
  <c r="AG42" i="27" s="1"/>
  <c r="AF41" i="27"/>
  <c r="U41" i="27"/>
  <c r="U40" i="27"/>
  <c r="AG40" i="27" s="1"/>
  <c r="U39" i="27"/>
  <c r="AG39" i="27" s="1"/>
  <c r="U38" i="27"/>
  <c r="AG38" i="27" s="1"/>
  <c r="U37" i="27"/>
  <c r="AG37" i="27" s="1"/>
  <c r="AG36" i="27"/>
  <c r="U35" i="27"/>
  <c r="AG35" i="27" s="1"/>
  <c r="AG34" i="27"/>
  <c r="AG33" i="27"/>
  <c r="U32" i="27"/>
  <c r="AG32" i="27" s="1"/>
  <c r="AG31" i="27"/>
  <c r="AG30" i="27"/>
  <c r="U29" i="27"/>
  <c r="AG29" i="27" s="1"/>
  <c r="U28" i="27"/>
  <c r="AG28" i="27" s="1"/>
  <c r="U27" i="27"/>
  <c r="AG27" i="27" s="1"/>
  <c r="AK26" i="27"/>
  <c r="AG26" i="27"/>
  <c r="AG25" i="27"/>
  <c r="AG24" i="27"/>
  <c r="AG23" i="27"/>
  <c r="AG22" i="27"/>
  <c r="AG21" i="27"/>
  <c r="AG20" i="27"/>
  <c r="U19" i="27"/>
  <c r="AG19" i="27" s="1"/>
  <c r="AL18" i="27"/>
  <c r="AG18" i="27"/>
  <c r="AG17" i="27"/>
  <c r="AG16" i="27"/>
  <c r="AG15" i="27"/>
  <c r="AG14" i="27"/>
  <c r="AG13" i="27"/>
  <c r="AG12" i="27"/>
  <c r="AG11" i="27"/>
  <c r="U10" i="27"/>
  <c r="AG10" i="27" s="1"/>
  <c r="U9" i="27"/>
  <c r="AG9" i="27" s="1"/>
  <c r="U8" i="27"/>
  <c r="AG8" i="27" s="1"/>
  <c r="U7" i="27"/>
  <c r="AG7" i="27" s="1"/>
  <c r="U6" i="27"/>
  <c r="AG6" i="27" s="1"/>
  <c r="U5" i="27"/>
  <c r="AG5" i="27" s="1"/>
  <c r="U4" i="27"/>
  <c r="AG4" i="27" s="1"/>
  <c r="AG3" i="27"/>
  <c r="AL2" i="27"/>
  <c r="AF2" i="27"/>
  <c r="AG2" i="27" s="1"/>
  <c r="W79" i="19"/>
  <c r="AA79" i="19" s="1"/>
  <c r="W71" i="19"/>
  <c r="AA71" i="19" s="1"/>
  <c r="W95" i="19"/>
  <c r="Y95" i="19" s="1"/>
  <c r="W94" i="19"/>
  <c r="W87" i="19"/>
  <c r="V84" i="19"/>
  <c r="W84" i="19" s="1"/>
  <c r="AA84" i="19" s="1"/>
  <c r="W75" i="19"/>
  <c r="Y75" i="19" s="1"/>
  <c r="W63" i="19"/>
  <c r="W56" i="19"/>
  <c r="W52" i="19"/>
  <c r="AA52" i="19" s="1"/>
  <c r="V51" i="19"/>
  <c r="W51" i="19" s="1"/>
  <c r="AA51" i="19" s="1"/>
  <c r="W50" i="19"/>
  <c r="AA50" i="19" s="1"/>
  <c r="W49" i="19"/>
  <c r="AA49" i="19" s="1"/>
  <c r="W44" i="19"/>
  <c r="Y44" i="19" s="1"/>
  <c r="U23" i="19"/>
  <c r="W23" i="19" s="1"/>
  <c r="U13" i="19"/>
  <c r="W13" i="19" s="1"/>
  <c r="U11" i="19"/>
  <c r="U8" i="19"/>
  <c r="W8" i="19" s="1"/>
  <c r="U22" i="28"/>
  <c r="W68" i="28"/>
  <c r="V40" i="28"/>
  <c r="W40" i="28" s="1"/>
  <c r="Y40" i="28" s="1"/>
  <c r="W41" i="28"/>
  <c r="Y41" i="28" s="1"/>
  <c r="W53" i="28"/>
  <c r="Y53" i="28" s="1"/>
  <c r="W82" i="28"/>
  <c r="X93" i="28"/>
  <c r="Y93" i="28" s="1"/>
  <c r="W60" i="28"/>
  <c r="X132" i="28"/>
  <c r="W90" i="28"/>
  <c r="AA96" i="28"/>
  <c r="Y96" i="28"/>
  <c r="AA95" i="28"/>
  <c r="Y95" i="28"/>
  <c r="AA94" i="28"/>
  <c r="Y94" i="28"/>
  <c r="AA93" i="28"/>
  <c r="AA92" i="28"/>
  <c r="Y92" i="28"/>
  <c r="AA91" i="28"/>
  <c r="Y91" i="28"/>
  <c r="Z90" i="28"/>
  <c r="T90" i="28"/>
  <c r="W89" i="28"/>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s="1"/>
  <c r="AA73" i="28"/>
  <c r="Y73" i="28"/>
  <c r="AB72" i="28"/>
  <c r="Z72" i="28"/>
  <c r="AA72" i="28" s="1"/>
  <c r="Y72" i="28"/>
  <c r="AB71" i="28"/>
  <c r="Z71" i="28"/>
  <c r="W71" i="28"/>
  <c r="Y71" i="28" s="1"/>
  <c r="AA70" i="28"/>
  <c r="Y70" i="28"/>
  <c r="AA69" i="28"/>
  <c r="Y69" i="28"/>
  <c r="AA67" i="28"/>
  <c r="Y67" i="28"/>
  <c r="AA66" i="28"/>
  <c r="Y66" i="28"/>
  <c r="V65" i="28"/>
  <c r="AB64" i="28"/>
  <c r="AA64" i="28"/>
  <c r="Y64" i="28"/>
  <c r="AA63" i="28"/>
  <c r="Y63" i="28"/>
  <c r="X62" i="28"/>
  <c r="W62" i="28"/>
  <c r="AA62" i="28" s="1"/>
  <c r="AA61" i="28"/>
  <c r="Y61" i="28"/>
  <c r="AA59" i="28"/>
  <c r="Y59" i="28"/>
  <c r="AA58" i="28"/>
  <c r="Y58" i="28"/>
  <c r="AA57" i="28"/>
  <c r="Y57" i="28"/>
  <c r="AB56" i="28"/>
  <c r="Z56" i="28"/>
  <c r="AA56" i="28" s="1"/>
  <c r="Y56" i="28"/>
  <c r="AB55" i="28"/>
  <c r="Z55" i="28"/>
  <c r="AA55" i="28" s="1"/>
  <c r="Y55" i="28"/>
  <c r="AB54" i="28"/>
  <c r="AA54" i="28"/>
  <c r="Y54" i="28"/>
  <c r="AB53" i="28"/>
  <c r="Z53" i="28"/>
  <c r="AB52" i="28"/>
  <c r="AA52" i="28"/>
  <c r="Y52" i="28"/>
  <c r="AB51" i="28"/>
  <c r="AA51" i="28"/>
  <c r="Y51" i="28"/>
  <c r="AA50" i="28"/>
  <c r="X49" i="28"/>
  <c r="W49" i="28"/>
  <c r="AA49" i="28" s="1"/>
  <c r="T49" i="28"/>
  <c r="V48" i="28"/>
  <c r="W48" i="28" s="1"/>
  <c r="Y48" i="28" s="1"/>
  <c r="W47" i="28"/>
  <c r="AA47" i="28" s="1"/>
  <c r="AB46" i="28"/>
  <c r="W46" i="28"/>
  <c r="Y46" i="28" s="1"/>
  <c r="W45" i="28"/>
  <c r="AA44" i="28"/>
  <c r="Y44" i="28"/>
  <c r="AA43" i="28"/>
  <c r="Y43" i="28"/>
  <c r="AA42" i="28"/>
  <c r="Y42" i="28"/>
  <c r="Z40" i="28"/>
  <c r="AA39" i="28"/>
  <c r="Y39" i="28"/>
  <c r="AB38" i="28"/>
  <c r="AA38" i="28"/>
  <c r="Y38" i="28"/>
  <c r="AB37" i="28"/>
  <c r="AA37" i="28"/>
  <c r="Y37" i="28"/>
  <c r="T37" i="28"/>
  <c r="Z36" i="28"/>
  <c r="AA36" i="28" s="1"/>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4" i="28" s="1"/>
  <c r="AA13" i="28"/>
  <c r="Y13" i="28"/>
  <c r="AA12" i="28"/>
  <c r="Y12" i="28"/>
  <c r="U12" i="28"/>
  <c r="Z11" i="28"/>
  <c r="AA11" i="28" s="1"/>
  <c r="X11" i="28"/>
  <c r="Y11" i="28" s="1"/>
  <c r="AB10" i="28"/>
  <c r="Z10" i="28"/>
  <c r="AA10" i="28" s="1"/>
  <c r="Y10" i="28"/>
  <c r="U10" i="28"/>
  <c r="AA9" i="28"/>
  <c r="Y9" i="28"/>
  <c r="AB8" i="28"/>
  <c r="AA8" i="28"/>
  <c r="Y8" i="28"/>
  <c r="Y3" i="28"/>
  <c r="X56" i="19"/>
  <c r="Y88" i="19"/>
  <c r="Y89" i="19"/>
  <c r="X98" i="19"/>
  <c r="Y98" i="19" s="1"/>
  <c r="AA101" i="19"/>
  <c r="Y101" i="19"/>
  <c r="AA100" i="19"/>
  <c r="Y100" i="19"/>
  <c r="AA99" i="19"/>
  <c r="Y99" i="19"/>
  <c r="AA98" i="19"/>
  <c r="AA97" i="19"/>
  <c r="Y97" i="19"/>
  <c r="AA96" i="19"/>
  <c r="Y96" i="19"/>
  <c r="Z95" i="19"/>
  <c r="T95" i="19"/>
  <c r="AA93" i="19"/>
  <c r="Y93" i="19"/>
  <c r="AA92" i="19"/>
  <c r="Y92" i="19"/>
  <c r="AA91" i="19"/>
  <c r="Y91" i="19"/>
  <c r="AA90" i="19"/>
  <c r="Y90" i="19"/>
  <c r="AA89" i="19"/>
  <c r="AA88" i="19"/>
  <c r="AA86" i="19"/>
  <c r="Y86" i="19"/>
  <c r="Z85" i="19"/>
  <c r="AA85" i="19" s="1"/>
  <c r="Y85" i="19"/>
  <c r="AA83" i="19"/>
  <c r="Y83" i="19"/>
  <c r="AA81" i="19"/>
  <c r="Y81" i="19"/>
  <c r="AA80" i="19"/>
  <c r="Y80" i="19"/>
  <c r="Y79" i="19"/>
  <c r="AB76" i="19"/>
  <c r="Z76" i="19"/>
  <c r="AA76" i="19" s="1"/>
  <c r="Y76" i="19"/>
  <c r="Z75" i="19"/>
  <c r="AA74" i="19"/>
  <c r="Y74" i="19"/>
  <c r="AA73" i="19"/>
  <c r="AA70" i="19"/>
  <c r="Y70" i="19"/>
  <c r="AA69" i="19"/>
  <c r="Y69" i="19"/>
  <c r="AA66" i="19"/>
  <c r="X65" i="19"/>
  <c r="AA64" i="19"/>
  <c r="AA62" i="19"/>
  <c r="Y62" i="19"/>
  <c r="AA61" i="19"/>
  <c r="Y61" i="19"/>
  <c r="AA60" i="19"/>
  <c r="Y60" i="19"/>
  <c r="Z59" i="19"/>
  <c r="AA59" i="19" s="1"/>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Z39" i="19"/>
  <c r="AA39" i="19" s="1"/>
  <c r="Y39" i="19"/>
  <c r="AB37" i="19"/>
  <c r="AA37" i="19"/>
  <c r="Y37" i="19"/>
  <c r="AA36" i="19"/>
  <c r="Y36" i="19"/>
  <c r="AA35" i="19"/>
  <c r="Y35" i="19"/>
  <c r="AB34" i="19"/>
  <c r="AA34" i="19"/>
  <c r="Y34" i="19"/>
  <c r="AB33" i="19"/>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s="1"/>
  <c r="AA7" i="19"/>
  <c r="AB6" i="19"/>
  <c r="Y1" i="19"/>
  <c r="E23" i="16"/>
  <c r="G46" i="16"/>
  <c r="H46" i="16" s="1"/>
  <c r="L47" i="16"/>
  <c r="L48" i="16"/>
  <c r="L49" i="16"/>
  <c r="L50" i="16"/>
  <c r="L51" i="16"/>
  <c r="L52" i="16"/>
  <c r="L46" i="16"/>
  <c r="K53" i="16"/>
  <c r="J53" i="16"/>
  <c r="F53" i="16"/>
  <c r="H53" i="16" s="1"/>
  <c r="H49" i="16"/>
  <c r="M49" i="16" s="1"/>
  <c r="H48" i="16"/>
  <c r="H47" i="16"/>
  <c r="H50" i="16"/>
  <c r="H51" i="16"/>
  <c r="H52" i="16"/>
  <c r="F64" i="16"/>
  <c r="F60" i="16"/>
  <c r="D20" i="10"/>
  <c r="C20" i="10"/>
  <c r="H19" i="10"/>
  <c r="E19" i="10"/>
  <c r="H18" i="10"/>
  <c r="E18" i="10"/>
  <c r="E17" i="10"/>
  <c r="H16" i="10"/>
  <c r="E16" i="10"/>
  <c r="H15" i="10"/>
  <c r="E15" i="10"/>
  <c r="H14" i="10"/>
  <c r="E14" i="10"/>
  <c r="H13" i="10"/>
  <c r="E13" i="10"/>
  <c r="H12" i="10"/>
  <c r="E12" i="10"/>
  <c r="H11" i="10"/>
  <c r="E11" i="10"/>
  <c r="E10" i="10"/>
  <c r="H9" i="10"/>
  <c r="E9" i="10"/>
  <c r="H8" i="10"/>
  <c r="E8" i="10"/>
  <c r="Y23" i="32" l="1"/>
  <c r="E20" i="10"/>
  <c r="AG52" i="27"/>
  <c r="AA36" i="32"/>
  <c r="I7" i="38"/>
  <c r="Y37" i="32"/>
  <c r="Y49" i="19"/>
  <c r="AG166" i="27"/>
  <c r="AA82" i="19"/>
  <c r="AA53" i="28"/>
  <c r="AA49" i="32"/>
  <c r="AA77" i="19"/>
  <c r="AA56" i="19"/>
  <c r="AA46" i="28"/>
  <c r="Y52" i="19"/>
  <c r="Y65" i="32"/>
  <c r="AA52" i="32"/>
  <c r="AA25" i="19"/>
  <c r="AB102" i="32"/>
  <c r="Y68" i="19"/>
  <c r="M52" i="16"/>
  <c r="M51" i="16"/>
  <c r="M50" i="16"/>
  <c r="Y71" i="19"/>
  <c r="M47" i="16"/>
  <c r="Y47" i="28"/>
  <c r="Y74" i="28"/>
  <c r="X101" i="28"/>
  <c r="X103" i="28" s="1"/>
  <c r="Y8" i="19"/>
  <c r="Y15" i="19"/>
  <c r="M46" i="16"/>
  <c r="Z102" i="19"/>
  <c r="AA77" i="32"/>
  <c r="AA82" i="32"/>
  <c r="AB97" i="28"/>
  <c r="AA56" i="32"/>
  <c r="AA29" i="32"/>
  <c r="AA84" i="32"/>
  <c r="M48" i="16"/>
  <c r="Y35" i="32"/>
  <c r="AA48" i="28"/>
  <c r="T102" i="32"/>
  <c r="AA13" i="19"/>
  <c r="Y13" i="19"/>
  <c r="Y43" i="32"/>
  <c r="AA43" i="32"/>
  <c r="Y29" i="19"/>
  <c r="AA29" i="19"/>
  <c r="U102" i="32"/>
  <c r="AA75" i="32"/>
  <c r="Y38" i="19"/>
  <c r="X97" i="28"/>
  <c r="Y22" i="19"/>
  <c r="AA65" i="32"/>
  <c r="AA22" i="32"/>
  <c r="Y40" i="32"/>
  <c r="AA95" i="19"/>
  <c r="T97" i="28"/>
  <c r="AA71" i="28"/>
  <c r="U97" i="28"/>
  <c r="Y65" i="19"/>
  <c r="Y49" i="28"/>
  <c r="Y14" i="28"/>
  <c r="AG41" i="27"/>
  <c r="AA8" i="19"/>
  <c r="X102" i="19"/>
  <c r="AB102" i="19"/>
  <c r="AB98" i="28"/>
  <c r="Y94" i="32"/>
  <c r="AA89" i="28"/>
  <c r="Y89" i="28"/>
  <c r="AA45" i="28"/>
  <c r="Y45" i="28"/>
  <c r="Y15" i="32"/>
  <c r="AA15" i="32"/>
  <c r="Y38" i="32"/>
  <c r="AA38" i="32"/>
  <c r="AA23" i="19"/>
  <c r="Y23" i="19"/>
  <c r="Z97" i="28"/>
  <c r="AA94" i="19"/>
  <c r="Y94" i="19"/>
  <c r="AA75" i="19"/>
  <c r="AA40" i="28"/>
  <c r="Z98" i="28"/>
  <c r="Z100" i="28" s="1"/>
  <c r="W65" i="28"/>
  <c r="V97" i="28"/>
  <c r="AA79" i="28"/>
  <c r="Y79" i="28"/>
  <c r="W68" i="32"/>
  <c r="Y68" i="32" s="1"/>
  <c r="V102" i="32"/>
  <c r="AA34" i="32"/>
  <c r="Y34" i="32"/>
  <c r="L53" i="16"/>
  <c r="Y50" i="19"/>
  <c r="U40" i="19"/>
  <c r="T102" i="19"/>
  <c r="Y56" i="19"/>
  <c r="Y90" i="28"/>
  <c r="AA90" i="28"/>
  <c r="AA68" i="28"/>
  <c r="Y68" i="28"/>
  <c r="AA48" i="19"/>
  <c r="Y48" i="19"/>
  <c r="X102" i="32"/>
  <c r="Y51" i="32"/>
  <c r="AA51" i="32"/>
  <c r="AA13" i="32"/>
  <c r="Y13" i="32"/>
  <c r="V102" i="19"/>
  <c r="Y84" i="19"/>
  <c r="Y6" i="19"/>
  <c r="Y62" i="28"/>
  <c r="AA6" i="32"/>
  <c r="W8" i="32"/>
  <c r="AA50" i="32"/>
  <c r="Y50" i="32"/>
  <c r="AA79" i="32"/>
  <c r="Y79" i="32"/>
  <c r="Y51" i="19"/>
  <c r="AA43" i="19"/>
  <c r="W103" i="19"/>
  <c r="AA48" i="32"/>
  <c r="Y48" i="32"/>
  <c r="Z102" i="32"/>
  <c r="Y95" i="32"/>
  <c r="AA95" i="32"/>
  <c r="AA71" i="32"/>
  <c r="M53" i="16" l="1"/>
  <c r="Y8" i="32"/>
  <c r="Y102" i="32" s="1"/>
  <c r="AA8" i="32"/>
  <c r="W102" i="32"/>
  <c r="AA102" i="32" s="1"/>
  <c r="Y65" i="28"/>
  <c r="Y97" i="28" s="1"/>
  <c r="W97" i="28"/>
  <c r="AA97" i="28" s="1"/>
  <c r="W40" i="19"/>
  <c r="U102" i="19"/>
  <c r="AA98" i="28"/>
  <c r="Y40" i="19" l="1"/>
  <c r="Y102" i="19" s="1"/>
  <c r="AA40" i="19"/>
  <c r="W102" i="19"/>
  <c r="AA10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alberto Abril Benal</author>
    <author>tc={92533C56-294F-49A0-B8C2-F7C065AE26D7}</author>
    <author>tc={4B80BF80-1ED0-4CEB-8083-AF187859AC49}</author>
  </authors>
  <commentList>
    <comment ref="T85" authorId="0" shapeId="0" xr:uid="{00000000-0006-0000-0700-000001000000}">
      <text>
        <r>
          <rPr>
            <b/>
            <sz val="9"/>
            <color indexed="81"/>
            <rFont val="Tahoma"/>
            <family val="2"/>
          </rPr>
          <t>Jose alberto Abril Benal:</t>
        </r>
        <r>
          <rPr>
            <sz val="9"/>
            <color indexed="81"/>
            <rFont val="Tahoma"/>
            <family val="2"/>
          </rPr>
          <t xml:space="preserve">
un primer CDP expedido y anulado por 34.500.000 y posterior un CDP expedido por 38.500.000</t>
        </r>
      </text>
    </comment>
    <comment ref="T272" authorId="0" shapeId="0" xr:uid="{00000000-0006-0000-0700-000002000000}">
      <text>
        <r>
          <rPr>
            <b/>
            <sz val="9"/>
            <color indexed="81"/>
            <rFont val="Tahoma"/>
            <family val="2"/>
          </rPr>
          <t>Jose alberto Abril Benal:</t>
        </r>
        <r>
          <rPr>
            <sz val="9"/>
            <color indexed="81"/>
            <rFont val="Tahoma"/>
            <family val="2"/>
          </rPr>
          <t xml:space="preserve">
confirmar anulación de CDP por el mismo valor </t>
        </r>
      </text>
    </comment>
    <comment ref="T459" authorId="1" shapeId="0" xr:uid="{00000000-0006-0000-07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516" authorId="2" shapeId="0" xr:uid="{00000000-0006-0000-07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660" authorId="0" shapeId="0" xr:uid="{00000000-0006-0000-0700-000005000000}">
      <text>
        <r>
          <rPr>
            <b/>
            <sz val="9"/>
            <color indexed="81"/>
            <rFont val="Tahoma"/>
            <family val="2"/>
          </rPr>
          <t>Jose alberto Abril Benal:</t>
        </r>
        <r>
          <rPr>
            <sz val="9"/>
            <color indexed="81"/>
            <rFont val="Tahoma"/>
            <family val="2"/>
          </rPr>
          <t xml:space="preserve">
anulacion CDP inicial por 45.000.000 y expedicion nuevo CDp por 42.719.215</t>
        </r>
      </text>
    </comment>
  </commentList>
</comments>
</file>

<file path=xl/sharedStrings.xml><?xml version="1.0" encoding="utf-8"?>
<sst xmlns="http://schemas.openxmlformats.org/spreadsheetml/2006/main" count="46338" uniqueCount="4717">
  <si>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</si>
  <si>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</si>
  <si>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</si>
  <si>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</si>
  <si>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</si>
  <si>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</si>
  <si>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</si>
  <si>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</si>
  <si>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</si>
  <si>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</si>
  <si>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</si>
  <si>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</si>
  <si>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</si>
  <si>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</si>
  <si>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</si>
  <si>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</si>
  <si>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</si>
  <si>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</si>
  <si>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</si>
  <si>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</si>
  <si>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</si>
  <si>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</si>
  <si>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</si>
  <si>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</si>
  <si>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</si>
  <si>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</si>
  <si>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</si>
  <si>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</si>
  <si>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</si>
  <si>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</si>
  <si>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</si>
  <si>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</si>
  <si>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</si>
  <si>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</si>
  <si>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</si>
  <si>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</si>
  <si>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</si>
  <si>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</si>
  <si>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</si>
  <si>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</si>
  <si>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</si>
  <si>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</si>
  <si>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</si>
  <si>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</si>
  <si>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</si>
  <si>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</si>
  <si>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</si>
  <si>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</si>
  <si>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</si>
  <si>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</si>
  <si>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</si>
  <si>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</si>
  <si>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</si>
  <si>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</si>
  <si>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</si>
  <si>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</si>
  <si>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</si>
  <si>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</si>
  <si>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</si>
  <si>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</si>
  <si>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</si>
  <si>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</si>
  <si>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</si>
  <si>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</si>
  <si>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</si>
  <si>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</si>
  <si>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</si>
  <si>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</si>
  <si>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</si>
  <si>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</si>
  <si>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</si>
  <si>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</si>
  <si>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</si>
  <si>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</si>
  <si>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</si>
  <si>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</si>
  <si>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</si>
  <si>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</si>
  <si>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</si>
  <si>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</si>
  <si>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</si>
  <si>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</si>
  <si>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</si>
  <si>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</si>
  <si>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</si>
  <si>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</si>
  <si>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</si>
  <si>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</si>
  <si>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</si>
  <si>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</si>
  <si>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</si>
  <si>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</si>
  <si>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</si>
  <si>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</si>
  <si>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</si>
  <si>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</si>
  <si>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</si>
  <si>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</si>
  <si>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</si>
  <si>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</si>
  <si>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</si>
  <si>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</si>
  <si>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</si>
  <si>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</si>
  <si>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</si>
  <si>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</si>
  <si>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</si>
  <si>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</si>
  <si>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</si>
  <si>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</si>
  <si>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</si>
  <si>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</si>
  <si>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</si>
  <si>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</si>
  <si>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</si>
  <si>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</si>
  <si>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</si>
  <si>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</si>
  <si>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</si>
  <si>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</si>
  <si>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</si>
  <si>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</si>
  <si>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</si>
  <si>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</si>
  <si>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</si>
  <si>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</si>
  <si>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</si>
  <si>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</si>
  <si>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</si>
  <si>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</si>
  <si>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</si>
  <si>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</si>
  <si>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</si>
  <si>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</si>
  <si>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</si>
  <si>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</si>
  <si>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</si>
  <si>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</si>
  <si>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</si>
  <si>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</si>
  <si>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</si>
  <si>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</si>
  <si>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</si>
  <si>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</si>
  <si>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</si>
  <si>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</si>
  <si>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</si>
  <si>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</si>
  <si>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</si>
  <si>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</si>
  <si>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</si>
  <si>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</si>
  <si>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</si>
  <si>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</si>
  <si>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</si>
  <si>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</si>
  <si>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</si>
  <si>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</si>
  <si>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</si>
  <si>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</si>
  <si>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</si>
  <si>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</si>
  <si>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</si>
  <si>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</si>
  <si>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</si>
  <si>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</si>
  <si>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</si>
  <si>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</si>
  <si>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</si>
  <si>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</si>
  <si>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</si>
  <si>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</si>
  <si>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</si>
  <si>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</si>
  <si>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</si>
  <si>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</si>
  <si>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</si>
  <si>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</si>
  <si>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</si>
  <si>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</si>
  <si>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</si>
  <si>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</si>
  <si>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</si>
  <si>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</si>
  <si>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</si>
  <si>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</si>
  <si>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</si>
  <si>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</si>
  <si>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</si>
  <si>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</si>
  <si>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</si>
  <si>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</si>
  <si>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</si>
  <si>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</si>
  <si>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</si>
  <si>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</si>
  <si>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</si>
  <si>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</si>
  <si>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</si>
  <si>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</si>
  <si>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</si>
  <si>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</si>
  <si>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</si>
  <si>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</si>
  <si>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</si>
  <si>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</si>
  <si>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</si>
  <si>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</si>
  <si>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</si>
  <si>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</si>
  <si>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</si>
  <si>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</si>
  <si>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</si>
  <si>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</si>
  <si>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</si>
  <si>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</si>
  <si>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</si>
  <si>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</si>
  <si>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</si>
  <si>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</si>
  <si>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</si>
  <si>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</si>
  <si>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</si>
  <si>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</si>
  <si>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</si>
  <si>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</si>
  <si>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</si>
  <si>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</si>
  <si>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</si>
  <si>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</si>
  <si>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</si>
  <si>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</si>
  <si>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</si>
  <si>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</si>
  <si>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</si>
  <si>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</si>
  <si>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</si>
  <si>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</si>
  <si>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</si>
  <si>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</si>
  <si>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</si>
  <si>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</si>
  <si>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</si>
  <si>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</si>
  <si>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</si>
  <si>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</si>
  <si>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</si>
  <si>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</si>
  <si>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</si>
  <si>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</si>
  <si>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</si>
  <si>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</si>
  <si>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</si>
  <si>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</si>
  <si>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</si>
  <si>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</si>
  <si>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</si>
  <si>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</si>
  <si>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</si>
  <si>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</si>
  <si>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</si>
  <si>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</si>
  <si>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</si>
  <si>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</si>
  <si>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</si>
  <si>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</si>
  <si>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</si>
  <si>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</si>
  <si>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</si>
  <si>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</si>
  <si>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</si>
  <si>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</si>
  <si>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</si>
  <si>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</si>
  <si>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</si>
  <si>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</si>
  <si>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</si>
  <si>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</si>
  <si>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</si>
  <si>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</si>
  <si>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</si>
  <si>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</si>
  <si>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</si>
  <si>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</si>
  <si>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</si>
  <si>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</si>
  <si>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</si>
  <si>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</si>
  <si>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</si>
  <si>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</si>
  <si>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</si>
  <si>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</si>
  <si>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</si>
  <si>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</si>
  <si>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</si>
  <si>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</si>
  <si>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</si>
  <si>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</si>
  <si>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</si>
  <si>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</si>
  <si>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</si>
  <si>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</si>
  <si>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</si>
  <si>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</si>
  <si>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</si>
  <si>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</si>
  <si>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</si>
  <si>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</si>
  <si>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</si>
  <si>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</si>
  <si>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</si>
  <si>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</si>
  <si>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</si>
  <si>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</si>
  <si>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</si>
  <si>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</si>
  <si>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</si>
  <si>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</si>
  <si>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</si>
  <si>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</si>
  <si>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</si>
  <si>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</si>
  <si>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</si>
  <si>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</si>
  <si>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</si>
  <si>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</si>
  <si>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</si>
  <si>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</si>
  <si>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</si>
  <si>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</si>
  <si>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</si>
  <si>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</si>
  <si>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</si>
  <si>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</si>
  <si>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</si>
  <si>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</si>
  <si>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</si>
  <si>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</si>
  <si>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</si>
  <si>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</si>
  <si>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</si>
  <si>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</si>
  <si>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</si>
  <si>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</si>
  <si>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</si>
  <si>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</si>
  <si>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</si>
  <si>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</si>
  <si>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</si>
  <si>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</si>
  <si>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</si>
  <si>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</si>
  <si>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</si>
  <si>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</si>
  <si>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</si>
  <si>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</si>
  <si>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</si>
  <si>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</si>
  <si>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</si>
  <si>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</si>
  <si>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</si>
  <si>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</si>
  <si>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</si>
  <si>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</si>
  <si>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</si>
  <si>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</si>
  <si>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</si>
  <si>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</si>
  <si>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</si>
  <si>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</si>
  <si>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</si>
  <si>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</si>
  <si>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</si>
  <si>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</si>
  <si>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</si>
  <si>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</si>
  <si>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</si>
  <si>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</si>
  <si>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</si>
  <si>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</si>
  <si>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</si>
  <si>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</si>
  <si>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</si>
  <si>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</si>
  <si>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</si>
  <si>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</si>
  <si>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</si>
  <si>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</si>
  <si>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</si>
  <si>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</si>
  <si>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</si>
  <si>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</si>
  <si>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</si>
  <si>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</si>
  <si>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</si>
  <si>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</si>
  <si>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</si>
  <si>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</si>
  <si>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</si>
  <si>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</si>
  <si>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</si>
  <si>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</si>
  <si>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</si>
  <si>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</si>
  <si>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</si>
  <si>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</si>
  <si>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</si>
  <si>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</si>
  <si>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</si>
  <si>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</si>
  <si>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</si>
  <si>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</si>
  <si>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</si>
  <si>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</si>
  <si>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</si>
  <si>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</si>
  <si>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</si>
  <si>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</si>
  <si>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</si>
  <si>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</si>
  <si>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</si>
  <si>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</si>
  <si>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</si>
  <si>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</si>
  <si>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</si>
  <si>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</si>
  <si>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</si>
  <si>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</si>
  <si>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</si>
  <si>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</si>
  <si>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</si>
  <si>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</si>
  <si>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</si>
  <si>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</si>
  <si>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</si>
  <si>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</si>
  <si>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</si>
  <si>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</si>
  <si>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</si>
  <si>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</si>
  <si>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</si>
  <si>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</si>
  <si>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</si>
  <si>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</si>
  <si>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</si>
  <si>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</si>
  <si>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</si>
  <si>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</si>
  <si>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</si>
  <si>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</si>
  <si>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</si>
  <si>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</si>
  <si>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</si>
  <si>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</si>
  <si>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</si>
  <si>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</si>
  <si>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</si>
  <si>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</si>
  <si>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</si>
  <si>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</si>
  <si>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</si>
  <si>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</si>
  <si>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</si>
  <si>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</si>
  <si>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</si>
  <si>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</si>
  <si>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</si>
  <si>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</si>
  <si>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</si>
  <si>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</si>
  <si>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</si>
  <si>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</si>
  <si>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</si>
  <si>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</si>
  <si>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</si>
  <si>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</si>
  <si>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</si>
  <si>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</si>
  <si>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</si>
  <si>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</si>
  <si>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</si>
  <si>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</si>
  <si>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</si>
  <si>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</si>
  <si>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</si>
  <si>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</si>
  <si>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</si>
  <si>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</si>
  <si>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</si>
  <si>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</si>
  <si>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</si>
  <si>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</si>
  <si>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</si>
  <si>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</si>
  <si>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</si>
  <si>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</si>
  <si>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</si>
  <si>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</si>
  <si>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</si>
  <si>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</si>
  <si>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</si>
  <si>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</si>
  <si>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</si>
  <si>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</si>
  <si>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</si>
  <si>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</si>
  <si>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</si>
  <si>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</si>
  <si>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</si>
  <si>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</si>
  <si>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</si>
  <si>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</si>
  <si>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</si>
  <si>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</si>
  <si>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</si>
  <si>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</si>
  <si>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</si>
  <si>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</si>
  <si>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</si>
  <si>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</si>
  <si>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</si>
  <si>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</si>
  <si>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</si>
  <si>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</si>
  <si>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</si>
  <si>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</si>
  <si>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</si>
  <si>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</si>
  <si>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</si>
  <si>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</si>
  <si>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</si>
  <si>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</si>
  <si>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</si>
  <si>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</si>
  <si>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</si>
  <si>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</si>
  <si>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</si>
  <si>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</si>
  <si>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</si>
  <si>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</si>
  <si>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</si>
  <si>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</si>
  <si>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</si>
  <si>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</si>
  <si>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</si>
  <si>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</si>
  <si>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</si>
  <si>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</si>
  <si>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</si>
  <si>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</si>
  <si>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</si>
  <si>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</si>
  <si>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</si>
  <si>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</si>
  <si>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</si>
  <si>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</si>
  <si>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</si>
  <si>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</si>
  <si>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</si>
  <si>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</si>
  <si>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</si>
  <si>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</si>
  <si>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</si>
  <si>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</si>
  <si>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</si>
  <si>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</si>
  <si>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</si>
  <si>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</si>
  <si>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</si>
  <si>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</si>
  <si>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</si>
  <si>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</si>
  <si>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</si>
  <si>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</si>
  <si>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</si>
  <si>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</si>
  <si>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</si>
  <si>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</si>
  <si>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</si>
  <si>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</si>
  <si>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</si>
  <si>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</si>
  <si>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</si>
  <si>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</si>
  <si>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</si>
  <si>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</si>
  <si>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</si>
  <si>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</si>
  <si>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</si>
  <si>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</si>
  <si>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</si>
  <si>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</si>
  <si>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</si>
  <si>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</si>
  <si>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</si>
  <si>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</si>
  <si>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</si>
  <si>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</si>
  <si>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</si>
  <si>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</si>
  <si>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</si>
  <si>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</si>
  <si>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</si>
  <si>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</si>
  <si>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</si>
  <si>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</si>
  <si>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</si>
  <si>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</si>
  <si>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</si>
  <si>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</si>
  <si>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</si>
  <si>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</si>
  <si>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</si>
  <si>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</si>
  <si>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</si>
  <si>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</si>
  <si>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</si>
  <si>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</si>
  <si>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</si>
  <si>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</si>
  <si>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</si>
  <si>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</si>
  <si>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</si>
  <si>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</si>
  <si>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</si>
  <si>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</si>
  <si>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</si>
  <si>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</si>
  <si>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</si>
  <si>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</si>
  <si>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</si>
  <si>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</si>
  <si>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</si>
  <si>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</si>
  <si>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</si>
  <si>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</si>
  <si>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</si>
  <si>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</si>
  <si>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</si>
  <si>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</si>
  <si>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</si>
  <si>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UNIDAD ADMINISTRATIVA ESPECIAL CUERPO OFICIAL DE BOMBEROS</t>
  </si>
  <si>
    <t>Versión No. 21</t>
  </si>
  <si>
    <t>Fecha de Modificación  08/09/2022</t>
  </si>
  <si>
    <t>Rubro</t>
  </si>
  <si>
    <t>O23011605560000007637 - Fortalecimiento de la
infraestructura de
tecnología
informática y de
comunicaciones de la
UAECOB</t>
  </si>
  <si>
    <t>Dirección-Comunicaciones y Prensa</t>
  </si>
  <si>
    <t>CCE-02 Licitación pública</t>
  </si>
  <si>
    <t>ID</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</si>
  <si>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</si>
  <si>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</si>
  <si>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</si>
  <si>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</si>
  <si>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</si>
  <si>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</si>
  <si>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</si>
  <si>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</si>
  <si>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</si>
  <si>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</si>
  <si>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</si>
  <si>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</si>
  <si>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 xml:space="preserve">Meta Producto/Meta producto </t>
  </si>
  <si>
    <t xml:space="preserve">SI SECOP/NO SECOP </t>
  </si>
  <si>
    <t>Columna2</t>
  </si>
  <si>
    <t>CDPS A 31 JULIO 2022</t>
  </si>
  <si>
    <t>CDP</t>
  </si>
  <si>
    <t>Columna1</t>
  </si>
  <si>
    <t>RP</t>
  </si>
  <si>
    <t>GIROS</t>
  </si>
  <si>
    <t>viabilidad</t>
  </si>
  <si>
    <t>O23011605560000007655 - Fortalecimiento de la Planeación y Gestión de la UAECOB Bogotá</t>
  </si>
  <si>
    <t>Dirección</t>
  </si>
  <si>
    <t>CCE-17 Licitación pública (Obra pública)</t>
  </si>
  <si>
    <t>Oficina Asesora de Planeación</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</si>
  <si>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</si>
  <si>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CCE-16 Contratación directa </t>
  </si>
  <si>
    <t>1-100-F001 VA-Recursos distrito</t>
  </si>
  <si>
    <t>O232020200883990_Otros servicios profesionales, técnicos y empresariales n.c.p.</t>
  </si>
  <si>
    <t>2-Implementar 100 % de la arquitectura TI conforme a las necesidades de la UAECOB</t>
  </si>
  <si>
    <t>517-Implementar al 100% una estrategia de fortalecimiento de los sistemas de información para optimizar la gestión del Cuerpo Oficial de Bomberos</t>
  </si>
  <si>
    <t xml:space="preserve">SI SECOP </t>
  </si>
  <si>
    <t>O23011602300000007658 - FORTALECIMIENTO DEL CUERPO OFICIAL DE BOMBEROS BOGOTÁ</t>
  </si>
  <si>
    <t>CCE-20 Concurso de méritos abierto</t>
  </si>
  <si>
    <t>Prestar servicios profesionales para formular, estructurar, administrar y gestionar los proyectos de TIC de la UAECOB, que fortalezcan la ejecución y cumplimiento de la politica de Gobierno Digital. -TIC-</t>
  </si>
  <si>
    <t>Oficina Asesora Jurídica</t>
  </si>
  <si>
    <t xml:space="preserve">CCE-05 Contratación directa (con ofertas) </t>
  </si>
  <si>
    <t>Prestar Servicios Profesionales para coordinar y gestionar los servicios de los sistemas de información con los que cuenta la  UAECOB -TIC-</t>
  </si>
  <si>
    <t>3-Habilitar 3 servicios ciudadanos digitales básicos en la UAECOB</t>
  </si>
  <si>
    <t>Oficina de Control Interno</t>
  </si>
  <si>
    <t>CCE-06 Selección abreviada menor cuantía</t>
  </si>
  <si>
    <t>Prestar servicios profesionales en la administración, actualización, desarrollo y mantenimiento del Sistema Integrado de Administración de Personal - SIAP. -TIC-</t>
  </si>
  <si>
    <t>Subdirección de Gestión Corporativa</t>
  </si>
  <si>
    <t>CCE-18 Selección Abreviada Menor Cuantia Sin Manifestacion Interes</t>
  </si>
  <si>
    <t>Prestar servicios profesionales para la gestión de proyectos y administración de Bases de Datos garantizando la sostenibilidad de la información en la UAECOB. -TIC-</t>
  </si>
  <si>
    <t>Subdirección de Gestión del Riesgo</t>
  </si>
  <si>
    <t>CCE-19 Concurso de méritos con precalificación</t>
  </si>
  <si>
    <t>Prestar Servicios Profesionales como administrador de los sistemas de información de la UAECOB -TIC-</t>
  </si>
  <si>
    <t>Subdirección de Gestión Humana</t>
  </si>
  <si>
    <t>CCE-07 Selección abreviada subasta inversa</t>
  </si>
  <si>
    <t>Prestar Servicios Profesionales para  administrar la infraestructura y gestionar los procesos relacionados con la capacidad, continuidad, disponibilidad, operatividad y seguridad de la  UAECOB -TIC-</t>
  </si>
  <si>
    <t>Subdirección Logística</t>
  </si>
  <si>
    <t>CCE-10 Mínima cuantía</t>
  </si>
  <si>
    <t>Prestar servicios profesionales como Administrador de las Redes LAN y WAN y gestionar su infraestructura en el edificio comando, estaciones, cades y supercades. -TIC-</t>
  </si>
  <si>
    <t>Subdirección Operativa</t>
  </si>
  <si>
    <t>CCE-11||01 Contratación régimen especial - Selección de comisionista</t>
  </si>
  <si>
    <t>Prestar servicios profesionales como Gestor de la Seguridad Informática para administrar y salvaguardar el cumplimiento de los controles tecnológicos, comunicaciones y de seguridad y privacidad de la información en la UAECOB -TIC-</t>
  </si>
  <si>
    <t>1-Implementar 100 %  del modelo de seguridad y privacidad de la información en la UAECOB alineado a la Política de Gobierno Digital.</t>
  </si>
  <si>
    <t>CCE-11||02 Contratación régimen especial - Enajenación de bienes para intermediarios idóneos</t>
  </si>
  <si>
    <t>Prestar servicios profesionales para la administración y almacenamiento de los servidores en la UAECOB -TIC-</t>
  </si>
  <si>
    <t>CCE-11||03 Contratación régimen especial - Régimen especial</t>
  </si>
  <si>
    <t>Prestar Servicios de apoyo a la gestión como técnico en infraestructura tecnológica para la gestión de los servicios tecnológicos de la UAECOB que le sean designados. -TIC-</t>
  </si>
  <si>
    <t>CCE-11||04 Contratación régimen especial - Banco multilateral y organismos multilaterales</t>
  </si>
  <si>
    <t>Prestar Servicios profesionales como adminsitrador de los procesos y actividades derivados de la mesa de ayuda e infraestructura en la UAECOB -TIC-</t>
  </si>
  <si>
    <t>CCE-15||01 Contratación régimen especial (con ofertas)  - Selección de comisionista</t>
  </si>
  <si>
    <t>Prestar sus servicios profesionales para el desarrollo del dominio del uso y apropiación de los procesos tecnológicos en la UAECOB  -TIC-</t>
  </si>
  <si>
    <t>CCE-15||02 Contratación régimen especial (con ofertas)  - Enajenación de bienes para intermediarios idóneos</t>
  </si>
  <si>
    <t>Prestación de servicios profesionales como Oficial de Seguridad de la Información en la UAECOB -TIC-</t>
  </si>
  <si>
    <t>CCE-15||03 Contratación régimen especial (con ofertas)  - Régimen especial</t>
  </si>
  <si>
    <t>Prestación de Servicios Profesionales como gestor de la Política de Gobierno Digital y Transformación Digital en la UAECOB -TIC-</t>
  </si>
  <si>
    <t>CCE-15||04 Contratación régimen especial (con ofertas)  - Banco multilateral y organismos multilaterales</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</si>
  <si>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</si>
  <si>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</si>
  <si>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CCE-99 Seléccion abreviada - acuerdo marco</t>
  </si>
  <si>
    <t>Prestar los servicios de apoyo a la gestión en actividades administrativas y de gestión documental en la Oficina Asesora de Planeación. -TIC-</t>
  </si>
  <si>
    <t>Adecuar seis (6) estaciones de Bomberos</t>
  </si>
  <si>
    <t>Prestar los servicios profesionales para el desarrollo de los procesos contractuales y administrativos de carácter jurídico que se desarrollen en la Oficina Asesora de Planeación. -TIC-</t>
  </si>
  <si>
    <t>Ejecutar el 100% del programa de mantenimiento de vehículos y equipo menor de la UAECOB</t>
  </si>
  <si>
    <t>Prestar los servicios profesionales administrativos y financieros en el apoyo a las actividades precontractuales, contractuales y poscontractuales relacionados con los procesos de la OAP -TIC-</t>
  </si>
  <si>
    <t>Elaborar 1 plan de preparativos y continuidad del servicio para la UAECOB ante la eventual ocurrencia de un desastre en el Distrito Capital</t>
  </si>
  <si>
    <t>43231512; 81112501</t>
  </si>
  <si>
    <t>Contratar la adquisición, renovación y  suscripciones de licencia Microsoft para la UAECOB. - TIC</t>
  </si>
  <si>
    <t>O232020200883159_Otros servicios de alojamiento y suministro de infraestructura en tecnología de la información (TI)</t>
  </si>
  <si>
    <t>Implementar 1 plan de ajuste y sostenibilidad del MIPG en la UAECOB</t>
  </si>
  <si>
    <t>Contratar el alquiler de equipos tecnológicos, periféricos y servicios complementarios para la UAECOB. - TIC</t>
  </si>
  <si>
    <t>Implementar 100% del programa de arquitectura TI conforme a las necesidades de la UAECOB</t>
  </si>
  <si>
    <t>72151600;43223300;39131700;39121400</t>
  </si>
  <si>
    <t>Contratar el servicio de Mantenimiento preventivo y correctivo del cableado estructurado de voz, datos y eléctrico con suministro de repuestos para todas las sedes de la U.A.E. Cuerpo Oficial de Bomberos de Bogotá.- TIC</t>
  </si>
  <si>
    <t>O232020200883132_Servicios de soporte en tecnologías de la información (TI)</t>
  </si>
  <si>
    <t>Implementar 100% del programa de seguridad y privacidad de la información en la UAECOB alineado a la Política de Gobierno Digital</t>
  </si>
  <si>
    <t>Contratar el servicio de actualización y soporte de licenciamiento ArcGis para la UAECOB - TIC</t>
  </si>
  <si>
    <t>Habilitar 3 servicios ciudadanos digitales básicos en la UAECOBB</t>
  </si>
  <si>
    <t>81112204;81112501</t>
  </si>
  <si>
    <t>Contratar la renovación , servicio de actualización y soporte de licenciamiento Oracle para Base de Datos,  y Web Logic para la UAECOB -TIC-</t>
  </si>
  <si>
    <t>Implementar 100 % del plan de gestión de riesgo para los procesos de conocimiento y reducción en incendios, incidentes con materiales peligrosos y escenarios de riesgos</t>
  </si>
  <si>
    <t>Contratar el servicio de comunicación satelital para la UAECOB - BGAN - TIC</t>
  </si>
  <si>
    <t>O232020200884190_Otros servicios de telecomunicaciones</t>
  </si>
  <si>
    <t>Implementar 100% de un programa de mantenimiento a las estaciones de bomberos de Bogotá</t>
  </si>
  <si>
    <t>43233000;81112200</t>
  </si>
  <si>
    <t>Adición y prorroga del  Contrato No. 410 de 2021 cuyo objeto es "Contratar el servicio de soporte y mantenimiento del sistema de gestión documental para la UAECOB". - TIC</t>
  </si>
  <si>
    <t>O232020200668014_Servicios de gestión documental</t>
  </si>
  <si>
    <t xml:space="preserve">NO SECOP </t>
  </si>
  <si>
    <t>Implementar 100% de un programa de renovación de equipo menor, herramientas, accesorios y elementos de protección personal en la UAECOB</t>
  </si>
  <si>
    <t>43233000; 81112200</t>
  </si>
  <si>
    <t>Contratar el servicio de soporte y mantenimiento del sistema de gestion documental  para la UAECOB - TIC</t>
  </si>
  <si>
    <t>Implementar 100% de un programa de renovación de vehículos de la Unidad Administrativa Cuerpo Oficial de Bomberos de Bogotá</t>
  </si>
  <si>
    <t>43000000;43220000;43222500; 43230000;43233200</t>
  </si>
  <si>
    <t>Contratar la renovación del licenciamiento WAF para la UAECOB- TIC</t>
  </si>
  <si>
    <t xml:space="preserve">72151607;72103302 </t>
  </si>
  <si>
    <t>Adición al Contrato 637 de 2021 cuyo objeto es "Contratar el servicio de mantenimiento correctivo de los radios portátiles y móviles marca motorola propiedad de la UAECOB"- TIC</t>
  </si>
  <si>
    <t>NO SECOP</t>
  </si>
  <si>
    <t>Contratar el servicio de soporte del software Veeam Backup para la U.A.E. Cuerpo oficial de Bomberos de Bogotá - TIC</t>
  </si>
  <si>
    <t>Poner 3 espacios nuevos en funcionamiento para la gestión integral de riesgos, incendios, incidentes con materiales peligrosos y rescates en todas sus modalidades</t>
  </si>
  <si>
    <t>81112200;
81112201</t>
  </si>
  <si>
    <t>Contratar el servicio de soporte del sistema misional FUOCO para la UAECOB de acuerdo a lo contemplado en el anexo técnico.-TIC-</t>
  </si>
  <si>
    <t>43232300;
43232500;
43233700;
86141500;
81111800;
81112500;
86141700;
86111500;</t>
  </si>
  <si>
    <t>Contratar un servicio de acceso a la herramienta LMS E-learning, que permita el desarrollo de las capacitaciones virtuales programadas en la UAECOB. - TIC</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</si>
  <si>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</si>
  <si>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</si>
  <si>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Contratar el servicio de mantenimiento preventivo, implementación de un sistema tarifador y soporte de la plataforma tecnológica de voz y videoconferencia AVAYA propiedad de la U.A.E. Cuerpo Oficial de Bomberos de Bogotá.</t>
  </si>
  <si>
    <t>223-Implementar al 100% un (1) programa de conocimiento y reducción en la gestión de  riesgo de incendios, incidentes con materiales peligrosos y escenarios de riesgos.</t>
  </si>
  <si>
    <t>1-Implementar 100 % del plan de gestión de riesgo para los procesos de conocimiento y reducción en incendios, incidentes con materiales peligrosos y escenarios de riesgos</t>
  </si>
  <si>
    <t>Contratar la adquisición de los elementos de seguridad Electrónica para la UAECOB - TIC</t>
  </si>
  <si>
    <t>1-100-F039 VA-Crédito</t>
  </si>
  <si>
    <t>224-Implementar al 100% un programa de formación, modernización y sostenibilidad de la Unidad Administrativa Especial Cuerpo Oficial de Bomberos - UAECOB, para la respuesta efectiva en la atención de emergencias y desastres.</t>
  </si>
  <si>
    <t>5-Implementar 100% de un programa de mantenimiento a las estaciones de bomberos de Bogotá</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</si>
  <si>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</si>
  <si>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</si>
  <si>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226-Reforzar, Adecuar y Ampliar  6 estaciones de Bomberos</t>
  </si>
  <si>
    <t>7-Implementar 100% de un programa de renovación de vehículos de la Unidad Administrativa Cuerpo Oficial de Bomberos de Bogotá</t>
  </si>
  <si>
    <t>PASIVOS EXIGIBLES</t>
  </si>
  <si>
    <t>516-Gestionar el 100% de un (1) plan de adecuación y sostenibilidad de los sistemas de gestión de la Unidad Administrativa Especial Cuerpo Oficial de Bomberos</t>
  </si>
  <si>
    <t>8-Implementar 100% de un programa de suministros y consumibles para la atención de emergencias en la UAECOB</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</si>
  <si>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</si>
  <si>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</si>
  <si>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O232020200882199_Otros servicios jurídicos n.c.p.</t>
  </si>
  <si>
    <t>1-Implementar 1 plan de ajuste y sostenibilidad del MIPG en la UAECOB</t>
  </si>
  <si>
    <t>9-Ejecutar el 100% del programa de mantenimiento de vehículos y equipo menor de la UAECOB</t>
  </si>
  <si>
    <t>Prestación de servicios profesionales, en temas jurídicos de la gestión administrativa a cargo de la Subdirección de Gestión Corporativa.-SGC</t>
  </si>
  <si>
    <t>3-Poner 3 espacios nuevos en funcionamiento para la gestión integral de riesgos, incendios, incidentes con materiales peligrosos y rescates en todas sus modalidades</t>
  </si>
  <si>
    <t>Prestación de servicios profesionales en el acompañamiento y asistencia al área de gestión administrativa de la Subdirección de Gestión Corporativa, así como en el apoyo a la supervisión de los contratos que le sean asignados.-SGC</t>
  </si>
  <si>
    <t>4-Adecuar seis (6) estaciones de Bomberos</t>
  </si>
  <si>
    <t>Prestación de Servicios Profesionales para la formulación de estrategias, indicadores y acciones requeridas por la Subdirección de Gestión Corporativa en relación con los proyectos administrativos y misionales de la UAECOB.-SGC</t>
  </si>
  <si>
    <t>2-Elaborar 1 plan de preparativos y continuidad del servicio para la UAECOB ante la eventual ocurrencia de un desastre en el Distrito Capital</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</si>
  <si>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</si>
  <si>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</si>
  <si>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Prestación de servicios profesionales  a la Subdirección de Gestión Corporativa para apoyar las actividades jurídicas requeridas por esta dependencia-SGC</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</si>
  <si>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</si>
  <si>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</si>
  <si>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</si>
  <si>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</si>
  <si>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</si>
  <si>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el almacén de la Entidad.-SGC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</si>
  <si>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</si>
  <si>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</si>
  <si>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</si>
  <si>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</si>
  <si>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</si>
  <si>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55121700;
47121700;
76122300;</t>
  </si>
  <si>
    <t>Suministro de contenedores para garantizar la segregación de residuos aprovechables y no aprovechables en la fuente así como la señalización alusiva a los programas del PIGA-SGC</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</si>
  <si>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</si>
  <si>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</si>
  <si>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</si>
  <si>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</si>
  <si>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Prestar el servicio de recolección, transporte, almacenamiento, tratamiento y disposición final de residuos de elementos de uso institucional utilizados por el personal operativo de la de la UAECOB de Bogotá.-SGC</t>
  </si>
  <si>
    <t>77101600;
77101700</t>
  </si>
  <si>
    <t>Prestar los servicios para adelantar los Trámites ambientales que requiera la Unidad Administrativa Especial cuerpo oficial de Bomberos de Bogota -SGC</t>
  </si>
  <si>
    <t xml:space="preserve">Resolución </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</si>
  <si>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</si>
  <si>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</si>
  <si>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</si>
  <si>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</si>
  <si>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</si>
  <si>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</si>
  <si>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</si>
  <si>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</si>
  <si>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</si>
  <si>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</si>
  <si>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</si>
  <si>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</si>
  <si>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</si>
  <si>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Prestación de Servicios Profesionales para acompañar el mejoramiento de los procesos de presupuestales y financieros a cargo de la Subdirección de Gestión Corporativa -SGC.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</si>
  <si>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</si>
  <si>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</si>
  <si>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</si>
  <si>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</si>
  <si>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</si>
  <si>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</si>
  <si>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</si>
  <si>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 xml:space="preserve">PAGO PASIVOS EXIGIBLES Y ADICIONES CONTEMPLADAS EN EL MARCO DE GARANTIZAR LA CONTINUIDAD DE LAS ACTIVIDADES A CARGO DE LA  SUBDIRECCIÓN DE GESTIÓN CORPORATIVA </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</si>
  <si>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</si>
  <si>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</si>
  <si>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</si>
  <si>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</si>
  <si>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</si>
  <si>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</si>
  <si>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</si>
  <si>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</si>
  <si>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</si>
  <si>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</si>
  <si>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</si>
  <si>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</si>
  <si>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</si>
  <si>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</si>
  <si>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</si>
  <si>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</si>
  <si>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</si>
  <si>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</si>
  <si>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</si>
  <si>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</si>
  <si>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</si>
  <si>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</si>
  <si>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</si>
  <si>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</si>
  <si>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</si>
  <si>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</si>
  <si>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</si>
  <si>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</si>
  <si>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</si>
  <si>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</si>
  <si>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</si>
  <si>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</si>
  <si>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</si>
  <si>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</si>
  <si>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</si>
  <si>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</si>
  <si>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</si>
  <si>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</si>
  <si>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</si>
  <si>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</si>
  <si>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Contratar la elaboración de la segunda fase de la estratégia institucional de preparativos del Cuerpo Oficial de Bomberos de Bogotá, mediante un modelo para la implementación ante un evento de gran magnitud.</t>
  </si>
  <si>
    <t xml:space="preserve">Prestar servicios profesionales para apoyar a la UAECOB en el seguimiento de la construcción de la estrategia de preparativos para la entidad </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</si>
  <si>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</si>
  <si>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</si>
  <si>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</si>
  <si>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</si>
  <si>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</si>
  <si>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</si>
  <si>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</si>
  <si>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</si>
  <si>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</si>
  <si>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</si>
  <si>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</si>
  <si>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</si>
  <si>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</si>
  <si>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</si>
  <si>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</si>
  <si>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</si>
  <si>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</si>
  <si>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</si>
  <si>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Prestar servicios profesionales especializados a la Jefatura de la Oficina Asesora de Planeación en el fortalecimiento, articulación, seguimiento y gestión en el cumplimiento de las funciones asignadas a la dependencia. -OAP-</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</si>
  <si>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</si>
  <si>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</si>
  <si>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</si>
  <si>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</si>
  <si>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</si>
  <si>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</si>
  <si>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</si>
  <si>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</si>
  <si>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</si>
  <si>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</si>
  <si>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</si>
  <si>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</si>
  <si>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</si>
  <si>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</si>
  <si>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</si>
  <si>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</si>
  <si>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</si>
  <si>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</si>
  <si>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</si>
  <si>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</si>
  <si>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</si>
  <si>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</si>
  <si>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</si>
  <si>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</si>
  <si>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</si>
  <si>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</si>
  <si>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</si>
  <si>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a la Subdirección Logística, para el seguimiento, control y reporte de la información referente al impacto ambiental en desarrollo de los procesos de parque automotor y equipo menor - SBLG</t>
  </si>
  <si>
    <t>Prestar servicios profesionales en la Dirección General de la UAECOB en actividades de articulación y seguimiento a los procesos de planeación institucional y gestión estratégica, así como el fortalecimiento transversal del proceso de Academia.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</si>
  <si>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</si>
  <si>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</si>
  <si>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</si>
  <si>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</si>
  <si>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</si>
  <si>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</si>
  <si>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</si>
  <si>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</si>
  <si>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</si>
  <si>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</si>
  <si>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</si>
  <si>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</si>
  <si>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</si>
  <si>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Prestación de servicios profesionales para articular los procesos y procedimientos del Área de infraestructura, así como en el apoyo a la supervisión de los contratos que le sean asignados-SGC</t>
  </si>
  <si>
    <t>Prestar servicios profesionales para acompañar jurídicamente los procesos y procedimientos del  areá de infraestructura de la  Subdirección de Gestión Corporativa.SGC</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</si>
  <si>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</si>
  <si>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</si>
  <si>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</si>
  <si>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</si>
  <si>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</si>
  <si>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</si>
  <si>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</si>
  <si>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</si>
  <si>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</si>
  <si>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72151800;
73152100;</t>
  </si>
  <si>
    <t>Adición y prórroga No.1  al contrato 708 de 2021  con objeto "Mantenimiento preventivo y correctivo, que incluye el suministro deinsumos y repuestos de las lavadoras y secadoras industriales ubicadas en las estaciones de bomberos de la UAE Cuerpo Oficial de Bomberos deBogotá-SGC</t>
  </si>
  <si>
    <t>O232020200887151_Servicios de mantenimiento y reparación de electrodomésticos</t>
  </si>
  <si>
    <t>viabilidad 11 de mayo de 2022</t>
  </si>
  <si>
    <t>72121400;
72151700;
95121700;</t>
  </si>
  <si>
    <t>Mantenimiento preventivo y correctivo, suministro e instalación de los equipos gasodomésticos y solares, adecuación de las redes de gas natural y repuestos para las Estaciones de Bomberos de UAE Cuerpo Oficial de Bomberos SGC</t>
  </si>
  <si>
    <t>O23202020088715999_Servicio de mantenimiento y reparación de otros equipos n.c.p.</t>
  </si>
  <si>
    <t>72151800;
72151505;
73152108;</t>
  </si>
  <si>
    <t>Mantenimiento preventivo y correctivo, que incluye el suministro de insumos y repuestos de las plantas eléctricas ubicadas en los diferentes edificios de la Unidad Administrativa Especial del Cuerpo Oficial de Bomberos Bogotá D.C -SGC</t>
  </si>
  <si>
    <t>72151800;</t>
  </si>
  <si>
    <t>Adición y prórroga No.1  al contrato 629 de 2021  con objeto " Realizar el mantenimiento preventivo, correctivo y suministro de repuestos para los equipos de gimnasio instalados en las diferentes estaciones de la UAE Cuerpo Oficiales de Bomberos. -SGC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</si>
  <si>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</si>
  <si>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</si>
  <si>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</si>
  <si>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de la UAE Cuerpo Oficial de Bomberos de Bogotá – SGC</t>
  </si>
  <si>
    <t>O2320202005040554590-Otros servicios especializados de la
construcción</t>
  </si>
  <si>
    <t>80101600;
81101500;
72101500;
72121400;</t>
  </si>
  <si>
    <t>Interventoría técnica, administrativa, financiera, contable, jurídica y ambiental para la elaboración de estudios y diseños técnicos para la construcción de la estación de Bomberos de Caobos Salazar B-13  de la UAE Cuerpo Oficial de Bomberos de Bogotá – SGC</t>
  </si>
  <si>
    <t>Elaboración de estudios y diseños técnicos para la construcción de la estación de
bomberos de Ferias B-7 de la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</si>
  <si>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</si>
  <si>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</si>
  <si>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</si>
  <si>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23131500;
27111800;</t>
  </si>
  <si>
    <t>Adición y prórroga No.1  al contrato 540 de 2021  con objeto " Suministro de materiales, equipos y herramientas para el mejoramiento integral de las instalaciones de la UAE CUERPO OFICIAL DE BOMBEROS DEBOGOTÁ.-SGC</t>
  </si>
  <si>
    <t>72121400;
72151700;</t>
  </si>
  <si>
    <t xml:space="preserve">Realizar el mantenimiento predictivo, preventivo, correctivo, mejoras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</si>
  <si>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</si>
  <si>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56111900</t>
  </si>
  <si>
    <t>Adquisición e instalación del mobiliario para la estación de Marichuela B10 -SGC</t>
  </si>
  <si>
    <t xml:space="preserve">Pago de pasivos exigibles a cargo de  la Subdirección de Gestión Corporativa </t>
  </si>
  <si>
    <t>O23201010030208_Otra maquinaria para usos especiales y sus partes y piezas</t>
  </si>
  <si>
    <t xml:space="preserve">1-601-F001 - Pasivos </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</si>
  <si>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</si>
  <si>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</si>
  <si>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</si>
  <si>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44121700;
44111500;
44122000;
44122100;
14111500;</t>
  </si>
  <si>
    <t>Adición y prórroga al contrato No. 079 de 2021 con objeto"Contratar la prestación del servicio de aseo y cafetería incluido insumos para la UAE Cuerpo Oficial de Bomberos-SGC</t>
  </si>
  <si>
    <t>O232020200885330_Servicios de limpieza general</t>
  </si>
  <si>
    <t>Contratar la prestación del servicio de aseo y cafetería incluído insumos para la UAE Cuerpo Oficial de Bomberos-SGC</t>
  </si>
  <si>
    <t>81101500, 80101600;</t>
  </si>
  <si>
    <t>Elaboración de estudios y diseños técnicos para la actualización de diseños de las redes hidráulicas, sanitarias y pluviales de la estación de bomberos de bicentenario de conformidad a la normatividad vigente establecida por la empresa de acueducto de Bogotá-SGC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</si>
  <si>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</si>
  <si>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</si>
  <si>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</si>
  <si>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72102900
72121400;
72151700;
56101500;
72121400;
72151700;
95121700
56111900;</t>
  </si>
  <si>
    <t>Realizar el mejoramiento y dotación de las instalaciones del predio la Alemana para  la academia de la U.A.E Cuerpo Oficial de Bomberos Bogotá D.C-SGC</t>
  </si>
  <si>
    <t>225-Poner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</si>
  <si>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</si>
  <si>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</si>
  <si>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</si>
  <si>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</si>
  <si>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</si>
  <si>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</si>
  <si>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</si>
  <si>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</si>
  <si>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</si>
  <si>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</si>
  <si>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</si>
  <si>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</si>
  <si>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</si>
  <si>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</si>
  <si>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</si>
  <si>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86101600; 86101700; 86101800; 86111600; 86141500; 86121800</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</si>
  <si>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</si>
  <si>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</si>
  <si>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SGH - Suministro de un sistema de simulación de entrenamiento en manejo de desastres.</t>
  </si>
  <si>
    <t>SGH - Garantizar los recursos para viáticos y tiquetes del personal</t>
  </si>
  <si>
    <t>SGH - Garantizar los Recursos para movilización del Personal para emergencias</t>
  </si>
  <si>
    <t>SGH - Prestar servicios para soportar las actividades de la dependencia.</t>
  </si>
  <si>
    <t>25101700;
25101900;
92101601;
92101603;
92101604</t>
  </si>
  <si>
    <t>Adquisición de vehículos operativos para la atención de emergencias - Subdirección Operativa</t>
  </si>
  <si>
    <t>46181500;
46181600;
48181700;
46181800;
46181900;
46182000;
46182100;
46182200;
46182300;
46182400;
46182500;
46191500;
46191600</t>
  </si>
  <si>
    <t>Adquisición de elementos de protección personal (E.P.P.) para la atención de emergencias. - Subdirección Operativa</t>
  </si>
  <si>
    <t>6-Implementar 100% de un programa de renovación de equipo menor, herramientas, accesorios y elementos de protección personal en la UAECOB</t>
  </si>
  <si>
    <t xml:space="preserve">46191500;
46191600;
25111500;
26101500 </t>
  </si>
  <si>
    <t>Adquisición de equipos, herramientas y accesorios (E.H.A.´s) para la atención de emergencias. - Subdirección Operativa</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</si>
  <si>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</si>
  <si>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</si>
  <si>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</si>
  <si>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</si>
  <si>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</si>
  <si>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</si>
  <si>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</si>
  <si>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</si>
  <si>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</si>
  <si>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</si>
  <si>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</si>
  <si>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</si>
  <si>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</si>
  <si>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</si>
  <si>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</si>
  <si>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</si>
  <si>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</si>
  <si>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</si>
  <si>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</si>
  <si>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</si>
  <si>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</si>
  <si>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</si>
  <si>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</si>
  <si>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</si>
  <si>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</si>
  <si>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</si>
  <si>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</si>
  <si>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40101700
45121500
43211700
25131700</t>
  </si>
  <si>
    <t>Contratar el sistema de detección temprana de incendios forestales mediante equipos tecnológicos para las zonas de cobertura vegetal del distrito capital_FASE 1_SGR</t>
  </si>
  <si>
    <t>11161700;  53101600;  53102500 ; 53102700 ; 53103000 ;   73141700;
73141500; 73151500</t>
  </si>
  <si>
    <t>Adquisición de elementos de identificación institucional para el programa de Bomberitos_SGR.</t>
  </si>
  <si>
    <t xml:space="preserve">viabilidad mayo 3 de 2022 </t>
  </si>
  <si>
    <t>80141900
90111500
90111600
80141900</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</si>
  <si>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</si>
  <si>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43211900
43232400
43232200
43211700
43232100
43211500</t>
  </si>
  <si>
    <t>Contratar el Diseño de Escenarios en Realidad Virtual para el Desarrollo de Capacitaciones dirigidas a las Brigadas de Emergencia_SGR</t>
  </si>
  <si>
    <t xml:space="preserve">76122304 
76122404 
76122203 
76121502 
76121901 
76131701 
76121902 </t>
  </si>
  <si>
    <t>Prestación de servicio para la recolección y disposición final de residuos huérfanos para la UAE Cuerpo Oficial de Bomberos_SGR</t>
  </si>
  <si>
    <t>60121104
60121708
44111515
24121503
24112404
31201512
12352104</t>
  </si>
  <si>
    <t>Adquisición de insumos y materias primas para la producción de impresos de artes gráficas_ SGR.</t>
  </si>
  <si>
    <t>39111600; 39111700; 3911900</t>
  </si>
  <si>
    <t>Adquisicion de equipos de iluminacion para la investigacion de incendios_SGR</t>
  </si>
  <si>
    <t>Prestar servicios profesionales para el desarrollo de actividades de planeación y desarrollo de programas y proyectos para la Subdirección de Gestión del Riesgo._SGR</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</si>
  <si>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</si>
  <si>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</si>
  <si>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</si>
  <si>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SI - 25-07-2022</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</si>
  <si>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</si>
  <si>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</si>
  <si>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</si>
  <si>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</si>
  <si>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</si>
  <si>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</si>
  <si>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</si>
  <si>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SI - 26-07-2022</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</si>
  <si>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</si>
  <si>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</si>
  <si>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</si>
  <si>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</si>
  <si>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</si>
  <si>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</si>
  <si>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</si>
  <si>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</si>
  <si>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</si>
  <si>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</si>
  <si>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</si>
  <si>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</si>
  <si>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</si>
  <si>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</si>
  <si>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</si>
  <si>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</si>
  <si>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</si>
  <si>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</si>
  <si>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</si>
  <si>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</si>
  <si>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</si>
  <si>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</si>
  <si>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</si>
  <si>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O232020200883590_Otros servicios veterinarios</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</si>
  <si>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</si>
  <si>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</si>
  <si>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</si>
  <si>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</si>
  <si>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</si>
  <si>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</si>
  <si>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</si>
  <si>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</si>
  <si>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Suministrar elementos de protección personal y desinfección para evitar el contagio y propagación del coronavirus COVID-19.</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</si>
  <si>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</si>
  <si>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</si>
  <si>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</si>
  <si>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</si>
  <si>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</si>
  <si>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</si>
  <si>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</si>
  <si>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</si>
  <si>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Mantenimiento Correctivo y Preventivo de los Equipos Menores con suministro, repuestos, accesorios e insumo</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</si>
  <si>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</si>
  <si>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</si>
  <si>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</si>
  <si>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</si>
  <si>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Suministro de espuma y concentrado de espuma y adquisición, mantenimiento y recarga de extintores, cilindros y tanques de las maquinas extintoras.</t>
  </si>
  <si>
    <t>Contratar el servicio de Transporte Especial Terrestre, para la ejecución de actividades inherentes a la misionalidad de la Unidad Administrativa Especial Cuerpo Oficial de Bomberos de Bogotá.</t>
  </si>
  <si>
    <t>O232020200664116_Servicios de alquiler de automóviles con conductor</t>
  </si>
  <si>
    <t>Pago de pasivos exigibles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</si>
  <si>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</si>
  <si>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</si>
  <si>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</si>
  <si>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</si>
  <si>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</si>
  <si>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</si>
  <si>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</si>
  <si>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</si>
  <si>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</si>
  <si>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</si>
  <si>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</si>
  <si>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</si>
  <si>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profesionales para apoyar a la subdirección logística en el seguimiento a indicadores, contratos, proyectos de inversión y desarrollo de actividades presupuestales a cargo de esta dependencia.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</si>
  <si>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</si>
  <si>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</si>
  <si>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</si>
  <si>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</si>
  <si>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</si>
  <si>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</si>
  <si>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</si>
  <si>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</si>
  <si>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</si>
  <si>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</si>
  <si>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</si>
  <si>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</si>
  <si>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</si>
  <si>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</si>
  <si>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</si>
  <si>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</si>
  <si>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</si>
  <si>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</si>
  <si>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</si>
  <si>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</si>
  <si>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</si>
  <si>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</si>
  <si>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</si>
  <si>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</si>
  <si>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</si>
  <si>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</si>
  <si>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</si>
  <si>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</si>
  <si>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Suministro  de implementos  de  papelería y oficina para las dependencias de la UAE Cuerpo  Oficial de Bomberos-SGC</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</si>
  <si>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</si>
  <si>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</si>
  <si>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</si>
  <si>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</si>
  <si>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</si>
  <si>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</si>
  <si>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</si>
  <si>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</si>
  <si>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</si>
  <si>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</si>
  <si>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84131600; 
84131500;
84131600;</t>
  </si>
  <si>
    <t>Contratar el programa integral de seguros-SGC</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</si>
  <si>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</si>
  <si>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</si>
  <si>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</si>
  <si>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</si>
  <si>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Prestar el servicio de vigilancia y seguridad privada en la modalidad de vigilancia fija, según especificaciones técnicas, en las instalaciones donde la UAE Especial Cuerpo Oficial de Bomberos requiera-SGC</t>
  </si>
  <si>
    <t>72154010;
72101506;</t>
  </si>
  <si>
    <t>Mantenimiento ascensor nueva Estación de Bomberos de Fontibón-SGC</t>
  </si>
  <si>
    <t>72101506;</t>
  </si>
  <si>
    <t>Adición y prórroga al contrato No. 304 de 2021 con objeto "Mantenimiento correctivo y preventivo con suministro de repuestos para los Ascensores Edificio Comando. -SGC"</t>
  </si>
  <si>
    <t>Mantenimiento correctivo y preventivo con suministro de repuestos para los Ascensores Edificio Comando-SGC</t>
  </si>
  <si>
    <t>Contratar el servicio de saneamiento ambiental y el servicio de poda y jardinería para las áreas verdes en las 18 sedes de la UAECOB-SGC</t>
  </si>
  <si>
    <t>Prestar los servicios profesionales jurídicos especializados en el desarrollo de las funciones de la Oficina Asesora Jurídica.</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</si>
  <si>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</si>
  <si>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</si>
  <si>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</si>
  <si>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</si>
  <si>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53102700;
53111601; 
3111602;</t>
  </si>
  <si>
    <t>Adquisición de uniformes</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</si>
  <si>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</si>
  <si>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</si>
  <si>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901016; 
901116; 
901417; 
901517</t>
  </si>
  <si>
    <t>Contratar la Prestación de Servicios para desarrollar el Plan de Bienestar de la UAE Cuerpo Oficial de Bomberos para la Vigencia 2022.</t>
  </si>
  <si>
    <t>no requiere</t>
  </si>
  <si>
    <t>Incentivos</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</si>
  <si>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</si>
  <si>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</si>
  <si>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</si>
  <si>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</si>
  <si>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</si>
  <si>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</si>
  <si>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43233205;</t>
  </si>
  <si>
    <t>Contratar la adquisición de los certificados digitales de seguridad SSL para los sistemas de información y   las firmas digitales de la U.A.E Cuerpo Oficial de Bomberos de Bogotá – TIC</t>
  </si>
  <si>
    <t xml:space="preserve">Contratar la adquisición de certificado de firma digital función pública, con su respectivo dispositivo criptográfico de almacenamiento del certificado digital. </t>
  </si>
  <si>
    <t>81112213; 
81112501;</t>
  </si>
  <si>
    <t>Adición y prórroga contrato 455 de 2021 cuyo objeto es "Prestar los servicios de mantenimiento, soporte técnico, mejoras y actualizaciones del aplicativo PCT utilizado por la UEACOB."</t>
  </si>
  <si>
    <t xml:space="preserve">81112213; 
81112501; </t>
  </si>
  <si>
    <t>Contratar el servicio de soporte técnico a distancia del aplicativo PCT, utilizado por la U.A.E Cuerpo Oficial de Bomberos Bogota - TIC</t>
  </si>
  <si>
    <t>81112222;</t>
  </si>
  <si>
    <t>Prestar los servicios de mantenimiento, soporte técnico, mejoras y actualizaciones de Aranda utilizado por la UEACOB.</t>
  </si>
  <si>
    <t>81112501; 
43232102; 
43232103; 
43231512;</t>
  </si>
  <si>
    <t>"Contratar  la suscripción de licencias Suite Adobe para la U.A.E Cuerpo Oficial de Bomberos de Bogotá"</t>
  </si>
  <si>
    <t>81111811;</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</si>
  <si>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</si>
  <si>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81112000;</t>
  </si>
  <si>
    <t>Adición y prórroga contrato 084 de 2021 cuyo objeto es "Contratar los servicios de canales de datos dedicados para la infraestructura LAN de Internet para la UAE Cuerpo Oficial de Bomberos de Bogotá."</t>
  </si>
  <si>
    <t>81112100;</t>
  </si>
  <si>
    <t>Contratar los servicios de canales de datos dedicados para la infraestructura LAN de Internet para la UAE Cuerpo Oficial de Bomberos de Bogotá.</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</si>
  <si>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</si>
  <si>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</si>
  <si>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</si>
  <si>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</si>
  <si>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</si>
  <si>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</si>
  <si>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</si>
  <si>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</si>
  <si>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</si>
  <si>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Prestar servicios profesionales para llevar acabo el soporte de primer nivel a los recursos tecnológicos de la Entidad.-TIC-</t>
  </si>
  <si>
    <t>43232300; 
43232500;
43233700;
86141500;
81111800;
81112500;
86141700;
86111500;</t>
  </si>
  <si>
    <t>Contratar un servicio de acceso a la herramienta LMS E-learning, que permita el desarrollo de las capacitaciones virtuales programadas en la UAECOB._SGR</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</si>
  <si>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</si>
  <si>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OTROS SERVICIO DE COMIDAS CONTRATADAS (Pasivos Exigibles)</t>
  </si>
  <si>
    <t xml:space="preserve">OTROS EQUIPOS  (Pasivos Exigibles)
</t>
  </si>
  <si>
    <t>O23201010030807         Otros equipos</t>
  </si>
  <si>
    <t>SERVICIO DE MANTENIMIENTO Y REPARACIÓN DE OTROS EQUIPOS  (Pasivos Exigibles)</t>
  </si>
  <si>
    <t>ALIMENTOS PARA PERROS  (Pasivos Exigibles)</t>
  </si>
  <si>
    <t>O2320201002032331101    Alimentos para perros</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</si>
  <si>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</si>
  <si>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</si>
  <si>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</si>
  <si>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</si>
  <si>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</si>
  <si>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</si>
  <si>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xml:space="preserve"> 46181900;
 46181901</t>
  </si>
  <si>
    <t>Adquirir elementos de protección personal para prevenir la aparición de enfermedades ocupacionales en el oido en el personal de la UAE cuerpo oficial de bomberos.</t>
  </si>
  <si>
    <t>56101500;561217</t>
  </si>
  <si>
    <t>Adquisición de mobiliario para las diferentes estaciones de la UAE Cuerpo Oficial de Bomberos – SGC</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</si>
  <si>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</si>
  <si>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</si>
  <si>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UAECOB</t>
  </si>
  <si>
    <t>Adquisición de un equipo de montacargas para la bogeda forestal de la estación de Bomberos Bellavista B9-SGC</t>
  </si>
  <si>
    <t>Adición y prórroga al Contrato 393 de 2021 cuyo objeto es " Contratar el alquiler de equipos tecnológicos, periféricos y servicios complementarios para la UAECOB"</t>
  </si>
  <si>
    <t xml:space="preserve">viabilidad 21 de abril 2022 </t>
  </si>
  <si>
    <t>Adición y prórroga al Contrato 394 de 2021 cuyo objeto es "  Contratar el alquiler de equipos tecnológicos, periféricos y servicios complementarios para la UAECOB"</t>
  </si>
  <si>
    <t>viabilidad mayo 11 por menor valor 363.521.602</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</si>
  <si>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</si>
  <si>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</si>
  <si>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</si>
  <si>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</si>
  <si>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</si>
  <si>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</si>
  <si>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la adquisición y actualización tecnológica de los equipos activos y accesorios en la U.A.E Cuerpo Oficial de Bomberos de Bogota. - TIC</t>
  </si>
  <si>
    <t xml:space="preserve">viabilidad mayo 9 de 2022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</si>
  <si>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</si>
  <si>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</si>
  <si>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sus servicios a la Subdirección de Gestión del Riesgo en las actividades de Caracterización y Análisis de Escenarios de Riesgo._SGR</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</si>
  <si>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</si>
  <si>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</si>
  <si>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</si>
  <si>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</si>
  <si>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</si>
  <si>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</si>
  <si>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</si>
  <si>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</si>
  <si>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</si>
  <si>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</si>
  <si>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60141000
60141100
60141200
60141400
73101500
73151500</t>
  </si>
  <si>
    <t>Adquisición de elementos de apoyo didáctico y pedagógico para actividades, programas y campañas requeridas en la Subdirección de Gestión del Riesgo_SGR</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</si>
  <si>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</si>
  <si>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</si>
  <si>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</si>
  <si>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</si>
  <si>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</si>
  <si>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</si>
  <si>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Prestar servicios profesionales para el desarrollo de programas, campañas y proyectos para la Subdirección de Gestión del Riesgo._SGR</t>
  </si>
  <si>
    <t>viabilidad 28 de junio de 2022</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</si>
  <si>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</si>
  <si>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</si>
  <si>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</si>
  <si>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81112001;
81112002; 
32101656; 
25173107;</t>
  </si>
  <si>
    <t>Adición y prórroga al Contrato 672 de 2021 cuyo objeto es "Prestar el servicio de monitoreo, control y seguimiento satelital a los vehículos de propiedad de la UAECOB"</t>
  </si>
  <si>
    <t>81111500
43233200
43233700</t>
  </si>
  <si>
    <t>Contratar los desarrollos, implementaciones y puestas en producción de sistemas de información nuevos y existentes requeridos por la U.A.E. Cuerpo Oficial de Bomberos de Bogotá conforme a las especificaciones técnicas</t>
  </si>
  <si>
    <t>SGH - Prestar sus servicios profesionales en la Subdirección de Gestión Humana.</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</si>
  <si>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</si>
  <si>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</si>
  <si>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</si>
  <si>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</si>
  <si>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</si>
  <si>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</si>
  <si>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</si>
  <si>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</si>
  <si>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</si>
  <si>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</si>
  <si>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</si>
  <si>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</si>
  <si>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</si>
  <si>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 xml:space="preserve">	
81101500;
80101600; </t>
  </si>
  <si>
    <t>Adición y prórroga al contrato 699 de 2021 que tiene como objeto" Interventoría técnica, administrativa, financiera, contable, jurídica,SST y ambiental al mantenimiento predictivo, preventivo, correctivo,adecuaciones, mejoras y dotación a las instalaciones de lasdependenciasde la Unidad Administrativa Especial Cuerpo Oficial deBomberos De Bogotá D.C - SGC"</t>
  </si>
  <si>
    <t xml:space="preserve">72102900;
72154000;
72101500;
</t>
  </si>
  <si>
    <t>Adición y prórroga al contrato 716 de 2021 que tiene como objeto" Realizar el mantenimiento predictivo, preventivo, correctivo,adecuaciones, mejoras y dotación a las instalaciones de las dependenciasde la Unidad Administrativa Especial Cuerpo Oficial de Bomberos DeBogotá D.C. - SGC</t>
  </si>
  <si>
    <t>CCE-02_Licitación pública</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</si>
  <si>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</si>
  <si>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</si>
  <si>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</si>
  <si>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</si>
  <si>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Prestar los servicios como conductor de  la Subdireccion de Gestion Corporativa -SGC</t>
  </si>
  <si>
    <t>SI - 27-05-2022</t>
  </si>
  <si>
    <t>43210000;43230000;43212100;43233400</t>
  </si>
  <si>
    <t>Contratar la adquisición de un equipo de impresión con el  software para la gestión, creación y edición de carnet institucional,  para material en PVC, consumibles y puesta en funcionamiento, para la Unidad Administrativa Especial Cuerpo Oficial de Bomberos de Bogotá.</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</si>
  <si>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</si>
  <si>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</si>
  <si>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</si>
  <si>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</si>
  <si>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</si>
  <si>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</si>
  <si>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Contratar la adquisición de los elementos de seguridad Electronica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</si>
  <si>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</si>
  <si>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Prestar por sus propios medios, con autonomía técnica y administrativa sus servicios profesionales para brindar acompañamiento jurídico a la Subdirección Logística, en la proyección de solicitudes dirigidas a autoridades administrativas y en la sustanciación de respuestas a PQR´S y requerimientos efectuados por los entes de control y autoridades administrativas, en el marco de los procesos y procedimientos a cargo de la dependencia.</t>
  </si>
  <si>
    <t>Adición y prórroga al contrato 399-2022: Prestar los servicios de apoyo administrativo a la Unidad Administrativa, para atender respuestas a requerimientos, consolidacion de la informacion y articulacion de la informacion entre las dependencias</t>
  </si>
  <si>
    <t>SI - 22-07-2022</t>
  </si>
  <si>
    <t>Prestar los servicios profesionales para apoyar las actividades técnicas del área de infraestructura de la Subdireccion de Gestión Corporativa-SGC</t>
  </si>
  <si>
    <t xml:space="preserve"> Adición y prórroga al contrato 429 de 2022 que tiene como objeto "Suministro de insumos para las impresoras de las estaciones de la UAE Cuerpo Oficial de Bomberos -SGC</t>
  </si>
  <si>
    <t>Adición y Prórroga No. 2 al contrato 598 de 2021 que tiene como objeto" Contratar el paquete integral de seguros-SGC"</t>
  </si>
  <si>
    <t>1.5</t>
  </si>
  <si>
    <t>Adición al Contrato 614 de 2021 cuyo objeto es "Contratar el Mantenimiento de UPS en la UAECOB" - TIC</t>
  </si>
  <si>
    <t>Prestar servicios de apoyo a la gestión para actualizar y depurar el inventario de los elementos tecnológicos adquiridos por la Oficina Asesora de Planeación UAECOB -OAP-</t>
  </si>
  <si>
    <t>Prestar servicios de apoyo a la gestión para realizar actividades de soporte de primer nivel a los recursos tecnológicos y la administración al sistema de gestión de servicios utilizados por la UAE Cuerpo Oficial de Bomberos- TIC</t>
  </si>
  <si>
    <t>Realizar las actividades necesarias para la creación del pabellón del conocimiento de la entidad en el marco de la implementación y sostenibilidad de la política de la gestión del conocimiento y la innovación para la UAE Cuerpo Oficial de Bomberos de Bogotá -OAP-</t>
  </si>
  <si>
    <t>Prestar por sus propios medios con plena autonomía técnica y administrativa, sus servicios profesionales a la Subdirección Logistica de la UAE Cuerpo Oficial de Bomberos de Bogota D.C., para la generación de informes técnicos a partir de las fallas presentadas en los vehículos que hacen parte del parque automotor de la entidad y de las intervenciones efectuadas por los proveedores que les prestan el servicio de mantenimiento preventivo y correctivo a la UAE Cuerpo Oficial de Bomberos de Bogota D.C.</t>
  </si>
  <si>
    <t>SGH - Prestar servicios profesionales en la Subdirección de Gestión Humana, para el fortalecimiento trasversal del proceso de Academia.</t>
  </si>
  <si>
    <t xml:space="preserve"> Adición y prórroga al contrato No. 322 de 2022, cuyo objeto es "SGH - Prestar servicios profesionales para la gestión de los diferentes procesos de la Subdirección de Gestión Humana".</t>
  </si>
  <si>
    <t>Adición al contrato No. 032 de 2022, cuyo objeto es "SGH - Prestar sus servicios profesionales en los procesos de contratación y calidad de la Subdirección de Gestión Humana de la UAE Cuerpo Oficial de Bomberos de Bogotá D.C."</t>
  </si>
  <si>
    <t>Adición al contrato No. 145 de 2022, cuyo objeto es "SGH - Prestar servicios profesionales para apoyar el programa de vigilancia epidemiológico al riesgo psicosocial y actividades de seguridad y salud en el trabajo en la Subdirección de Gestión Humana."</t>
  </si>
  <si>
    <t>Adición al contrato No. 154 de 2022, cuyo objeto es "SGH - Ejecutar actividades de apoyo a la gestión en  la Subdirección de Gestión Humana de la UAE Cuerpo Oficial de Bomberos de Bogotá D.C. en lo relacionado con los procesos de actualización, custodia y manejo del archivo de gestión de la Subdirección.</t>
  </si>
  <si>
    <t>Adquirir vehículo para cubrir la necesidad Misional de la UAE Cuerpo Oficial de Bomberos en la prestación de los servicios relacionados en la atención de emergencias, logística y procesos de gestión del riesgo._SGR</t>
  </si>
  <si>
    <t>24112209 
40101700
40101500
30141600
30141605
24112800</t>
  </si>
  <si>
    <t>Contratar la solucion integral para la puesta en funcionamiento de los escenarios de capacitación y entrenamiento especializado de la UAE Cuerpo Oficial de Bomberos de Bogotá_SGR</t>
  </si>
  <si>
    <t>Adquisicion de elementos para pista de entrenamiento del grupo canino BRAE de la UAE Cuerpo Oficial de Bomberos de Bogotá_SGR</t>
  </si>
  <si>
    <t>56101500
44103100
49121500
49121600
52152000
56101600
47121700
48101500
95131700</t>
  </si>
  <si>
    <t>Adquisicion de elementos de apoyo para el Grupo GAO de la Subdireccion de Gestion del Riesgo_SGR.</t>
  </si>
  <si>
    <t>72102900;
72103300;
72152700;
72153700;
72101500;</t>
  </si>
  <si>
    <t>Adecuación del parqueadero del edificio comando, para desarrollar la zona de movilidad sostenible en concordancia con el proyecto de sostenibilidad institucional._SGR</t>
  </si>
  <si>
    <t>Prestación de servicios profesionales en la Subdirección de Gestión Corporativa en las actividades relacionadas con respuestas, planes y demás a entes de control, así como las demás acciones encaminadas al desarrollo de MIPG y, por ende, al Sistema Integrado de Gestión SGC"</t>
  </si>
  <si>
    <t>Prestación de servicios profesionales en la Subdirección de Gestión Corporativa adelantando las actividades necesarias para la ejecución del programa y los procesos de seguros de la Entidad. - SGC</t>
  </si>
  <si>
    <t>Prestación de servicios de apoyo a la gestión a la Subdirección de Gestión Corporativa para el cumplimiento de las funciones asignadas a esta dependencia, especialmente las tareas de tipo administrativo relacionadas con asuntos disciplinarios. - SGC"</t>
  </si>
  <si>
    <t>Prestación de servicios profesionales para apoyar a la Subdirección de Gestión Corporativa en las actividades administrativas, seguros, compras e inventarios-SGC</t>
  </si>
  <si>
    <t>Prestación de servicios profesionales jurídicos para apoyar la gestión de los procesos disciplinarios que se adelanten en la UAECOB y que se encuentran a cargo de la Subdirección de Gestión Corporativa - SGC</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</si>
  <si>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t>
  </si>
  <si>
    <t>Adición y prórroga No. 2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</si>
  <si>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 xml:space="preserve"> Adición y prórroga al Contrato 273 de 2022 cuyo objeto es " Prestar los servicios profesionales para liderar jurídicamente la gestión derivada de sus procesos y el trámite de la actividad contractual, relacionados con las funciones de la Oficina Asesora de Planeación -OAP-"</t>
  </si>
  <si>
    <t>Adición y prórroga al Contrato 374 de 2022 cuyo objeto es " Prestar servicios profesionales para apoyar la articulación de las dependencias con la planeación institucional y la gestión estratégica definida por la Alta Dirección en la UAECOB -OAP- "</t>
  </si>
  <si>
    <t>Adición y prórroga al Contrato 267 de 2022 cuyo objeto es " Prestar servicios profesionales para el diseño de las estrategias audiovisuales que permitan el uso y apropiación del MIPG en la UAECOB -OAP- “</t>
  </si>
  <si>
    <t>Adición y prórroga al Contrato 420 de 2022 cuyo objeto es " Prestar servicios profesionales para apoyar a la oficina asesora de planeación en la formulación, seguimiento y control presupuestal y estratégico de los proyectos de inversión de la Entidad.-OAP</t>
  </si>
  <si>
    <t>Adición y prórroga al Contrato 271 de 2022 cuyo objeto es " Prestar servicios profesionales en la Oficina Asesora de Planeación para apoyar a las dependencias en el fortalecimiento a la sostenibilidad y mejoramiento del Sistema de Gestión de Calidad en lo relacionado con el cumplimiento de las dimensiones y políticas MIPG -OAP"</t>
  </si>
  <si>
    <t>Adición y prórroga al Contrato 102 de 2022 cuyo objeto es " Prestar servicios profesionales para apoyar a la Oficina Asesora de Planeación en la estructuración, seguimiento y reporte de los Proyectos, Planes y Programas de la entidad -OAP "</t>
  </si>
  <si>
    <t>Adición y prórroga al Contrato 419 de 2022 cuyo objeto es " Prestar los servicios profesionales para la administración, procesamiento y análisis de la información estadística generada por la entidad en lo relacionado con las funciones asignadas a la Oficina Asesora de Planeación -OAP- “</t>
  </si>
  <si>
    <t>Adicion y prorroga al contrato 079 de 2022 "Prestar servicios de apoyo a la gestión como técnico en la Oficina de Control Interno para ejecutar procesos y procedimientos administrativos y asistenciales teniendo en cuenta el Plan Anual de Auditorías"</t>
  </si>
  <si>
    <t>Adicion y prorroga al contrato 130 de 2022 "Prestar los servicios profesionales en la Oficina de Control Interno para el desarrollo del Plan Anual de Auditorias"</t>
  </si>
  <si>
    <t>Adicion y prorroga al contrato 060 de 2022"Prestar los servicios profesionales en la Oficina de Control Interno para el desarrollo del Plan Anual de Auditorias"</t>
  </si>
  <si>
    <t>Adicion y prorroga al contrato 131 de 2022 "Prestar los servicios profesionales en la Oficina de Control Interno para el desarrollo del Plan Anual de Auditorias"</t>
  </si>
  <si>
    <t>Adicion y prorroga al contrato  132 de 2022" Prestar los servicios profesionales en la Oficina de Control Interno para el desarrollo del Plan Anual de Auditorias"</t>
  </si>
  <si>
    <t>Adición y prórroga al contrato No. 146 de 2022, cuyo objeto es "SGH - Prestar sus servicios profesionales en los procesos de la Subdirección de Gestión Humana de la UAE Cuerpo Oficial de Bomberos."</t>
  </si>
  <si>
    <t>24112800
30101804
56101500
72152909
95131600
30101715
30265801
30102315
31111510
76122309
95131503
30241602 
30241603
30191502</t>
  </si>
  <si>
    <t>Suministro, adecuación y montaje de un escenario para capacitación y entrenamiento de los procesos misionales de la Subdirección de Gestión del Riesgo. _SGR</t>
  </si>
  <si>
    <t>ADICION Y PRORROGA CTO 062 "Prestar servicios profesionales para el desarrollo de actividades de planeación y desarrollo de programas y proyectos para la Subdirección de Gestión del Riesgo._SGR"</t>
  </si>
  <si>
    <t>ADICION Y PRORROGA CTO 176 "Prestar servicios profesionales en las actividades del MIPG de la Subdirección de Gestión del riesgo."_SGR</t>
  </si>
  <si>
    <t>ADICION Y PRORROGA CTO 334 "Prestar servicios de apoyo a la gestión en las actividades de soporte operacional de la UAECOB."_SGR</t>
  </si>
  <si>
    <t>Prestar servicios asistenciales y de apoyo a la gestión para el desarrollo de actividades administrativas y procesos de gestión documental de la Oficina Asesora de Planeación- TIC</t>
  </si>
  <si>
    <t>Prestar servicios profesionales para apoyar en la estructuración de la segunda (II) etapa relacionada con la elaboración de la estrategia de preparación de respuesta institucional a largo plazo y su articulación con los instrumentos de planeación de la U.A.E. Cuerpo Oficial de Bomberos Bogotá</t>
  </si>
  <si>
    <t>Adición y prórroga al Contrato 375 de 2022 cuyo objeto es " Prestar Servicios Profesionales como administrador de los sistemas de información de la UAECOB -TIC-"</t>
  </si>
  <si>
    <t>-</t>
  </si>
  <si>
    <t>Insumos y medicamentos veterinarios e intervenciones quirurgicas para el grupo brae- pago de pasivo</t>
  </si>
  <si>
    <t>Prestar servicios de apoyo a la gestion en la subdireccion logistica en el marco de los procesos y rocedimientos a cargo de la dependencia-pago de pasivo</t>
  </si>
  <si>
    <t>Suministro de herramientas, utensilios y materiales de hierro, otros metales y lastico para soporte en la atencion de emergencias - pago de pasivo</t>
  </si>
  <si>
    <t>Adición y prórroga al Contrato 416 de 2022 cuyo objeto es " Prestar servicios profesionales como Gestor de la Seguridad Informática para administrar y salvaguardar el cumplimiento de los controles tecnológicos, comunicaciones y de seguridad y privacidad de la información en la UAECOB –TIC</t>
  </si>
  <si>
    <t>Adición y prórroga al Contrato 041 de 2022 cuyo objeto es " Prestación de servicios profesionales como Oficial de Seguridad de la Información en la UAECOB -</t>
  </si>
  <si>
    <t>Adición y prórroga al Contrato 373 de 2022 cuyo objeto es " Prestación de Servicios Profesionales como gestor de la Política de Gobierno Digital y Transformación Digital en la UAECOB -TIC-</t>
  </si>
  <si>
    <t>Adición y prórroga al Contrato 413 de 2022 cuyo objeto es " Prestar servicios profesionales para la administración y almacenamiento de los servidores en la UAECOB -TIC</t>
  </si>
  <si>
    <t>Adición y prórroga al Contrato 377 de 2022 cuyo objeto es " Prestar los servicios profesionales para el desarrollo de los procesos contractuales y administrativos de carácter jurídico que se desarrollen en la Oficina Asesora de Planeación#. -TIC-,</t>
  </si>
  <si>
    <t xml:space="preserve">Adición y prórroga al Contrato 049 de 2022 cuyo objeto es " Prestar los servicios profesionales administrativos y financieros en el apoyo a las actividades precontractuales, contractuales y poscontractuales relacionados con los procesos de la OAP -TIC"- </t>
  </si>
  <si>
    <t xml:space="preserve">Adición y prórroga al Contrato 076 de 2022 cuyo objeto es " Prestar Servicios de apoyo a la gestión como técnico en infraestructura tecnológica para la gestión de los servicios tecnológicos de la UAECOB que le sean designados. -TIC- </t>
  </si>
  <si>
    <t>Adición y prórroga al Contrato 386 de 2022 cuyo objeto es " Prestar Servicios Profesionales para coordinar y gestionar los servicios de los sistemas de información con los que cuenta la UAECOB -TIC- “</t>
  </si>
  <si>
    <t>Prestar servicios profesionales en la revisión, edición y generación de contenidos digitales y audiovisuales suministrados por las diferentes oficinas y dependencias en las plataformas digitales de la entidad-TIC</t>
  </si>
  <si>
    <t>Implementar al 100% una estrategia de fortalecimiento de los sistemas de información para optimizar la gestión del Cuerpo Oficial de Bomberos</t>
  </si>
  <si>
    <t>Adquisicion de equipos y escenarios de Realidad Virtual  para el Desarrollo de Capacitaciones misionales de la UAE Cuerpo Oficial de Bomberos de Bogotá_SGR</t>
  </si>
  <si>
    <t>Adecuacion de pista de entrenamiento del grupo canino BRAE de la UAE Cuerpo Oficial de Bomberos de Bogotá_SGR</t>
  </si>
  <si>
    <t>Prestación de servicios para calcular la huella de emisión de carbono de conformidad con los requisitos técnicos establecidos por la UAE Cuerpo Oficial de Bomberos de Bogotá_SGR</t>
  </si>
  <si>
    <t>Adición y prórroga al contrato No. 020 de 2022, cuyo objeto es "SGH - Prestar servicios de apoyo en la Subdirección de Gestión Humana de la UAE Cuerpo Oficial de Bomberos en el proceso de ausentismos del personal"</t>
  </si>
  <si>
    <t>Adición y prórroga al contrato No. 030 de 2022, cuyo objeto es "SGH - Prestar servicios profesionales en la Subdirección de Gestión Humana de la UAE Cuerpo Oficial de Bomberos en temas de Administración de Personal"</t>
  </si>
  <si>
    <t>Adición y prórroga al contrato No. 072 de 2022, cuyo objeto es "SGH - Prestar servicios profesionales para apoyar el programa de vigilancia epidemiológico al riesgo psicosocial y actividades de seguridad y salud en el trabajo en la Subdirección de Gestión Humana"</t>
  </si>
  <si>
    <t>Adición y prórroga al contrato No. 043 de 2022, cuyo objeto es "SGH - Prestar de servicios profesionales para desarrollar actividades jurídicas en atención a los distintos requerimientos de la Subdirección de Gestión Humana"</t>
  </si>
  <si>
    <t>Adición y prórroga al contrato No. 070 de 2022, cuyo objeto es "SGH - Prestar servicios profesionales para la implementación y seguimiento del sistema de gestión de seguridad y salud en el trabajo en la Subdirección de Gestión Humana.</t>
  </si>
  <si>
    <t xml:space="preserve">Adición y prórroga al contrato No. 092 de 2022, cuyo objeto es "SGH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</si>
  <si>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Adición y prórroga al contrato No. 170 de 2022, cuyo objeto es "SGH - Prestar servicios profesionales en la Subdirección de Gestión Humana de la UAE Cuerpo Oficial de Bomberos en temas de liquidación de demandas y conciliaciones"</t>
  </si>
  <si>
    <t>Adición y prórroga al contrato No. 346 de 2022, cuyo objeto es "SGH - Prestar servicios profesionales en la Subdirección de Gestión Humana de la UAE Cuerpo Oficial de Bomberos en temas de Administración de Personal"</t>
  </si>
  <si>
    <t>SGH - Prestar servicios de apoyo en el seguimiento del sistema de gestión de seguridad y salud en el trabajo en la Subdirección de Gestión Humana de la UAE Cuerpo Oficial de Bomberos.</t>
  </si>
  <si>
    <t>Adición y prórroga al contrato No. 175 de 2022, cuyo objeto es "SGH - Prestar servicios de apoyo a la gestión en la Subdirección de Gestión Humana en las diferentes actividades logísticas relacionadas con  el proceso de Academia"</t>
  </si>
  <si>
    <t>Adición y prórroga al contrato No. 155 de 2022, cuyo objeto es "SGH - Prestar sus servicios profesionales en la gestión contractual y presupuestal de la Subdirección de Gestión Humana de la UAE Cuerpo Oficial de Bomberos"</t>
  </si>
  <si>
    <t>SGH - Prestar servicios de apoyo en la Subdirección de Gestión Humana de la UAE Cuerpo Oficial de Bomberos.</t>
  </si>
  <si>
    <t>Prestar servicios profesionales especializados a la Subdireccion de Gestión Corporativa y Dirección General de la UAECOB en la construcción, acompañamiento, seguimiento y fortalecimiento de las estrategias de comunicación que adelante la entidad dentro del Distrito Capital- SGC</t>
  </si>
  <si>
    <t>Adición y prórroga al Contrato No. 439 de 2022, cuyo objeto es "Soporte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</si>
  <si>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O21202020080787130      Servicios de mantenimiento y reparación de computa</t>
  </si>
  <si>
    <t>Oficina Jurídica</t>
  </si>
  <si>
    <t>Prestación de servicios profesionales jurídicos para orientar y apoyar el trámite y la gestión de los procesos disciplinarios que se adelanten en la Oficina Jurídica de la Unidad Administrativa Especial Cuerpo Oficial de Bomberos Bogotá</t>
  </si>
  <si>
    <t>Prestación de servicios profesionales especializados de carácter jurídico que contribuya al fortalecimiento de la misionalidad de la UAE Cuerpo Oficial de Bomberos</t>
  </si>
  <si>
    <t xml:space="preserve"> </t>
  </si>
  <si>
    <t>Versión No. 4</t>
  </si>
  <si>
    <t>Fecha de Modificación   08/02/2022</t>
  </si>
  <si>
    <t>Duración estimada del contrato (meses)</t>
  </si>
  <si>
    <t>Meta Producto</t>
  </si>
  <si>
    <t>Fecha de Modificación</t>
  </si>
  <si>
    <t>VALOR RP</t>
  </si>
  <si>
    <t>Enero</t>
  </si>
  <si>
    <t xml:space="preserve"> CCE-16_Contratación directa - Sin Oferta </t>
  </si>
  <si>
    <t>11 meses</t>
  </si>
  <si>
    <t>43000000, 43230000, 43232400.43232408, 43230000,43232400, 43232402, 43232400, 43232404</t>
  </si>
  <si>
    <t>Contratar el desarrollo de los sistemas de información que sean solicitados por las dependencias de la UAECOB - TIC</t>
  </si>
  <si>
    <t>Marzo</t>
  </si>
  <si>
    <t>Mayo</t>
  </si>
  <si>
    <t>CCE-06_Selección abreviada menor cuantía</t>
  </si>
  <si>
    <t>43231512, 81112501</t>
  </si>
  <si>
    <t>Febrero</t>
  </si>
  <si>
    <t>CCE-10_Acuerdo Marco</t>
  </si>
  <si>
    <t>72101511;72151605;72151500</t>
  </si>
  <si>
    <t>Contratar el Mantenimiento de UPS, cableado estructurado y aires acondicionados en la UAECOB. - TIC</t>
  </si>
  <si>
    <t>Junio</t>
  </si>
  <si>
    <t>Julio</t>
  </si>
  <si>
    <t>81112204
81112501</t>
  </si>
  <si>
    <t>CCE-10_Mínima cuantía</t>
  </si>
  <si>
    <t>43233000;
81112200</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</si>
  <si>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</si>
  <si>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</si>
  <si>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</si>
  <si>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</si>
  <si>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</si>
  <si>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</si>
  <si>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</si>
  <si>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</si>
  <si>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</si>
  <si>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</si>
  <si>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</si>
  <si>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</si>
  <si>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Contratar la prestación del servicio de monitoreo, control y seguimiento satelital a los vehículos de propiedad de la UAECOB - TIC</t>
  </si>
  <si>
    <t>81112200
81112201</t>
  </si>
  <si>
    <t xml:space="preserve">81112001;
81112002; 
25173107; </t>
  </si>
  <si>
    <t>Contratar la renovavión del soporte y garantia de los equipos Avaya propiedad de la UAECOB - TIC</t>
  </si>
  <si>
    <t>Contratar la adquisición de los elementos de seguridad Electronica para la UAECOB fase II. - TIC</t>
  </si>
  <si>
    <t>Contratar la actualización tecnológica de los equipos activos y accesorios en la UAECOB. - TIC</t>
  </si>
  <si>
    <t>43201500
43211500
43232300</t>
  </si>
  <si>
    <t>Contratar una solución de procesamiento de información para la UAECOB - TIC</t>
  </si>
  <si>
    <t>15 dias y 11 meses</t>
  </si>
  <si>
    <t>CCE-16_Contratación directa - Sin Oferta</t>
  </si>
  <si>
    <t>Gestionar el 100% de un (1) plan de adecuación y sostenibilidad de los sistemas de gestión de la Unidad Administrativa Especial Cuerpo Oficial de Bomberos</t>
  </si>
  <si>
    <t>6 meses</t>
  </si>
  <si>
    <t>7 meses</t>
  </si>
  <si>
    <t>4 meses</t>
  </si>
  <si>
    <t>10 meses</t>
  </si>
  <si>
    <t>12 meses</t>
  </si>
  <si>
    <t>8 meses</t>
  </si>
  <si>
    <t>5 meses</t>
  </si>
  <si>
    <t>Contratación directa</t>
  </si>
  <si>
    <t>5 meses 15 días</t>
  </si>
  <si>
    <t>11,5 meses</t>
  </si>
  <si>
    <t>9,3 meses</t>
  </si>
  <si>
    <t>3,5 meses</t>
  </si>
  <si>
    <t>11 meses y 15 días</t>
  </si>
  <si>
    <t>10 meses y 15 días</t>
  </si>
  <si>
    <t>9 meses y 15 días</t>
  </si>
  <si>
    <t>11 MESES</t>
  </si>
  <si>
    <t>Prestación de servicios profesionales en la Dirección General de la UAECOB para brindar apoyo en la revisión y seguimiento de los derechos de petición y demás documentación requerida.</t>
  </si>
  <si>
    <t>Comunicaciones y Prensa</t>
  </si>
  <si>
    <t>Implementar al 100% un programa de formación, modernización y sostenibilidad de la Unidad Administrativa Especial Cuerpo Oficial de Bomberos - UAECOB, para la respuesta efectiva en la atención de emergencias y desastres.</t>
  </si>
  <si>
    <t>11 Meses</t>
  </si>
  <si>
    <t>CCE-99_Seléccion abreviada - acuerdo marco</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</si>
  <si>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</si>
  <si>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</si>
  <si>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</si>
  <si>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</si>
  <si>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Mantenimiento preventivo y correctivo, que incluye el suministro de insumos y repuestos de las lavadoras y secadoras industriales ubicadas en las estaciones de bomberos de la UAE Cuerpo Oficial de Bomberos de Bogotá-SGC</t>
  </si>
  <si>
    <t>Mantenimiento preventivo y correctivo de los equipos gasodomésticos y solares, adecuación de las redes de gas natural y repuestos para las Estaciones de Bomberos de UAE Cuerpo Oficial de Bomberos SGC</t>
  </si>
  <si>
    <t>39120000;
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</si>
  <si>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</si>
  <si>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</si>
  <si>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</si>
  <si>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Elaboración de estudios y diseños técnicos para la construcción de la estación de bomberos de Caobos Salazar B-13 y Puente Aranda B-4 de la UAE Cuerpo Oficial de Bomberos de Bogotá – SGC</t>
  </si>
  <si>
    <t>CCE-04_Concurso de méritos abierto</t>
  </si>
  <si>
    <t>Reforzar, Adecuar y Ampliar  6 estaciones de Bomberos</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</si>
  <si>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</si>
  <si>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</si>
  <si>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Suministro de materiales, equipos y herramientas para el mejoramiento integral de las instalaciones de la UAE CUERPO OFICIAL DE BOMBEROS DE BOGOTÁ.-SGC</t>
  </si>
  <si>
    <t>O23201010030807 -Otros equipos</t>
  </si>
  <si>
    <t xml:space="preserve">Realizar el mantenimiento predictivo, preventivo, correctivo, y dotación a las instalaciones de las dependencias de la Unidad Administrativa Especial Cuerpo Oficial de Bomberos De Bogotá D.C. - SGC </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</si>
  <si>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</si>
  <si>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</si>
  <si>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</si>
  <si>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</si>
  <si>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Adquisición de mobiliario para la estación Marichuela -SGC</t>
  </si>
  <si>
    <t>O232020200885250_Servicios de protección (guardas de seguridad)</t>
  </si>
  <si>
    <t>1 MES</t>
  </si>
  <si>
    <t>72141100;</t>
  </si>
  <si>
    <t>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</si>
  <si>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</si>
  <si>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</si>
  <si>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</si>
  <si>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72121400;
72151700;
95121700</t>
  </si>
  <si>
    <t>Contratar el servicio tecnico especializado para adelantar los tramites administrativos para la gestion predial de tres (3)  nuevos espacios requeridos por la UAECOB-SGC</t>
  </si>
  <si>
    <t>Poner en funcionamiento tres (3) nuevos espacios para la gestión integral de riesgos, incendios, incidentes con materiales peligrosos y rescates en todas sus modalidades.</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</si>
  <si>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</si>
  <si>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</si>
  <si>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CCE-07-Selección abreviada subasta inversa</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</si>
  <si>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</si>
  <si>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</si>
  <si>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06 meses</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</si>
  <si>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</si>
  <si>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</si>
  <si>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</si>
  <si>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</si>
  <si>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</si>
  <si>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81141800 
80101600 
80101500 
43233501</t>
  </si>
  <si>
    <t>Prestación de servicios para la ejecución de visitas de seguridad humana y protección contra incendio,  en edificaciones y establecimientos de comercio, con el fin de optimizar la prestación del servicio misional_SGR</t>
  </si>
  <si>
    <t>ENERO</t>
  </si>
  <si>
    <t>MARZO</t>
  </si>
  <si>
    <t>CCE-02-Licitación pública</t>
  </si>
  <si>
    <t>Implementar al 100% un (1) programa de conocimiento y reducción en la gestión de  riesgo de incendios, incidentes con materiales peligrosos y escenarios de riesgos.</t>
  </si>
  <si>
    <t>Prestar servicios de apoyo a la gestión de actividades relacionadas con Pólvora y Pirotecnia para la Subdirección de Gestión del Riesgo_SGR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</si>
  <si>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</si>
  <si>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</si>
  <si>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</si>
  <si>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</si>
  <si>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</si>
  <si>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CCE-06-Selección abreviada menor cuantía</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</si>
  <si>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</si>
  <si>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</si>
  <si>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</si>
  <si>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</si>
  <si>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</si>
  <si>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</si>
  <si>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</si>
  <si>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</si>
  <si>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</si>
  <si>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</si>
  <si>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</si>
  <si>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</si>
  <si>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</si>
  <si>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</si>
  <si>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</si>
  <si>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</si>
  <si>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</si>
  <si>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CCE-16-Contratación directa</t>
  </si>
  <si>
    <t>Mínima cuantía</t>
  </si>
  <si>
    <t>Implementar 100% de un programa de suministros y consumibles para la atención de emergencias en la UAECOB</t>
  </si>
  <si>
    <t>1 mes</t>
  </si>
  <si>
    <t>Orden De Compra</t>
  </si>
  <si>
    <t>1 año</t>
  </si>
  <si>
    <t>2 meses</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</si>
  <si>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</si>
  <si>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</si>
  <si>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</si>
  <si>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Adquisición, mantenimiento y recarga de los extintores de la UAECOB y de agentes químicos extintores para las máquinas de bomberos</t>
  </si>
  <si>
    <t>Selección abreviada por bolsa de productos</t>
  </si>
  <si>
    <t>Prestación de servicios de apoyo a la gestión para realizar el seguimiento y control de las bases de datos,  hojas de vida del parque automotor con el cual cuenta la Subdirección Logística - SBLG</t>
  </si>
  <si>
    <t>3 MESES</t>
  </si>
  <si>
    <t>6 MESES</t>
  </si>
  <si>
    <t>7 MESES</t>
  </si>
  <si>
    <t>CONTRATACION_DIRECTA</t>
  </si>
  <si>
    <t>3 MESES 21 DÍAS</t>
  </si>
  <si>
    <t>12 MESES</t>
  </si>
  <si>
    <t>LICITACION</t>
  </si>
  <si>
    <t>11 MESES 15 DIAS</t>
  </si>
  <si>
    <t>8 MESES</t>
  </si>
  <si>
    <t>SGC-Adición y prórroga al contrato No. 738 de 2020 con objeto" Mantenimiento ascensor nueva Estación de Bomberos de Fontibón"</t>
  </si>
  <si>
    <t>5 MESES</t>
  </si>
  <si>
    <t>9 MESES</t>
  </si>
  <si>
    <t>SELECCION_ABREVIADA</t>
  </si>
  <si>
    <t>10 MESES</t>
  </si>
  <si>
    <t>8 Meses</t>
  </si>
  <si>
    <t>CONTRATACION_MINIMA_CUANTIA</t>
  </si>
  <si>
    <t>OCTUBRE</t>
  </si>
  <si>
    <t>CONCURSO_MERITOS</t>
  </si>
  <si>
    <t>Contratar la adquisicion de los certificados digitales de seguridad ssl para los sistemas de información de la unidad administrativa especial cuerpo oficial bomberos de bogotá.</t>
  </si>
  <si>
    <t>2 MESES</t>
  </si>
  <si>
    <t xml:space="preserve">Minima Cuantia </t>
  </si>
  <si>
    <t>3,5 MESES</t>
  </si>
  <si>
    <t>Prestar los servicios de mantenimiento, soporte técnico, mejoras y actualizaciones del aplicativo PCT utilizado por la Unidad.</t>
  </si>
  <si>
    <t>Actualización de las suscripciones de Suite Adobe</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</si>
  <si>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</si>
  <si>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</si>
  <si>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8,5 MESES</t>
  </si>
  <si>
    <t>15 días</t>
  </si>
  <si>
    <t>11 meses 15 días</t>
  </si>
  <si>
    <t xml:space="preserve">17 MESES </t>
  </si>
  <si>
    <t>Concurso de méritos.</t>
  </si>
  <si>
    <t xml:space="preserve">12 meses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</si>
  <si>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</si>
  <si>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</si>
  <si>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</si>
  <si>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</si>
  <si>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</si>
  <si>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</si>
  <si>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</si>
  <si>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Contratar el Mantenimiento de cableado estructurado en la UAECOB.</t>
  </si>
  <si>
    <t>O232020200663393</t>
  </si>
  <si>
    <t>O23201010030807</t>
  </si>
  <si>
    <t>O23202020088715999</t>
  </si>
  <si>
    <t>O2320201002032331101</t>
  </si>
  <si>
    <t>86000000, 86100000, 86101700, 86101705</t>
  </si>
  <si>
    <t>72154101 - 72154106</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</si>
  <si>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</si>
  <si>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</si>
  <si>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</si>
  <si>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</si>
  <si>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</si>
  <si>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</si>
  <si>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</si>
  <si>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</si>
  <si>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</si>
  <si>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</si>
  <si>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</si>
  <si>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</si>
  <si>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</si>
  <si>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</si>
  <si>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</si>
  <si>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</si>
  <si>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</si>
  <si>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</si>
  <si>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</si>
  <si>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</si>
  <si>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</si>
  <si>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</si>
  <si>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</si>
  <si>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</si>
  <si>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</si>
  <si>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</si>
  <si>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</si>
  <si>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</si>
  <si>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</si>
  <si>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</si>
  <si>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</si>
  <si>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</si>
  <si>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</si>
  <si>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</si>
  <si>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</si>
  <si>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</si>
  <si>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</si>
  <si>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</si>
  <si>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</si>
  <si>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</si>
  <si>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</si>
  <si>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</si>
  <si>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</si>
  <si>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</si>
  <si>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</si>
  <si>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</si>
  <si>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</si>
  <si>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</si>
  <si>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</si>
  <si>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</si>
  <si>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</si>
  <si>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</si>
  <si>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</si>
  <si>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</si>
  <si>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</si>
  <si>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</si>
  <si>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</si>
  <si>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</si>
  <si>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</si>
  <si>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</si>
  <si>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</si>
  <si>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</si>
  <si>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</si>
  <si>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</si>
  <si>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</si>
  <si>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</si>
  <si>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</si>
  <si>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</si>
  <si>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</si>
  <si>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</si>
  <si>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</si>
  <si>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</si>
  <si>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</si>
  <si>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</si>
  <si>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</si>
  <si>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</si>
  <si>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</si>
  <si>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</si>
  <si>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</si>
  <si>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</si>
  <si>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</si>
  <si>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</si>
  <si>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</si>
  <si>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</si>
  <si>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</si>
  <si>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</si>
  <si>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</si>
  <si>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</si>
  <si>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</si>
  <si>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</si>
  <si>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</si>
  <si>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</si>
  <si>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</si>
  <si>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</si>
  <si>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</si>
  <si>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</si>
  <si>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</si>
  <si>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</si>
  <si>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</si>
  <si>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</si>
  <si>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</si>
  <si>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</si>
  <si>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</si>
  <si>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</si>
  <si>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</si>
  <si>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</si>
  <si>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</si>
  <si>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</si>
  <si>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</si>
  <si>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</si>
  <si>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</si>
  <si>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</si>
  <si>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</si>
  <si>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</si>
  <si>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</si>
  <si>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</si>
  <si>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</si>
  <si>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</si>
  <si>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</si>
  <si>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</si>
  <si>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</si>
  <si>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</si>
  <si>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</si>
  <si>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</si>
  <si>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</si>
  <si>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</si>
  <si>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</si>
  <si>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</si>
  <si>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</si>
  <si>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</si>
  <si>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</si>
  <si>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</si>
  <si>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</si>
  <si>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</si>
  <si>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</si>
  <si>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</si>
  <si>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</si>
  <si>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</si>
  <si>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</si>
  <si>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</si>
  <si>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</si>
  <si>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</si>
  <si>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</si>
  <si>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</si>
  <si>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</si>
  <si>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</si>
  <si>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</si>
  <si>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</si>
  <si>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</si>
  <si>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</si>
  <si>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</si>
  <si>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</si>
  <si>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</si>
  <si>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</si>
  <si>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</si>
  <si>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</si>
  <si>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</si>
  <si>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</si>
  <si>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</si>
  <si>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</si>
  <si>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</si>
  <si>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</si>
  <si>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</si>
  <si>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</si>
  <si>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</si>
  <si>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</si>
  <si>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</si>
  <si>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</si>
  <si>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</si>
  <si>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</si>
  <si>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</si>
  <si>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</si>
  <si>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</si>
  <si>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</si>
  <si>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</si>
  <si>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</si>
  <si>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</si>
  <si>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</si>
  <si>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</si>
  <si>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</si>
  <si>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</si>
  <si>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</si>
  <si>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</si>
  <si>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</si>
  <si>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</si>
  <si>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</si>
  <si>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</si>
  <si>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</si>
  <si>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</si>
  <si>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</si>
  <si>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</si>
  <si>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</si>
  <si>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</si>
  <si>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</si>
  <si>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</si>
  <si>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</si>
  <si>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</si>
  <si>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</si>
  <si>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</si>
  <si>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</si>
  <si>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</si>
  <si>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</si>
  <si>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</si>
  <si>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</si>
  <si>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</si>
  <si>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</si>
  <si>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</si>
  <si>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</si>
  <si>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</si>
  <si>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</si>
  <si>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</si>
  <si>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</si>
  <si>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</si>
  <si>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</si>
  <si>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</si>
  <si>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</si>
  <si>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</si>
  <si>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</si>
  <si>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</si>
  <si>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</si>
  <si>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</si>
  <si>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</si>
  <si>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</si>
  <si>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</si>
  <si>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</si>
  <si>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</si>
  <si>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</si>
  <si>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</si>
  <si>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</si>
  <si>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</si>
  <si>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</si>
  <si>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</si>
  <si>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</si>
  <si>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</si>
  <si>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</si>
  <si>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</si>
  <si>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</si>
  <si>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</si>
  <si>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</si>
  <si>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</si>
  <si>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</si>
  <si>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</si>
  <si>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</si>
  <si>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</si>
  <si>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</si>
  <si>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</si>
  <si>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</si>
  <si>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</si>
  <si>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</si>
  <si>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</si>
  <si>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</si>
  <si>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</si>
  <si>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</si>
  <si>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</si>
  <si>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</si>
  <si>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</si>
  <si>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</si>
  <si>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</si>
  <si>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</si>
  <si>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</si>
  <si>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</si>
  <si>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</si>
  <si>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</si>
  <si>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</si>
  <si>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</si>
  <si>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</si>
  <si>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</si>
  <si>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</si>
  <si>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</si>
  <si>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</si>
  <si>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</si>
  <si>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</si>
  <si>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</si>
  <si>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</si>
  <si>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</si>
  <si>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</si>
  <si>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</si>
  <si>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</si>
  <si>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</si>
  <si>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</si>
  <si>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</si>
  <si>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</si>
  <si>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</si>
  <si>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</si>
  <si>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</si>
  <si>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</si>
  <si>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</si>
  <si>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</si>
  <si>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</si>
  <si>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</si>
  <si>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</si>
  <si>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</si>
  <si>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</si>
  <si>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</si>
  <si>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</si>
  <si>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</si>
  <si>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</si>
  <si>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</si>
  <si>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</si>
  <si>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</si>
  <si>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</si>
  <si>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</si>
  <si>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</si>
  <si>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</si>
  <si>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</si>
  <si>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</si>
  <si>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</si>
  <si>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</si>
  <si>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</si>
  <si>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</si>
  <si>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</si>
  <si>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</si>
  <si>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</si>
  <si>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</si>
  <si>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</si>
  <si>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</si>
  <si>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</si>
  <si>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</si>
  <si>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</si>
  <si>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</si>
  <si>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</si>
  <si>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</si>
  <si>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</si>
  <si>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</si>
  <si>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</si>
  <si>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</si>
  <si>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</si>
  <si>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</si>
  <si>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</si>
  <si>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</si>
  <si>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</si>
  <si>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</si>
  <si>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</si>
  <si>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</si>
  <si>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</si>
  <si>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</si>
  <si>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</si>
  <si>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</si>
  <si>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</si>
  <si>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</si>
  <si>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</si>
  <si>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</si>
  <si>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</si>
  <si>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</si>
  <si>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</si>
  <si>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</si>
  <si>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</si>
  <si>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</si>
  <si>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</si>
  <si>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</si>
  <si>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</si>
  <si>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</si>
  <si>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</si>
  <si>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</si>
  <si>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</si>
  <si>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</si>
  <si>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</si>
  <si>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</si>
  <si>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</si>
  <si>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</si>
  <si>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</si>
  <si>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</si>
  <si>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</si>
  <si>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</si>
  <si>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</si>
  <si>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</si>
  <si>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</si>
  <si>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</si>
  <si>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</si>
  <si>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</si>
  <si>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</si>
  <si>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</si>
  <si>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</si>
  <si>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</si>
  <si>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</si>
  <si>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</si>
  <si>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</si>
  <si>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</si>
  <si>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</si>
  <si>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</si>
  <si>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</si>
  <si>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</si>
  <si>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</si>
  <si>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</si>
  <si>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</si>
  <si>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</si>
  <si>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</si>
  <si>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</si>
  <si>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</si>
  <si>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</si>
  <si>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</si>
  <si>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</si>
  <si>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</si>
  <si>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</si>
  <si>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</si>
  <si>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</si>
  <si>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</si>
  <si>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</si>
  <si>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</si>
  <si>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</si>
  <si>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</si>
  <si>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</si>
  <si>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</si>
  <si>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</si>
  <si>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</si>
  <si>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</si>
  <si>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</si>
  <si>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</si>
  <si>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</si>
  <si>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</si>
  <si>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</si>
  <si>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</si>
  <si>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</si>
  <si>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</si>
  <si>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</si>
  <si>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</si>
  <si>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</si>
  <si>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</si>
  <si>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</si>
  <si>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</si>
  <si>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</si>
  <si>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</si>
  <si>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</si>
  <si>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</si>
  <si>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</si>
  <si>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</si>
  <si>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</si>
  <si>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</si>
  <si>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</si>
  <si>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</si>
  <si>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</si>
  <si>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</si>
  <si>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</si>
  <si>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</si>
  <si>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</si>
  <si>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</si>
  <si>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</si>
  <si>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</si>
  <si>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</si>
  <si>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</si>
  <si>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</si>
  <si>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</si>
  <si>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</si>
  <si>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</si>
  <si>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</si>
  <si>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</si>
  <si>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</si>
  <si>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</si>
  <si>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</si>
  <si>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</si>
  <si>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</si>
  <si>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</si>
  <si>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</si>
  <si>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</si>
  <si>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</si>
  <si>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</si>
  <si>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</si>
  <si>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</si>
  <si>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</si>
  <si>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</si>
  <si>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</si>
  <si>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</si>
  <si>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</si>
  <si>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</si>
  <si>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</si>
  <si>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</si>
  <si>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</si>
  <si>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</si>
  <si>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</si>
  <si>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</si>
  <si>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</si>
  <si>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</si>
  <si>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</si>
  <si>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</si>
  <si>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</si>
  <si>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</si>
  <si>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</si>
  <si>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</si>
  <si>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</si>
  <si>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</si>
  <si>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</si>
  <si>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</si>
  <si>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</si>
  <si>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</si>
  <si>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</si>
  <si>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</si>
  <si>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</si>
  <si>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</si>
  <si>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</si>
  <si>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</si>
  <si>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</si>
  <si>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</si>
  <si>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</si>
  <si>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</si>
  <si>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</si>
  <si>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</si>
  <si>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</si>
  <si>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</si>
  <si>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</si>
  <si>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</si>
  <si>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</si>
  <si>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</si>
  <si>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</si>
  <si>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</si>
  <si>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</si>
  <si>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</si>
  <si>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</si>
  <si>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</si>
  <si>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</si>
  <si>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</si>
  <si>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</si>
  <si>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</si>
  <si>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</si>
  <si>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</si>
  <si>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</si>
  <si>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</si>
  <si>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</si>
  <si>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</si>
  <si>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</si>
  <si>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</si>
  <si>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</si>
  <si>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</si>
  <si>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</si>
  <si>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</si>
  <si>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</si>
  <si>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</si>
  <si>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</si>
  <si>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</si>
  <si>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</si>
  <si>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</si>
  <si>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</si>
  <si>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</si>
  <si>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</si>
  <si>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</si>
  <si>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</si>
  <si>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</si>
  <si>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</si>
  <si>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</si>
  <si>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</si>
  <si>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</si>
  <si>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</si>
  <si>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</si>
  <si>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</si>
  <si>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</si>
  <si>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</si>
  <si>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</si>
  <si>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</si>
  <si>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</si>
  <si>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</si>
  <si>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</si>
  <si>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</si>
  <si>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</si>
  <si>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</si>
  <si>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</si>
  <si>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</si>
  <si>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</si>
  <si>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</si>
  <si>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</si>
  <si>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</si>
  <si>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</si>
  <si>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</si>
  <si>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</si>
  <si>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</si>
  <si>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</si>
  <si>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</si>
  <si>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</si>
  <si>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</si>
  <si>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</si>
  <si>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</si>
  <si>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</si>
  <si>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</si>
  <si>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</si>
  <si>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</si>
  <si>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</si>
  <si>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</si>
  <si>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</si>
  <si>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</si>
  <si>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</si>
  <si>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</si>
  <si>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</si>
  <si>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</si>
  <si>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</si>
  <si>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</si>
  <si>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</si>
  <si>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</si>
  <si>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</si>
  <si>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</si>
  <si>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</si>
  <si>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</si>
  <si>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</si>
  <si>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</si>
  <si>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</si>
  <si>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</si>
  <si>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</si>
  <si>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</si>
  <si>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</si>
  <si>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</si>
  <si>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</si>
  <si>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</si>
  <si>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</si>
  <si>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</si>
  <si>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</si>
  <si>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</si>
  <si>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</si>
  <si>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</si>
  <si>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</si>
  <si>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</si>
  <si>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</si>
  <si>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</si>
  <si>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</si>
  <si>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</si>
  <si>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</si>
  <si>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</si>
  <si>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</si>
  <si>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</si>
  <si>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</si>
  <si>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</si>
  <si>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</si>
  <si>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</si>
  <si>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</si>
  <si>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</si>
  <si>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</si>
  <si>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</si>
  <si>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</si>
  <si>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</si>
  <si>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</si>
  <si>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</si>
  <si>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</si>
  <si>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</si>
  <si>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</si>
  <si>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</si>
  <si>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</si>
  <si>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</si>
  <si>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</si>
  <si>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</si>
  <si>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</si>
  <si>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</si>
  <si>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</si>
  <si>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</si>
  <si>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</si>
  <si>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</si>
  <si>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</si>
  <si>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</si>
  <si>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</si>
  <si>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</si>
  <si>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</si>
  <si>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</si>
  <si>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</si>
  <si>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</si>
  <si>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</si>
  <si>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</si>
  <si>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</si>
  <si>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</si>
  <si>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</si>
  <si>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</si>
  <si>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</si>
  <si>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</si>
  <si>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</si>
  <si>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</si>
  <si>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</si>
  <si>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</si>
  <si>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</si>
  <si>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</si>
  <si>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</si>
  <si>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</si>
  <si>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</si>
  <si>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</si>
  <si>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</si>
  <si>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</si>
  <si>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</si>
  <si>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</si>
  <si>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</si>
  <si>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</si>
  <si>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</si>
  <si>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</si>
  <si>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</si>
  <si>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</si>
  <si>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</si>
  <si>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</si>
  <si>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</si>
  <si>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</si>
  <si>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</si>
  <si>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</si>
  <si>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</si>
  <si>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</si>
  <si>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</si>
  <si>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</si>
  <si>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</si>
  <si>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</si>
  <si>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</si>
  <si>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</si>
  <si>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</si>
  <si>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</si>
  <si>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</si>
  <si>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</si>
  <si>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</si>
  <si>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</si>
  <si>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</si>
  <si>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</si>
  <si>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</si>
  <si>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</si>
  <si>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</si>
  <si>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</si>
  <si>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</si>
  <si>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</si>
  <si>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</si>
  <si>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</si>
  <si>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</si>
  <si>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</si>
  <si>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</si>
  <si>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</si>
  <si>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</si>
  <si>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</si>
  <si>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</si>
  <si>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</si>
  <si>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</si>
  <si>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</si>
  <si>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</si>
  <si>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</si>
  <si>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</si>
  <si>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</si>
  <si>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</si>
  <si>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</si>
  <si>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</si>
  <si>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</si>
  <si>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</si>
  <si>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</si>
  <si>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</si>
  <si>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</si>
  <si>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</si>
  <si>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</si>
  <si>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</si>
  <si>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</si>
  <si>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</si>
  <si>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</si>
  <si>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</si>
  <si>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</si>
  <si>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</si>
  <si>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</si>
  <si>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</si>
  <si>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</si>
  <si>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</si>
  <si>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</si>
  <si>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</si>
  <si>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</si>
  <si>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</si>
  <si>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</si>
  <si>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</si>
  <si>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</si>
  <si>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</si>
  <si>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</si>
  <si>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</si>
  <si>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</si>
  <si>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</si>
  <si>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</si>
  <si>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</si>
  <si>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</si>
  <si>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</si>
  <si>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</si>
  <si>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</si>
  <si>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</si>
  <si>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</si>
  <si>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</si>
  <si>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</si>
  <si>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</si>
  <si>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</si>
  <si>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</si>
  <si>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</si>
  <si>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</si>
  <si>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</si>
  <si>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</si>
  <si>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</si>
  <si>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</si>
  <si>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</si>
  <si>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</si>
  <si>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</si>
  <si>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</si>
  <si>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</si>
  <si>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</si>
  <si>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</si>
  <si>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</si>
  <si>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</si>
  <si>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</si>
  <si>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</si>
  <si>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</si>
  <si>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</si>
  <si>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</si>
  <si>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</si>
  <si>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</si>
  <si>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</si>
  <si>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</si>
  <si>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</si>
  <si>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</si>
  <si>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</si>
  <si>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</si>
  <si>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</si>
  <si>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</si>
  <si>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</si>
  <si>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</si>
  <si>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</si>
  <si>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</si>
  <si>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</si>
  <si>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</si>
  <si>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</si>
  <si>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</si>
  <si>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</si>
  <si>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</si>
  <si>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</si>
  <si>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</si>
  <si>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</si>
  <si>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</si>
  <si>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</si>
  <si>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</si>
  <si>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</si>
  <si>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</si>
  <si>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</si>
  <si>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</si>
  <si>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</si>
  <si>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</si>
  <si>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</si>
  <si>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</si>
  <si>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</si>
  <si>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</si>
  <si>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</si>
  <si>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</si>
  <si>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</si>
  <si>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</si>
  <si>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</si>
  <si>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</si>
  <si>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</si>
  <si>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</si>
  <si>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</si>
  <si>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</si>
  <si>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</si>
  <si>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</si>
  <si>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</si>
  <si>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</si>
  <si>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</si>
  <si>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</si>
  <si>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</si>
  <si>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</si>
  <si>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</si>
  <si>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</si>
  <si>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</si>
  <si>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</si>
  <si>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</si>
  <si>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</si>
  <si>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</si>
  <si>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</si>
  <si>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</si>
  <si>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</si>
  <si>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</si>
  <si>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</si>
  <si>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</si>
  <si>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</si>
  <si>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</si>
  <si>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</si>
  <si>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</si>
  <si>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</si>
  <si>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</si>
  <si>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</si>
  <si>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</si>
  <si>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</si>
  <si>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</si>
  <si>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</si>
  <si>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</si>
  <si>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</si>
  <si>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</si>
  <si>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</si>
  <si>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</si>
  <si>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</si>
  <si>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</si>
  <si>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</si>
  <si>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</si>
  <si>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</si>
  <si>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</si>
  <si>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</si>
  <si>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</si>
  <si>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</si>
  <si>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</si>
  <si>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OBJETO</t>
  </si>
  <si>
    <t>VALOR EN EL PAA</t>
  </si>
  <si>
    <t xml:space="preserve">ACTIVIDAD </t>
  </si>
  <si>
    <t>NUMERO VIABILIDAD</t>
  </si>
  <si>
    <t>RADICADO</t>
  </si>
  <si>
    <t xml:space="preserve">FECHA  VIABILIDAD </t>
  </si>
  <si>
    <t xml:space="preserve">CODIGO PROYECTO </t>
  </si>
  <si>
    <t xml:space="preserve">PROYECTO </t>
  </si>
  <si>
    <t>AREA SOLICITANTE</t>
  </si>
  <si>
    <t>VALOR VIABILIDAD</t>
  </si>
  <si>
    <t>META PI</t>
  </si>
  <si>
    <t xml:space="preserve">TIPO DEL GASTO </t>
  </si>
  <si>
    <t xml:space="preserve">COMPONENTE DEL GASTO </t>
  </si>
  <si>
    <t>CONCEPTO DEL  GASTO</t>
  </si>
  <si>
    <t xml:space="preserve">FUENTE </t>
  </si>
  <si>
    <t>ESTADO</t>
  </si>
  <si>
    <t>NO CDP</t>
  </si>
  <si>
    <t xml:space="preserve">FECHA DE CDP </t>
  </si>
  <si>
    <t xml:space="preserve">VALOR DEL CDP </t>
  </si>
  <si>
    <t xml:space="preserve">ANULACION PARCIAL O TOTAL </t>
  </si>
  <si>
    <t>FECHA DE ANULACION</t>
  </si>
  <si>
    <t>Número de CRP</t>
  </si>
  <si>
    <t>Fecha de registro</t>
  </si>
  <si>
    <t>Fecha Inicial</t>
  </si>
  <si>
    <t>Fecha Final</t>
  </si>
  <si>
    <t>Compromiso</t>
  </si>
  <si>
    <t>No. Compromiso</t>
  </si>
  <si>
    <t>Número Doc.  Beneficiario</t>
  </si>
  <si>
    <t>Nombre  Beneficiario</t>
  </si>
  <si>
    <t>Valor CRP</t>
  </si>
  <si>
    <t>diferencia entre cdp y crp</t>
  </si>
  <si>
    <t xml:space="preserve">GIROS ENERO </t>
  </si>
  <si>
    <t>GIROS FEBRERO</t>
  </si>
  <si>
    <t xml:space="preserve">GIROS MARZO </t>
  </si>
  <si>
    <t xml:space="preserve">GIROS ABRIL </t>
  </si>
  <si>
    <t xml:space="preserve">GIROS MAYO </t>
  </si>
  <si>
    <t>GIROS JUNIO</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</si>
  <si>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</si>
  <si>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</si>
  <si>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</si>
  <si>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</si>
  <si>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</si>
  <si>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</si>
  <si>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</si>
  <si>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</si>
  <si>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</si>
  <si>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</si>
  <si>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</si>
  <si>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</si>
  <si>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</si>
  <si>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</si>
  <si>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</si>
  <si>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</si>
  <si>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</si>
  <si>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</si>
  <si>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</si>
  <si>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Personal</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</si>
  <si>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</si>
  <si>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</si>
  <si>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</si>
  <si>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CONTRATO DE PRESTACION DE SERVICIOS</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</si>
  <si>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</si>
  <si>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</si>
  <si>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</si>
  <si>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</si>
  <si>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</si>
  <si>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</si>
  <si>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</si>
  <si>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</si>
  <si>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</si>
  <si>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</si>
  <si>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</si>
  <si>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</si>
  <si>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</si>
  <si>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</si>
  <si>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</si>
  <si>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CONTRATO DE COMPRAVENTA</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</si>
  <si>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</si>
  <si>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</si>
  <si>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</si>
  <si>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</si>
  <si>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</si>
  <si>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</si>
  <si>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</si>
  <si>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</si>
  <si>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</si>
  <si>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</si>
  <si>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</si>
  <si>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</si>
  <si>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</si>
  <si>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</si>
  <si>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</si>
  <si>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</si>
  <si>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</si>
  <si>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</si>
  <si>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</si>
  <si>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</si>
  <si>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</si>
  <si>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</si>
  <si>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</si>
  <si>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</si>
  <si>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</si>
  <si>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</si>
  <si>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</si>
  <si>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</si>
  <si>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</si>
  <si>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</si>
  <si>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</si>
  <si>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</si>
  <si>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</si>
  <si>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</si>
  <si>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</si>
  <si>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</si>
  <si>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</si>
  <si>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</si>
  <si>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</si>
  <si>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</si>
  <si>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</si>
  <si>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</si>
  <si>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</si>
  <si>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</si>
  <si>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</si>
  <si>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</si>
  <si>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</si>
  <si>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</si>
  <si>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</si>
  <si>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</si>
  <si>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</si>
  <si>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</si>
  <si>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</si>
  <si>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</si>
  <si>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</si>
  <si>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</si>
  <si>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</si>
  <si>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</si>
  <si>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</si>
  <si>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</si>
  <si>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</si>
  <si>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</si>
  <si>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</si>
  <si>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</si>
  <si>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</si>
  <si>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</si>
  <si>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</si>
  <si>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</si>
  <si>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</si>
  <si>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</si>
  <si>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</si>
  <si>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</si>
  <si>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</si>
  <si>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</si>
  <si>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</si>
  <si>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</si>
  <si>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</si>
  <si>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</si>
  <si>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</si>
  <si>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</si>
  <si>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</si>
  <si>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</si>
  <si>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</si>
  <si>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</si>
  <si>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</si>
  <si>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</si>
  <si>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</si>
  <si>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</si>
  <si>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</si>
  <si>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</si>
  <si>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</si>
  <si>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</si>
  <si>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</si>
  <si>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</si>
  <si>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</si>
  <si>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</si>
  <si>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</si>
  <si>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</si>
  <si>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</si>
  <si>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</si>
  <si>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</si>
  <si>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</si>
  <si>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</si>
  <si>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</si>
  <si>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</si>
  <si>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</si>
  <si>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</si>
  <si>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</si>
  <si>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</si>
  <si>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</si>
  <si>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</si>
  <si>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</si>
  <si>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</si>
  <si>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</si>
  <si>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</si>
  <si>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</si>
  <si>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</si>
  <si>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</si>
  <si>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</si>
  <si>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</si>
  <si>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</si>
  <si>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</si>
  <si>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</si>
  <si>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</si>
  <si>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</si>
  <si>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</si>
  <si>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</si>
  <si>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</si>
  <si>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</si>
  <si>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</si>
  <si>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</si>
  <si>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</si>
  <si>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</si>
  <si>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</si>
  <si>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</si>
  <si>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</si>
  <si>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</si>
  <si>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</si>
  <si>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</si>
  <si>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</si>
  <si>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</si>
  <si>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</si>
  <si>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</si>
  <si>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</si>
  <si>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</si>
  <si>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</si>
  <si>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</si>
  <si>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</si>
  <si>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</si>
  <si>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</si>
  <si>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</si>
  <si>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</si>
  <si>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CHIRLEY  CHAMORRO MONTOYA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</si>
  <si>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</si>
  <si>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</si>
  <si>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</si>
  <si>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</si>
  <si>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</si>
  <si>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</si>
  <si>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</si>
  <si>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</si>
  <si>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</si>
  <si>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</si>
  <si>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</si>
  <si>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</si>
  <si>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</si>
  <si>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</si>
  <si>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</si>
  <si>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</si>
  <si>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</si>
  <si>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</si>
  <si>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</si>
  <si>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</si>
  <si>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</si>
  <si>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</si>
  <si>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</si>
  <si>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</si>
  <si>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</si>
  <si>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</si>
  <si>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</si>
  <si>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</si>
  <si>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</si>
  <si>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</si>
  <si>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</si>
  <si>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</si>
  <si>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</si>
  <si>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</si>
  <si>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</si>
  <si>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</si>
  <si>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</si>
  <si>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</si>
  <si>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</si>
  <si>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</si>
  <si>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</si>
  <si>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</si>
  <si>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</si>
  <si>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</si>
  <si>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</si>
  <si>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</si>
  <si>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</si>
  <si>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</si>
  <si>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</si>
  <si>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</si>
  <si>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</si>
  <si>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</si>
  <si>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</si>
  <si>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</si>
  <si>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</si>
  <si>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</si>
  <si>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</si>
  <si>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</si>
  <si>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</si>
  <si>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</si>
  <si>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</si>
  <si>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</si>
  <si>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</si>
  <si>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</si>
  <si>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</si>
  <si>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</si>
  <si>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</si>
  <si>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</si>
  <si>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</si>
  <si>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</si>
  <si>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</si>
  <si>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</si>
  <si>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</si>
  <si>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</si>
  <si>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</si>
  <si>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</si>
  <si>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</si>
  <si>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</si>
  <si>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</si>
  <si>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</si>
  <si>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</si>
  <si>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</si>
  <si>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</si>
  <si>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</si>
  <si>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</si>
  <si>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</si>
  <si>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</si>
  <si>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</si>
  <si>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</si>
  <si>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</si>
  <si>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</si>
  <si>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</si>
  <si>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</si>
  <si>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</si>
  <si>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</si>
  <si>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</si>
  <si>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</si>
  <si>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</si>
  <si>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</si>
  <si>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</si>
  <si>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</si>
  <si>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</si>
  <si>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</si>
  <si>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</si>
  <si>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</si>
  <si>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</si>
  <si>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</si>
  <si>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</si>
  <si>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</si>
  <si>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</si>
  <si>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</si>
  <si>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</si>
  <si>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</si>
  <si>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</si>
  <si>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</si>
  <si>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</si>
  <si>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</si>
  <si>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</si>
  <si>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</si>
  <si>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</si>
  <si>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</si>
  <si>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</si>
  <si>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</si>
  <si>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</si>
  <si>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</si>
  <si>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</si>
  <si>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</si>
  <si>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</si>
  <si>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</si>
  <si>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</si>
  <si>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</si>
  <si>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</si>
  <si>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</si>
  <si>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</si>
  <si>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</si>
  <si>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</si>
  <si>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</si>
  <si>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</si>
  <si>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</si>
  <si>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</si>
  <si>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</si>
  <si>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</si>
  <si>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</si>
  <si>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</si>
  <si>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</si>
  <si>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</si>
  <si>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</si>
  <si>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</si>
  <si>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</si>
  <si>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</si>
  <si>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</si>
  <si>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</si>
  <si>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</si>
  <si>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</si>
  <si>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</si>
  <si>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</si>
  <si>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</si>
  <si>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</si>
  <si>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</si>
  <si>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</si>
  <si>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</si>
  <si>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</si>
  <si>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</si>
  <si>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</si>
  <si>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</si>
  <si>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</si>
  <si>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</si>
  <si>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</si>
  <si>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</si>
  <si>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</si>
  <si>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</si>
  <si>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</si>
  <si>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</si>
  <si>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</si>
  <si>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</si>
  <si>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</si>
  <si>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</si>
  <si>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</si>
  <si>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</si>
  <si>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</si>
  <si>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</si>
  <si>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</si>
  <si>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</si>
  <si>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</si>
  <si>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</si>
  <si>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</si>
  <si>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</si>
  <si>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</si>
  <si>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</si>
  <si>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</si>
  <si>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</si>
  <si>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</si>
  <si>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</si>
  <si>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</si>
  <si>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</si>
  <si>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</si>
  <si>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</si>
  <si>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</si>
  <si>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</si>
  <si>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</si>
  <si>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</si>
  <si>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</si>
  <si>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</si>
  <si>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</si>
  <si>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</si>
  <si>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</si>
  <si>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</si>
  <si>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</si>
  <si>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</si>
  <si>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</si>
  <si>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</si>
  <si>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</si>
  <si>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</si>
  <si>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</si>
  <si>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</si>
  <si>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</si>
  <si>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</si>
  <si>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</si>
  <si>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</si>
  <si>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</si>
  <si>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</si>
  <si>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</si>
  <si>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</si>
  <si>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</si>
  <si>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</si>
  <si>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</si>
  <si>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</si>
  <si>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</si>
  <si>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</si>
  <si>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</si>
  <si>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</si>
  <si>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</si>
  <si>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</si>
  <si>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</si>
  <si>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</si>
  <si>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</si>
  <si>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</si>
  <si>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</si>
  <si>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</si>
  <si>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</si>
  <si>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</si>
  <si>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</si>
  <si>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</si>
  <si>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</si>
  <si>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</si>
  <si>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</si>
  <si>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</si>
  <si>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</si>
  <si>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</si>
  <si>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</si>
  <si>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</si>
  <si>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</si>
  <si>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</si>
  <si>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</si>
  <si>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</si>
  <si>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</si>
  <si>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</si>
  <si>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</si>
  <si>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</si>
  <si>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</si>
  <si>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</si>
  <si>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</si>
  <si>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ORDEN DE COMPRA</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</si>
  <si>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</si>
  <si>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</si>
  <si>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</si>
  <si>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</si>
  <si>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</si>
  <si>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</si>
  <si>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</si>
  <si>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</si>
  <si>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</si>
  <si>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</si>
  <si>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</si>
  <si>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</si>
  <si>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</si>
  <si>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</si>
  <si>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</si>
  <si>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</si>
  <si>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</si>
  <si>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</si>
  <si>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</si>
  <si>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</si>
  <si>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</si>
  <si>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</si>
  <si>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</si>
  <si>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RESOLUCION</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</si>
  <si>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</si>
  <si>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</si>
  <si>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</si>
  <si>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</si>
  <si>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</si>
  <si>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</si>
  <si>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</si>
  <si>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</si>
  <si>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</si>
  <si>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</si>
  <si>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</si>
  <si>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</si>
  <si>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</si>
  <si>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</si>
  <si>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</si>
  <si>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</si>
  <si>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</si>
  <si>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</si>
  <si>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</si>
  <si>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</si>
  <si>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</si>
  <si>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</si>
  <si>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</si>
  <si>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</si>
  <si>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</si>
  <si>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</si>
  <si>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</si>
  <si>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</si>
  <si>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</si>
  <si>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</si>
  <si>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</si>
  <si>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</si>
  <si>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</si>
  <si>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</si>
  <si>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</si>
  <si>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</si>
  <si>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</si>
  <si>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</si>
  <si>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</si>
  <si>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</si>
  <si>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</si>
  <si>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</si>
  <si>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</si>
  <si>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</si>
  <si>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</si>
  <si>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</si>
  <si>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</si>
  <si>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</si>
  <si>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</si>
  <si>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</si>
  <si>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</si>
  <si>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</si>
  <si>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</si>
  <si>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</si>
  <si>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</si>
  <si>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</si>
  <si>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</si>
  <si>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</si>
  <si>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</si>
  <si>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</si>
  <si>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</si>
  <si>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</si>
  <si>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</si>
  <si>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</si>
  <si>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</si>
  <si>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</si>
  <si>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</si>
  <si>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</si>
  <si>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</si>
  <si>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</si>
  <si>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</si>
  <si>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</si>
  <si>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</si>
  <si>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</si>
  <si>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</si>
  <si>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</si>
  <si>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</si>
  <si>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</si>
  <si>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</si>
  <si>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</si>
  <si>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</si>
  <si>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</si>
  <si>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</si>
  <si>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</si>
  <si>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</si>
  <si>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</si>
  <si>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</si>
  <si>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</si>
  <si>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</si>
  <si>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</si>
  <si>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</si>
  <si>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</si>
  <si>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</si>
  <si>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</si>
  <si>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</si>
  <si>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</si>
  <si>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</si>
  <si>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</si>
  <si>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</si>
  <si>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</si>
  <si>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</si>
  <si>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</si>
  <si>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</si>
  <si>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</si>
  <si>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</si>
  <si>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</si>
  <si>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</si>
  <si>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</si>
  <si>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</si>
  <si>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</si>
  <si>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</si>
  <si>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</si>
  <si>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</si>
  <si>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</si>
  <si>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</si>
  <si>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</si>
  <si>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</si>
  <si>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</si>
  <si>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</si>
  <si>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</si>
  <si>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</si>
  <si>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</si>
  <si>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</si>
  <si>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</si>
  <si>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</si>
  <si>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</si>
  <si>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</si>
  <si>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</si>
  <si>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</si>
  <si>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</si>
  <si>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</si>
  <si>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</si>
  <si>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</si>
  <si>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</si>
  <si>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</si>
  <si>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</si>
  <si>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</si>
  <si>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</si>
  <si>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</si>
  <si>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</si>
  <si>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</si>
  <si>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</si>
  <si>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</si>
  <si>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</si>
  <si>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</si>
  <si>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</si>
  <si>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</si>
  <si>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</si>
  <si>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</si>
  <si>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</si>
  <si>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</si>
  <si>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</si>
  <si>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</si>
  <si>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</si>
  <si>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</si>
  <si>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</si>
  <si>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</si>
  <si>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</si>
  <si>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</si>
  <si>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</si>
  <si>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</si>
  <si>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</si>
  <si>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</si>
  <si>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</si>
  <si>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</si>
  <si>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</si>
  <si>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</si>
  <si>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</si>
  <si>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</si>
  <si>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</si>
  <si>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</si>
  <si>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</si>
  <si>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</si>
  <si>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</si>
  <si>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</si>
  <si>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</si>
  <si>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</si>
  <si>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</si>
  <si>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</si>
  <si>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</si>
  <si>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</si>
  <si>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</si>
  <si>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</si>
  <si>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</si>
  <si>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</si>
  <si>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</si>
  <si>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</si>
  <si>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</si>
  <si>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</si>
  <si>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</si>
  <si>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</si>
  <si>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</si>
  <si>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</si>
  <si>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</si>
  <si>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</si>
  <si>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</si>
  <si>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</si>
  <si>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</si>
  <si>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</si>
  <si>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</si>
  <si>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</si>
  <si>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</si>
  <si>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</si>
  <si>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</si>
  <si>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</si>
  <si>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</si>
  <si>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</si>
  <si>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</si>
  <si>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</si>
  <si>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</si>
  <si>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</si>
  <si>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</si>
  <si>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</si>
  <si>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</si>
  <si>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</si>
  <si>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</si>
  <si>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</si>
  <si>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</si>
  <si>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</si>
  <si>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</si>
  <si>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</si>
  <si>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</si>
  <si>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</si>
  <si>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</si>
  <si>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</si>
  <si>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</si>
  <si>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</si>
  <si>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</si>
  <si>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</si>
  <si>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</si>
  <si>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</si>
  <si>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</si>
  <si>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</si>
  <si>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</si>
  <si>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</si>
  <si>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</si>
  <si>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</si>
  <si>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</si>
  <si>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</si>
  <si>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</si>
  <si>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</si>
  <si>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</si>
  <si>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</si>
  <si>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</si>
  <si>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</si>
  <si>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</si>
  <si>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</si>
  <si>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</si>
  <si>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</si>
  <si>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</si>
  <si>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</si>
  <si>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</si>
  <si>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</si>
  <si>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</si>
  <si>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</si>
  <si>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</si>
  <si>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</si>
  <si>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</si>
  <si>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</si>
  <si>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</si>
  <si>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</si>
  <si>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</si>
  <si>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</si>
  <si>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</si>
  <si>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</si>
  <si>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</si>
  <si>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</si>
  <si>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</si>
  <si>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</si>
  <si>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</si>
  <si>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</si>
  <si>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</si>
  <si>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</si>
  <si>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</si>
  <si>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</si>
  <si>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</si>
  <si>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</si>
  <si>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</si>
  <si>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</si>
  <si>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</si>
  <si>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</si>
  <si>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</si>
  <si>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</si>
  <si>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</si>
  <si>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</si>
  <si>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</si>
  <si>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</si>
  <si>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</si>
  <si>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</si>
  <si>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</si>
  <si>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</si>
  <si>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</si>
  <si>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</si>
  <si>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</si>
  <si>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</si>
  <si>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</si>
  <si>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</si>
  <si>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</si>
  <si>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</si>
  <si>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</si>
  <si>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</si>
  <si>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</si>
  <si>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</si>
  <si>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</si>
  <si>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</si>
  <si>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</si>
  <si>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</si>
  <si>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</si>
  <si>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</si>
  <si>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</si>
  <si>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</si>
  <si>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</si>
  <si>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</si>
  <si>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</si>
  <si>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</si>
  <si>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</si>
  <si>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</si>
  <si>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</si>
  <si>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</si>
  <si>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</si>
  <si>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</si>
  <si>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</si>
  <si>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</si>
  <si>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</si>
  <si>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</si>
  <si>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</si>
  <si>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</si>
  <si>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</si>
  <si>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</si>
  <si>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</si>
  <si>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</si>
  <si>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</si>
  <si>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</si>
  <si>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</si>
  <si>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</si>
  <si>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</si>
  <si>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</si>
  <si>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</si>
  <si>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</si>
  <si>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</si>
  <si>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</si>
  <si>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</si>
  <si>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</si>
  <si>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</si>
  <si>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</si>
  <si>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</si>
  <si>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</si>
  <si>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</si>
  <si>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</si>
  <si>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</si>
  <si>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</si>
  <si>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</si>
  <si>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</si>
  <si>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</si>
  <si>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</si>
  <si>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</si>
  <si>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</si>
  <si>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</si>
  <si>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</si>
  <si>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</si>
  <si>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</si>
  <si>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</si>
  <si>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</si>
  <si>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</si>
  <si>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</si>
  <si>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</si>
  <si>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</si>
  <si>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</si>
  <si>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</si>
  <si>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</si>
  <si>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</si>
  <si>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</si>
  <si>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</si>
  <si>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</si>
  <si>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</si>
  <si>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</si>
  <si>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</si>
  <si>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</si>
  <si>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</si>
  <si>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</si>
  <si>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</si>
  <si>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</si>
  <si>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</si>
  <si>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</si>
  <si>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</si>
  <si>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</si>
  <si>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</si>
  <si>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</si>
  <si>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</si>
  <si>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</si>
  <si>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</si>
  <si>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</si>
  <si>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</si>
  <si>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</si>
  <si>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</si>
  <si>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</si>
  <si>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</si>
  <si>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</si>
  <si>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</si>
  <si>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</si>
  <si>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</si>
  <si>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</si>
  <si>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</si>
  <si>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</si>
  <si>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</si>
  <si>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</si>
  <si>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</si>
  <si>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</si>
  <si>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</si>
  <si>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</si>
  <si>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</si>
  <si>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</si>
  <si>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</si>
  <si>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</si>
  <si>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</si>
  <si>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</si>
  <si>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</si>
  <si>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</si>
  <si>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</si>
  <si>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</si>
  <si>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</si>
  <si>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</si>
  <si>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</si>
  <si>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</si>
  <si>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</si>
  <si>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</si>
  <si>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</si>
  <si>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</si>
  <si>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</si>
  <si>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</si>
  <si>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</si>
  <si>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</si>
  <si>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</si>
  <si>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</si>
  <si>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</si>
  <si>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</si>
  <si>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</si>
  <si>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</si>
  <si>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</si>
  <si>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</si>
  <si>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</si>
  <si>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</si>
  <si>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</si>
  <si>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</si>
  <si>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</si>
  <si>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</si>
  <si>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</si>
  <si>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</si>
  <si>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</si>
  <si>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</si>
  <si>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</si>
  <si>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</si>
  <si>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</si>
  <si>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</si>
  <si>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</si>
  <si>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</si>
  <si>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</si>
  <si>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</si>
  <si>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</si>
  <si>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</si>
  <si>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</si>
  <si>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</si>
  <si>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</si>
  <si>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</si>
  <si>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</si>
  <si>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</si>
  <si>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</si>
  <si>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</si>
  <si>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</si>
  <si>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</si>
  <si>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</si>
  <si>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</si>
  <si>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</si>
  <si>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</si>
  <si>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</si>
  <si>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</si>
  <si>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</si>
  <si>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</si>
  <si>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</si>
  <si>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</si>
  <si>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</si>
  <si>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</si>
  <si>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</si>
  <si>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</si>
  <si>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</si>
  <si>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</si>
  <si>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</si>
  <si>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</si>
  <si>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</si>
  <si>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</si>
  <si>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</si>
  <si>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</si>
  <si>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</si>
  <si>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</si>
  <si>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</si>
  <si>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</si>
  <si>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</si>
  <si>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</si>
  <si>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</si>
  <si>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</si>
  <si>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</si>
  <si>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</si>
  <si>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</si>
  <si>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</si>
  <si>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</si>
  <si>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</si>
  <si>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</si>
  <si>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</si>
  <si>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</si>
  <si>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</si>
  <si>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</si>
  <si>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</si>
  <si>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</si>
  <si>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</si>
  <si>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</si>
  <si>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</si>
  <si>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</si>
  <si>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</si>
  <si>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</si>
  <si>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</si>
  <si>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</si>
  <si>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</si>
  <si>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</si>
  <si>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</si>
  <si>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</si>
  <si>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</si>
  <si>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</si>
  <si>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</si>
  <si>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</si>
  <si>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</si>
  <si>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</si>
  <si>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</si>
  <si>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</si>
  <si>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</si>
  <si>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</si>
  <si>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</si>
  <si>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</si>
  <si>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</si>
  <si>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</si>
  <si>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</si>
  <si>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</si>
  <si>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</si>
  <si>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</si>
  <si>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</si>
  <si>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</si>
  <si>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</si>
  <si>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</si>
  <si>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</si>
  <si>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</si>
  <si>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</si>
  <si>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</si>
  <si>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</si>
  <si>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</si>
  <si>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</si>
  <si>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</si>
  <si>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</si>
  <si>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</si>
  <si>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</si>
  <si>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</si>
  <si>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</si>
  <si>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</si>
  <si>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</si>
  <si>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</si>
  <si>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</si>
  <si>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</si>
  <si>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</si>
  <si>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</si>
  <si>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</si>
  <si>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</si>
  <si>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</si>
  <si>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</si>
  <si>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</si>
  <si>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</si>
  <si>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</si>
  <si>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</si>
  <si>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</si>
  <si>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</si>
  <si>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</si>
  <si>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</si>
  <si>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</si>
  <si>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</si>
  <si>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</si>
  <si>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</si>
  <si>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</si>
  <si>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</si>
  <si>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</si>
  <si>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</si>
  <si>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</si>
  <si>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</si>
  <si>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</si>
  <si>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</si>
  <si>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</si>
  <si>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</si>
  <si>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</si>
  <si>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</si>
  <si>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</si>
  <si>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</si>
  <si>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</si>
  <si>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</si>
  <si>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</si>
  <si>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</si>
  <si>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</si>
  <si>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</si>
  <si>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</si>
  <si>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</si>
  <si>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</si>
  <si>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</si>
  <si>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</si>
  <si>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</si>
  <si>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</si>
  <si>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</si>
  <si>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</si>
  <si>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</si>
  <si>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</si>
  <si>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</si>
  <si>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</si>
  <si>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</si>
  <si>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</si>
  <si>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</si>
  <si>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</si>
  <si>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</si>
  <si>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</si>
  <si>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</si>
  <si>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</si>
  <si>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</si>
  <si>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</si>
  <si>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</si>
  <si>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</si>
  <si>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</si>
  <si>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</si>
  <si>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</si>
  <si>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</si>
  <si>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</si>
  <si>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</si>
  <si>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</si>
  <si>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</si>
  <si>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</si>
  <si>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</si>
  <si>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</si>
  <si>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</si>
  <si>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</si>
  <si>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</si>
  <si>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</si>
  <si>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</si>
  <si>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</si>
  <si>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</si>
  <si>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</si>
  <si>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</si>
  <si>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</si>
  <si>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</si>
  <si>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</si>
  <si>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</si>
  <si>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</si>
  <si>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</si>
  <si>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</si>
  <si>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</si>
  <si>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</si>
  <si>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</si>
  <si>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</si>
  <si>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</si>
  <si>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</si>
  <si>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</si>
  <si>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</si>
  <si>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</si>
  <si>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</si>
  <si>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</si>
  <si>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</si>
  <si>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</si>
  <si>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</si>
  <si>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</si>
  <si>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</si>
  <si>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</si>
  <si>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</si>
  <si>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</si>
  <si>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</si>
  <si>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</si>
  <si>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</si>
  <si>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</si>
  <si>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</si>
  <si>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</si>
  <si>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</si>
  <si>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</si>
  <si>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</si>
  <si>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</si>
  <si>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</si>
  <si>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</si>
  <si>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</si>
  <si>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</si>
  <si>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</si>
  <si>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</si>
  <si>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</si>
  <si>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</si>
  <si>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</si>
  <si>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</si>
  <si>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</si>
  <si>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</si>
  <si>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</si>
  <si>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</si>
  <si>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</si>
  <si>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</si>
  <si>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</si>
  <si>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</si>
  <si>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</si>
  <si>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</si>
  <si>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</si>
  <si>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</si>
  <si>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</si>
  <si>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</si>
  <si>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</si>
  <si>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</si>
  <si>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</si>
  <si>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</si>
  <si>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</si>
  <si>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</si>
  <si>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</si>
  <si>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</si>
  <si>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</si>
  <si>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</si>
  <si>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</si>
  <si>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</si>
  <si>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</si>
  <si>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</si>
  <si>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</si>
  <si>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</si>
  <si>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</si>
  <si>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</si>
  <si>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</si>
  <si>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</si>
  <si>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</si>
  <si>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</si>
  <si>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</si>
  <si>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</si>
  <si>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</si>
  <si>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</si>
  <si>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</si>
  <si>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</si>
  <si>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</si>
  <si>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</si>
  <si>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</si>
  <si>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</si>
  <si>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</si>
  <si>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</si>
  <si>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</si>
  <si>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</si>
  <si>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</si>
  <si>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</si>
  <si>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</si>
  <si>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</si>
  <si>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</si>
  <si>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</si>
  <si>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</si>
  <si>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</si>
  <si>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</si>
  <si>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</si>
  <si>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</si>
  <si>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</si>
  <si>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</si>
  <si>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</si>
  <si>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</si>
  <si>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</si>
  <si>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</si>
  <si>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</si>
  <si>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</si>
  <si>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</si>
  <si>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</si>
  <si>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</si>
  <si>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</si>
  <si>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</si>
  <si>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</si>
  <si>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</si>
  <si>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</si>
  <si>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</si>
  <si>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</si>
  <si>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</si>
  <si>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</si>
  <si>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</si>
  <si>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</si>
  <si>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</si>
  <si>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</si>
  <si>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</si>
  <si>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</si>
  <si>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</si>
  <si>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</si>
  <si>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</si>
  <si>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</si>
  <si>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</si>
  <si>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</si>
  <si>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</si>
  <si>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</si>
  <si>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</si>
  <si>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</si>
  <si>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</si>
  <si>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</si>
  <si>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</si>
  <si>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</si>
  <si>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</si>
  <si>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</si>
  <si>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</si>
  <si>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</si>
  <si>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</si>
  <si>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</si>
  <si>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</si>
  <si>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</si>
  <si>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</si>
  <si>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</si>
  <si>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</si>
  <si>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</si>
  <si>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</si>
  <si>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</si>
  <si>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</si>
  <si>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</si>
  <si>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</si>
  <si>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</si>
  <si>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</si>
  <si>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</si>
  <si>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</si>
  <si>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</si>
  <si>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</si>
  <si>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</si>
  <si>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</si>
  <si>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</si>
  <si>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</si>
  <si>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</si>
  <si>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</si>
  <si>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</si>
  <si>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</si>
  <si>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</si>
  <si>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</si>
  <si>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</si>
  <si>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</si>
  <si>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</si>
  <si>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</si>
  <si>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</si>
  <si>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</si>
  <si>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</si>
  <si>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</si>
  <si>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</si>
  <si>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</si>
  <si>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</si>
  <si>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</si>
  <si>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</si>
  <si>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</si>
  <si>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</si>
  <si>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</si>
  <si>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</si>
  <si>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</si>
  <si>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</si>
  <si>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</si>
  <si>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</si>
  <si>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</si>
  <si>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</si>
  <si>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</si>
  <si>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</si>
  <si>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</si>
  <si>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</si>
  <si>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</si>
  <si>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</si>
  <si>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</si>
  <si>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</si>
  <si>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</si>
  <si>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</si>
  <si>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</si>
  <si>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</si>
  <si>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</si>
  <si>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</si>
  <si>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</si>
  <si>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</si>
  <si>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</si>
  <si>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</si>
  <si>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</si>
  <si>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</si>
  <si>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</si>
  <si>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</si>
  <si>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</si>
  <si>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</si>
  <si>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</si>
  <si>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</si>
  <si>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</si>
  <si>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</si>
  <si>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</si>
  <si>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</si>
  <si>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</si>
  <si>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</si>
  <si>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</si>
  <si>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</si>
  <si>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</si>
  <si>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</si>
  <si>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</si>
  <si>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</si>
  <si>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</si>
  <si>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</si>
  <si>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</si>
  <si>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</si>
  <si>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</si>
  <si>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</si>
  <si>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</si>
  <si>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</si>
  <si>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</si>
  <si>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</si>
  <si>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</si>
  <si>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</si>
  <si>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</si>
  <si>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</si>
  <si>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</si>
  <si>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</si>
  <si>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</si>
  <si>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</si>
  <si>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</si>
  <si>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</si>
  <si>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</si>
  <si>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</si>
  <si>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</si>
  <si>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</si>
  <si>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</si>
  <si>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</si>
  <si>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</si>
  <si>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</si>
  <si>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</si>
  <si>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</si>
  <si>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</si>
  <si>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</si>
  <si>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</si>
  <si>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INGRID PAOLA PEDRAZA CARVAJAL</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</si>
  <si>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</si>
  <si>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</si>
  <si>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</si>
  <si>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</si>
  <si>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</si>
  <si>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</si>
  <si>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</si>
  <si>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</si>
  <si>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</si>
  <si>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</si>
  <si>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</si>
  <si>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</si>
  <si>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</si>
  <si>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</si>
  <si>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</si>
  <si>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</si>
  <si>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</si>
  <si>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</si>
  <si>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</si>
  <si>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</si>
  <si>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</si>
  <si>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</si>
  <si>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</si>
  <si>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</si>
  <si>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</si>
  <si>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</si>
  <si>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</si>
  <si>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</si>
  <si>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</si>
  <si>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</si>
  <si>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</si>
  <si>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</si>
  <si>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</si>
  <si>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</si>
  <si>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</si>
  <si>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</si>
  <si>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</si>
  <si>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</si>
  <si>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</si>
  <si>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</si>
  <si>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</si>
  <si>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</si>
  <si>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</si>
  <si>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</si>
  <si>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</si>
  <si>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</si>
  <si>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</si>
  <si>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</si>
  <si>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</si>
  <si>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</si>
  <si>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</si>
  <si>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</si>
  <si>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</si>
  <si>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</si>
  <si>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</si>
  <si>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</si>
  <si>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</si>
  <si>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</si>
  <si>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</si>
  <si>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</si>
  <si>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</si>
  <si>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</si>
  <si>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</si>
  <si>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</si>
  <si>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</si>
  <si>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</si>
  <si>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</si>
  <si>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</si>
  <si>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</si>
  <si>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</si>
  <si>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</si>
  <si>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</si>
  <si>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</si>
  <si>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</si>
  <si>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</si>
  <si>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</si>
  <si>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</si>
  <si>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</si>
  <si>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</si>
  <si>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</si>
  <si>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</si>
  <si>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</si>
  <si>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</si>
  <si>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</si>
  <si>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</si>
  <si>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</si>
  <si>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</si>
  <si>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</si>
  <si>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</si>
  <si>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</si>
  <si>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</si>
  <si>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</si>
  <si>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</si>
  <si>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</si>
  <si>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</si>
  <si>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</si>
  <si>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</si>
  <si>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</si>
  <si>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</si>
  <si>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</si>
  <si>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</si>
  <si>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</si>
  <si>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</si>
  <si>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</si>
  <si>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</si>
  <si>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</si>
  <si>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</si>
  <si>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</si>
  <si>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</si>
  <si>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</si>
  <si>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</si>
  <si>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</si>
  <si>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</si>
  <si>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</si>
  <si>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</si>
  <si>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</si>
  <si>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</si>
  <si>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</si>
  <si>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</si>
  <si>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</si>
  <si>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</si>
  <si>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</si>
  <si>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</si>
  <si>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</si>
  <si>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</si>
  <si>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</si>
  <si>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</si>
  <si>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</si>
  <si>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</si>
  <si>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</si>
  <si>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</si>
  <si>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</si>
  <si>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</si>
  <si>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</si>
  <si>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</si>
  <si>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</si>
  <si>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</si>
  <si>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</si>
  <si>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</si>
  <si>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</si>
  <si>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</si>
  <si>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</si>
  <si>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</si>
  <si>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</si>
  <si>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</si>
  <si>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</si>
  <si>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</si>
  <si>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</si>
  <si>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</si>
  <si>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445</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</si>
  <si>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</si>
  <si>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</si>
  <si>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</si>
  <si>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</si>
  <si>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</si>
  <si>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</si>
  <si>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</si>
  <si>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</si>
  <si>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</si>
  <si>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</si>
  <si>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</si>
  <si>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</si>
  <si>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</si>
  <si>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</si>
  <si>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</si>
  <si>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</si>
  <si>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</si>
  <si>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</si>
  <si>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</si>
  <si>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</si>
  <si>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</si>
  <si>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</si>
  <si>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</si>
  <si>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</si>
  <si>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</si>
  <si>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</si>
  <si>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</si>
  <si>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</si>
  <si>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</si>
  <si>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</si>
  <si>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</si>
  <si>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</si>
  <si>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</si>
  <si>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</si>
  <si>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</si>
  <si>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</si>
  <si>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</si>
  <si>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</si>
  <si>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</si>
  <si>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</si>
  <si>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</si>
  <si>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</si>
  <si>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</si>
  <si>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</si>
  <si>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</si>
  <si>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</si>
  <si>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</si>
  <si>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</si>
  <si>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</si>
  <si>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</si>
  <si>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</si>
  <si>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</si>
  <si>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</si>
  <si>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</si>
  <si>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</si>
  <si>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</si>
  <si>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</si>
  <si>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</si>
  <si>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</si>
  <si>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</si>
  <si>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</si>
  <si>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</si>
  <si>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</si>
  <si>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</si>
  <si>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</si>
  <si>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</si>
  <si>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</si>
  <si>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</si>
  <si>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</si>
  <si>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</si>
  <si>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</si>
  <si>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</si>
  <si>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</si>
  <si>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</si>
  <si>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</si>
  <si>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</si>
  <si>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</si>
  <si>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</si>
  <si>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</si>
  <si>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</si>
  <si>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</si>
  <si>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</si>
  <si>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</si>
  <si>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</si>
  <si>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</si>
  <si>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</si>
  <si>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</si>
  <si>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</si>
  <si>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</si>
  <si>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</si>
  <si>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</si>
  <si>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</si>
  <si>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</si>
  <si>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</si>
  <si>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</si>
  <si>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</si>
  <si>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</si>
  <si>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</si>
  <si>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</si>
  <si>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</si>
  <si>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</si>
  <si>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</si>
  <si>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</si>
  <si>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</si>
  <si>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</si>
  <si>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</si>
  <si>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</si>
  <si>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</si>
  <si>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</si>
  <si>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</si>
  <si>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</si>
  <si>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</si>
  <si>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</si>
  <si>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</si>
  <si>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</si>
  <si>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</si>
  <si>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</si>
  <si>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</si>
  <si>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</si>
  <si>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SOLUTION COPY LTDA</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</si>
  <si>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</si>
  <si>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</si>
  <si>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</si>
  <si>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</si>
  <si>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</si>
  <si>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</si>
  <si>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</si>
  <si>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</si>
  <si>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</si>
  <si>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</si>
  <si>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</si>
  <si>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</si>
  <si>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</si>
  <si>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</si>
  <si>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</si>
  <si>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</si>
  <si>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</si>
  <si>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</si>
  <si>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</si>
  <si>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</si>
  <si>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</si>
  <si>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</si>
  <si>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</si>
  <si>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</si>
  <si>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</si>
  <si>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</si>
  <si>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</si>
  <si>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</si>
  <si>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</si>
  <si>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</si>
  <si>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</si>
  <si>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</si>
  <si>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</si>
  <si>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</si>
  <si>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</si>
  <si>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</si>
  <si>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</si>
  <si>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</si>
  <si>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</si>
  <si>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</si>
  <si>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GRUPO EMPRESARIAL JHS SAS</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</si>
  <si>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</si>
  <si>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</si>
  <si>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</si>
  <si>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</si>
  <si>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</si>
  <si>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</si>
  <si>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</si>
  <si>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</si>
  <si>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</si>
  <si>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</si>
  <si>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</si>
  <si>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</si>
  <si>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</si>
  <si>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</si>
  <si>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</si>
  <si>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</si>
  <si>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</si>
  <si>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</si>
  <si>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</si>
  <si>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</si>
  <si>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</si>
  <si>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</si>
  <si>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</si>
  <si>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</si>
  <si>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</si>
  <si>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</si>
  <si>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</si>
  <si>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</si>
  <si>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</si>
  <si>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</si>
  <si>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</si>
  <si>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</si>
  <si>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</si>
  <si>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</si>
  <si>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</si>
  <si>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</si>
  <si>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</si>
  <si>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</si>
  <si>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</si>
  <si>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</si>
  <si>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</si>
  <si>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</si>
  <si>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</si>
  <si>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</si>
  <si>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</si>
  <si>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</si>
  <si>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</si>
  <si>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</si>
  <si>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</si>
  <si>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</si>
  <si>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</si>
  <si>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</si>
  <si>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</si>
  <si>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</si>
  <si>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</si>
  <si>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</si>
  <si>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</si>
  <si>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</si>
  <si>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</si>
  <si>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</si>
  <si>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</si>
  <si>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</si>
  <si>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</si>
  <si>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</si>
  <si>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</si>
  <si>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</si>
  <si>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</si>
  <si>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</si>
  <si>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</si>
  <si>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</si>
  <si>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</si>
  <si>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</si>
  <si>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</si>
  <si>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</si>
  <si>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</si>
  <si>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</si>
  <si>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</si>
  <si>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</si>
  <si>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</si>
  <si>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</si>
  <si>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</si>
  <si>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</si>
  <si>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</si>
  <si>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</si>
  <si>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</si>
  <si>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</si>
  <si>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</si>
  <si>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</si>
  <si>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</si>
  <si>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</si>
  <si>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</si>
  <si>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</si>
  <si>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</si>
  <si>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</si>
  <si>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</si>
  <si>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</si>
  <si>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</si>
  <si>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</si>
  <si>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</si>
  <si>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</si>
  <si>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</si>
  <si>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</si>
  <si>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</si>
  <si>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</si>
  <si>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</si>
  <si>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</si>
  <si>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</si>
  <si>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</si>
  <si>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</si>
  <si>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</si>
  <si>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</si>
  <si>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</si>
  <si>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</si>
  <si>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</si>
  <si>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</si>
  <si>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</si>
  <si>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</si>
  <si>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</si>
  <si>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</si>
  <si>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</si>
  <si>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</si>
  <si>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</si>
  <si>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</si>
  <si>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</si>
  <si>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771</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</si>
  <si>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</si>
  <si>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</si>
  <si>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</si>
  <si>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562</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</si>
  <si>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</si>
  <si>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</si>
  <si>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</si>
  <si>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</si>
  <si>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</si>
  <si>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</si>
  <si>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</si>
  <si>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</si>
  <si>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</si>
  <si>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</si>
  <si>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</si>
  <si>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</si>
  <si>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</si>
  <si>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</si>
  <si>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</si>
  <si>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</si>
  <si>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</si>
  <si>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</si>
  <si>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</si>
  <si>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</si>
  <si>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</si>
  <si>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</si>
  <si>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</si>
  <si>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</si>
  <si>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</si>
  <si>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</si>
  <si>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</si>
  <si>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</si>
  <si>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</si>
  <si>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</si>
  <si>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</si>
  <si>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</si>
  <si>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</si>
  <si>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</si>
  <si>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</si>
  <si>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</si>
  <si>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</si>
  <si>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</si>
  <si>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</si>
  <si>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</si>
  <si>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</si>
  <si>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</si>
  <si>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</si>
  <si>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</si>
  <si>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</si>
  <si>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</si>
  <si>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</si>
  <si>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</si>
  <si>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</si>
  <si>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</si>
  <si>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</si>
  <si>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</si>
  <si>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</si>
  <si>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</si>
  <si>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</si>
  <si>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</si>
  <si>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</si>
  <si>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</si>
  <si>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</si>
  <si>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</si>
  <si>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</si>
  <si>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</si>
  <si>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</si>
  <si>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</si>
  <si>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</si>
  <si>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</si>
  <si>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</si>
  <si>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</si>
  <si>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</si>
  <si>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</si>
  <si>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</si>
  <si>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</si>
  <si>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</si>
  <si>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</si>
  <si>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</si>
  <si>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</si>
  <si>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</si>
  <si>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</si>
  <si>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</si>
  <si>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</si>
  <si>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</si>
  <si>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</si>
  <si>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</si>
  <si>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</si>
  <si>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</si>
  <si>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</si>
  <si>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</si>
  <si>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</si>
  <si>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</si>
  <si>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</si>
  <si>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</si>
  <si>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</si>
  <si>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</si>
  <si>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</si>
  <si>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</si>
  <si>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</si>
  <si>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</si>
  <si>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</si>
  <si>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</si>
  <si>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</si>
  <si>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</si>
  <si>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</si>
  <si>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</si>
  <si>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</si>
  <si>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</si>
  <si>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</si>
  <si>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</si>
  <si>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</si>
  <si>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</si>
  <si>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</si>
  <si>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</si>
  <si>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</si>
  <si>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</si>
  <si>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</si>
  <si>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</si>
  <si>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</si>
  <si>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</si>
  <si>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</si>
  <si>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</si>
  <si>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</si>
  <si>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</si>
  <si>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</si>
  <si>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</si>
  <si>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</si>
  <si>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</si>
  <si>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</si>
  <si>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</si>
  <si>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</si>
  <si>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</si>
  <si>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</si>
  <si>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</si>
  <si>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</si>
  <si>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</si>
  <si>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</si>
  <si>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</si>
  <si>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</si>
  <si>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</si>
  <si>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</si>
  <si>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</si>
  <si>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</si>
  <si>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</si>
  <si>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</si>
  <si>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</si>
  <si>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</si>
  <si>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</si>
  <si>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</si>
  <si>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</si>
  <si>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</si>
  <si>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</si>
  <si>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</si>
  <si>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</si>
  <si>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</si>
  <si>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</si>
  <si>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</si>
  <si>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</si>
  <si>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</si>
  <si>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</si>
  <si>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</si>
  <si>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</si>
  <si>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</si>
  <si>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</si>
  <si>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</si>
  <si>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</si>
  <si>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</si>
  <si>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</si>
  <si>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</si>
  <si>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</si>
  <si>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</si>
  <si>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</si>
  <si>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</si>
  <si>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</si>
  <si>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</si>
  <si>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</si>
  <si>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</si>
  <si>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</si>
  <si>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</si>
  <si>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</si>
  <si>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</si>
  <si>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</si>
  <si>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</si>
  <si>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</si>
  <si>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</si>
  <si>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</si>
  <si>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</si>
  <si>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</si>
  <si>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</si>
  <si>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</si>
  <si>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</si>
  <si>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</si>
  <si>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</si>
  <si>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</si>
  <si>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</si>
  <si>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</si>
  <si>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</si>
  <si>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</si>
  <si>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</si>
  <si>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</si>
  <si>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</si>
  <si>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</si>
  <si>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</si>
  <si>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</si>
  <si>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</si>
  <si>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</si>
  <si>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</si>
  <si>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ENERO</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</si>
  <si>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</si>
  <si>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</si>
  <si>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</si>
  <si>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</si>
  <si>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</si>
  <si>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</si>
  <si>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</si>
  <si>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</si>
  <si>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</si>
  <si>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</si>
  <si>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</si>
  <si>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</si>
  <si>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</si>
  <si>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</si>
  <si>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</si>
  <si>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</si>
  <si>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</si>
  <si>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</si>
  <si>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</si>
  <si>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</si>
  <si>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</si>
  <si>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</si>
  <si>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</si>
  <si>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</si>
  <si>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</si>
  <si>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</si>
  <si>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</si>
  <si>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</si>
  <si>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</si>
  <si>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</si>
  <si>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</si>
  <si>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</si>
  <si>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</si>
  <si>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</si>
  <si>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</si>
  <si>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</si>
  <si>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</si>
  <si>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</si>
  <si>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</si>
  <si>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</si>
  <si>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</si>
  <si>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</si>
  <si>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</si>
  <si>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</si>
  <si>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</si>
  <si>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</si>
  <si>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</si>
  <si>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</si>
  <si>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</si>
  <si>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</si>
  <si>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</si>
  <si>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</si>
  <si>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</si>
  <si>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</si>
  <si>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</si>
  <si>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</si>
  <si>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</si>
  <si>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</si>
  <si>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</si>
  <si>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</si>
  <si>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</si>
  <si>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</si>
  <si>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</si>
  <si>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</si>
  <si>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</si>
  <si>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</si>
  <si>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</si>
  <si>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</si>
  <si>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</si>
  <si>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</si>
  <si>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</si>
  <si>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</si>
  <si>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</si>
  <si>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</si>
  <si>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</si>
  <si>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</si>
  <si>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</si>
  <si>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</si>
  <si>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</si>
  <si>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</si>
  <si>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</si>
  <si>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</si>
  <si>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</si>
  <si>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</si>
  <si>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</si>
  <si>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</si>
  <si>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</si>
  <si>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</si>
  <si>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</si>
  <si>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</si>
  <si>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</si>
  <si>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</si>
  <si>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</si>
  <si>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</si>
  <si>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</si>
  <si>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</si>
  <si>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</si>
  <si>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</si>
  <si>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</si>
  <si>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</si>
  <si>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</si>
  <si>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</si>
  <si>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</si>
  <si>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</si>
  <si>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</si>
  <si>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Prestación de servicios de apoyo a la gestión para realizar actividades de tipo administrativo, en especial las relacionadas con la gestión documental de la UAECOB desde la Subdirección de Gestión Corporativa - SGC</t>
  </si>
  <si>
    <t xml:space="preserve">3 meses </t>
  </si>
  <si>
    <t>Prestación de servicios profesionales a la Subdirección de Gestión Corporativa para apoyar las actividades jurídicas requeridas por esta dependencia-SGC</t>
  </si>
  <si>
    <t xml:space="preserve"> Adición y prórroga No. 1 al contrato 422 de 2022 que tiene como objeto "  Contratar la prestación del servicio de aseo y cafetería incluído insumos para la UAE Cuerpo Oficial de Bomberos-SGC</t>
  </si>
  <si>
    <t>Contratar los seguros de casco aviación aeronaves no tripuladas (drones) de propiedad y de aquellos por los cuales es legalmente responsable la Unidad Administrativa Especial del Cuerpo Oficial de Bomberos de Bogotá-SGC</t>
  </si>
  <si>
    <t>Prestación de servicios de apoyo a la gestión para realizar actividades de tipo administrativo, en especial las relacionadas con las gestiones que se adelanten en temas de Infraestructura a cargo de la Subdirección de Gestión Corporativa - SGC.</t>
  </si>
  <si>
    <t>Adición y prórroga al contrato No. 022 de 2022, cuyo objeto es "SGH - Prestar servicios profesionales en la Subdirección de Gestión Humana de la UAE Cuerpo Oficial de Bomberos en temas de liquidación de demandas y conciliaciones."</t>
  </si>
  <si>
    <t>Adición y prórroga al contrato No. 021 de 2022, cuyo objeto es "SGH - Prestar sus servicios profesionales en el proceso de liquidación de demandas y conciliaciones administrativas para la Subdirección de Gestión Humana de la UAE Cuerpo Oficial de Bomberos"</t>
  </si>
  <si>
    <t>Adición y prórroga al contrato No. 143 de 2022, cuyo objeto es "SGH - Prestar sus servicios profesionales en la Subdirección de Gestión Humana en temas de desarrollo organizacional"</t>
  </si>
  <si>
    <t>Prestar servicios profesionales para la administración de las bases de datos de la U.A.E Cuerpo Oficial de Bomberos de Bogota</t>
  </si>
  <si>
    <t>Prestar servicios profesionales para apoyar el analisis y construcción de procesos y procedimientos necesarios para la gestión y servicios TIC´S</t>
  </si>
  <si>
    <t>V.21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</si>
</sst>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_);_(* \(#,##0.00\);_(* &quot;-&quot;??_);_(@_)"/>
    <numFmt numFmtId="167" formatCode="_(* #,##0_);_(* \(#,##0\);_(* &quot;-&quot;??_);_(@_)"/>
    <numFmt numFmtId="168" formatCode="0;[Red]0"/>
    <numFmt numFmtId="169" formatCode="_(&quot;$&quot;\ * #,##0.00_);_(&quot;$&quot;\ * \(#,##0.00\);_(&quot;$&quot;\ * &quot;-&quot;??_);_(@_)"/>
    <numFmt numFmtId="170" formatCode="0.000%"/>
    <numFmt numFmtId="171" formatCode="#,###\ &quot;COP&quot;"/>
    <numFmt numFmtId="172" formatCode="_-[$$-240A]\ * #,##0_-;\-[$$-240A]\ * #,##0_-;_-[$$-240A]\ * &quot;-&quot;??_-;_-@_-"/>
    <numFmt numFmtId="173" formatCode="&quot;$&quot;#,##0"/>
    <numFmt numFmtId="174" formatCode="&quot;$&quot;\ #,##0"/>
    <numFmt numFmtId="175" formatCode="_-&quot;$&quot;\ * #,##0_-;\-&quot;$&quot;\ * #,##0_-;_-&quot;$&quot;\ * &quot;-&quot;??_-;_-@_-"/>
    <numFmt numFmtId="176" formatCode="_-* #,##0_-;\-* #,##0_-;_-* &quot;-&quot;??_-;_-@_-"/>
    <numFmt numFmtId="177" formatCode="0.0"/>
    <numFmt numFmtId="178" formatCode="dd\-mm\-yy;@"/>
    <numFmt numFmtId="179" formatCode="d/mm/yyyy;@"/>
  </numFmts>
  <fonts count="111" x14ac:knownFonts="1">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sz val="12"/>
      <name val="Arial"/>
      <family val="2"/>
    </font>
    <font>
      <sz val="8"/>
      <name val="Calibri"/>
      <family val="2"/>
      <scheme val="minor"/>
    </font>
    <font>
      <sz val="9"/>
      <color indexed="81"/>
      <name val="Tahoma"/>
      <family val="2"/>
    </font>
    <font>
      <b/>
      <sz val="9"/>
      <color indexed="81"/>
      <name val="Tahoma"/>
      <family val="2"/>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
      <patternFill patternType="solid">
        <fgColor theme="5" tint="0.3999755851924192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165"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44" fontId="1" fillId="0" borderId="0" applyFont="0" applyFill="0" applyBorder="0" applyAlignment="0" applyProtection="0"/>
  </cellStyleXfs>
  <cellXfs count="1503">
    <xf numFmtId="0" fontId="0" fillId="0" borderId="0" xfId="0"/>
    <xf numFmtId="0" fontId="0" fillId="2" borderId="0" xfId="0" applyFill="1"/>
    <xf numFmtId="0" fontId="0" fillId="0" borderId="1" xfId="0" applyBorder="1" applyAlignment="1">
      <alignment horizontal="left"/>
    </xf>
    <xf numFmtId="41" fontId="0" fillId="0" borderId="0" xfId="2" applyFont="1"/>
    <xf numFmtId="42"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42"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7" fontId="6" fillId="2" borderId="1" xfId="4" applyNumberFormat="1" applyFont="1" applyFill="1" applyBorder="1" applyAlignment="1">
      <alignment horizontal="center" vertical="center" wrapText="1"/>
    </xf>
    <xf numFmtId="167"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8"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8"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7" fontId="6" fillId="2" borderId="1" xfId="4" applyNumberFormat="1" applyFont="1" applyFill="1" applyBorder="1" applyAlignment="1">
      <alignment horizontal="center" wrapText="1"/>
    </xf>
    <xf numFmtId="167"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7"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42" fontId="0" fillId="0" borderId="0" xfId="3" applyFont="1" applyAlignment="1">
      <alignment horizontal="center" vertical="center"/>
    </xf>
    <xf numFmtId="9" fontId="0" fillId="0" borderId="0" xfId="1" applyFont="1" applyAlignment="1">
      <alignment horizontal="center" vertical="center"/>
    </xf>
    <xf numFmtId="42" fontId="0" fillId="0" borderId="0" xfId="3" applyFont="1" applyAlignment="1"/>
    <xf numFmtId="0" fontId="17" fillId="0" borderId="0" xfId="0" applyFont="1"/>
    <xf numFmtId="0" fontId="18" fillId="2" borderId="0" xfId="0" applyFont="1" applyFill="1"/>
    <xf numFmtId="0" fontId="19" fillId="0" borderId="1" xfId="0" applyFont="1" applyBorder="1"/>
    <xf numFmtId="42" fontId="20" fillId="0" borderId="1" xfId="3" applyFont="1" applyBorder="1" applyAlignment="1">
      <alignment horizontal="center" vertical="center"/>
    </xf>
    <xf numFmtId="9" fontId="20" fillId="0" borderId="1" xfId="1" applyFont="1" applyBorder="1" applyAlignment="1">
      <alignment horizontal="center" vertical="center"/>
    </xf>
    <xf numFmtId="42" fontId="19" fillId="0" borderId="1" xfId="3" applyFont="1" applyBorder="1" applyAlignment="1">
      <alignment horizontal="center" vertical="center"/>
    </xf>
    <xf numFmtId="42"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42" fontId="7" fillId="8" borderId="7" xfId="3" applyFont="1" applyFill="1" applyBorder="1" applyAlignment="1">
      <alignment horizontal="center" wrapText="1"/>
    </xf>
    <xf numFmtId="42" fontId="7" fillId="8" borderId="7" xfId="3" applyFont="1" applyFill="1" applyBorder="1" applyAlignment="1">
      <alignment horizontal="center" vertical="center" wrapText="1"/>
    </xf>
    <xf numFmtId="42"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0"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165" fontId="25" fillId="2" borderId="13" xfId="11" applyFont="1" applyFill="1" applyBorder="1"/>
    <xf numFmtId="165" fontId="25" fillId="0" borderId="13" xfId="11" applyFont="1" applyFill="1" applyBorder="1"/>
    <xf numFmtId="42" fontId="25" fillId="0" borderId="39" xfId="9" applyNumberFormat="1" applyFont="1" applyBorder="1"/>
    <xf numFmtId="165" fontId="25" fillId="0" borderId="1" xfId="11" applyFont="1" applyFill="1" applyBorder="1"/>
    <xf numFmtId="42"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165"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42" fontId="25" fillId="0" borderId="0" xfId="9" applyNumberFormat="1" applyFont="1"/>
    <xf numFmtId="0" fontId="25" fillId="0" borderId="14" xfId="9" applyFont="1" applyBorder="1" applyAlignment="1">
      <alignment horizontal="left"/>
    </xf>
    <xf numFmtId="165" fontId="25" fillId="0" borderId="14" xfId="11" applyFont="1" applyFill="1" applyBorder="1"/>
    <xf numFmtId="42"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165" fontId="25" fillId="0" borderId="0" xfId="11" applyFont="1" applyFill="1" applyBorder="1"/>
    <xf numFmtId="42" fontId="25" fillId="0" borderId="24" xfId="9" applyNumberFormat="1" applyFont="1" applyBorder="1"/>
    <xf numFmtId="42"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165"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165" fontId="25" fillId="0" borderId="42" xfId="11" applyFont="1" applyFill="1" applyBorder="1"/>
    <xf numFmtId="165" fontId="25" fillId="0" borderId="1" xfId="9" applyNumberFormat="1" applyFont="1" applyBorder="1"/>
    <xf numFmtId="165" fontId="25" fillId="0" borderId="13" xfId="9" applyNumberFormat="1" applyFont="1" applyBorder="1"/>
    <xf numFmtId="165" fontId="25" fillId="0" borderId="49" xfId="11" applyFont="1" applyFill="1" applyBorder="1"/>
    <xf numFmtId="42" fontId="25" fillId="0" borderId="50" xfId="9" applyNumberFormat="1" applyFont="1" applyBorder="1"/>
    <xf numFmtId="42" fontId="25" fillId="0" borderId="51" xfId="9" applyNumberFormat="1" applyFont="1" applyBorder="1"/>
    <xf numFmtId="42" fontId="25" fillId="0" borderId="1" xfId="9" applyNumberFormat="1" applyFont="1" applyBorder="1"/>
    <xf numFmtId="165"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42" fontId="0" fillId="0" borderId="1" xfId="3" applyFont="1" applyBorder="1"/>
    <xf numFmtId="42"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42"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42"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42" fontId="10" fillId="0" borderId="1" xfId="0" applyNumberFormat="1" applyFont="1" applyBorder="1" applyAlignment="1">
      <alignment horizontal="center" vertical="center" wrapText="1"/>
    </xf>
    <xf numFmtId="0" fontId="9" fillId="0" borderId="1" xfId="0" applyFont="1" applyBorder="1"/>
    <xf numFmtId="42" fontId="0" fillId="0" borderId="1" xfId="3" applyFont="1" applyFill="1" applyBorder="1" applyAlignment="1">
      <alignment horizontal="center" vertical="center"/>
    </xf>
    <xf numFmtId="0" fontId="9" fillId="0" borderId="1" xfId="0" applyFont="1" applyBorder="1" applyAlignment="1">
      <alignment wrapText="1"/>
    </xf>
    <xf numFmtId="42" fontId="10" fillId="0" borderId="1" xfId="3" applyFont="1" applyFill="1" applyBorder="1" applyAlignment="1">
      <alignment vertical="center" wrapText="1"/>
    </xf>
    <xf numFmtId="0" fontId="21" fillId="0" borderId="1" xfId="0" applyFont="1" applyBorder="1" applyAlignment="1">
      <alignment wrapText="1"/>
    </xf>
    <xf numFmtId="42" fontId="10" fillId="0" borderId="1" xfId="3" applyFont="1" applyFill="1" applyBorder="1" applyAlignment="1">
      <alignment vertical="center"/>
    </xf>
    <xf numFmtId="42" fontId="10" fillId="0" borderId="1" xfId="3" applyFont="1" applyFill="1" applyBorder="1" applyAlignment="1">
      <alignment horizontal="right" vertical="center"/>
    </xf>
    <xf numFmtId="42" fontId="10" fillId="0" borderId="24" xfId="0" applyNumberFormat="1" applyFont="1" applyBorder="1" applyAlignment="1">
      <alignment horizontal="center" vertical="center" wrapText="1"/>
    </xf>
    <xf numFmtId="0" fontId="9" fillId="0" borderId="24" xfId="0" applyFont="1" applyBorder="1"/>
    <xf numFmtId="42"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42"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42"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42" fontId="9" fillId="0" borderId="1" xfId="3" applyFont="1" applyFill="1" applyBorder="1" applyAlignment="1">
      <alignment vertical="center"/>
    </xf>
    <xf numFmtId="0" fontId="14" fillId="0" borderId="1" xfId="0" applyFont="1" applyBorder="1" applyAlignment="1">
      <alignment vertical="center" wrapText="1"/>
    </xf>
    <xf numFmtId="42" fontId="15" fillId="0" borderId="1" xfId="0" applyNumberFormat="1" applyFont="1" applyBorder="1" applyAlignment="1">
      <alignment horizontal="center" vertical="center" wrapText="1"/>
    </xf>
    <xf numFmtId="42"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42" fontId="10" fillId="0" borderId="1" xfId="3" applyFont="1" applyFill="1" applyBorder="1" applyAlignment="1">
      <alignment horizontal="center" vertical="center"/>
    </xf>
    <xf numFmtId="42"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42"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42"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42"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42" fontId="37" fillId="0" borderId="8" xfId="3" applyFont="1" applyBorder="1" applyAlignment="1">
      <alignment horizontal="right"/>
    </xf>
    <xf numFmtId="3" fontId="37" fillId="0" borderId="8" xfId="0" applyNumberFormat="1" applyFont="1" applyBorder="1" applyAlignment="1">
      <alignment horizontal="right" vertical="top"/>
    </xf>
    <xf numFmtId="42" fontId="37" fillId="0" borderId="8" xfId="3" applyFont="1" applyFill="1" applyBorder="1"/>
    <xf numFmtId="42" fontId="37" fillId="2" borderId="8" xfId="3" applyFont="1" applyFill="1" applyBorder="1"/>
    <xf numFmtId="42" fontId="5" fillId="0" borderId="8" xfId="3" applyFont="1" applyBorder="1"/>
    <xf numFmtId="42" fontId="37" fillId="0" borderId="29" xfId="3" applyFont="1" applyBorder="1" applyAlignment="1">
      <alignment horizontal="right"/>
    </xf>
    <xf numFmtId="172" fontId="18" fillId="24" borderId="1" xfId="3" applyNumberFormat="1" applyFont="1" applyFill="1" applyBorder="1"/>
    <xf numFmtId="172" fontId="18" fillId="0" borderId="1" xfId="3" applyNumberFormat="1" applyFont="1" applyBorder="1"/>
    <xf numFmtId="172" fontId="37" fillId="0" borderId="1" xfId="3" applyNumberFormat="1" applyFont="1" applyBorder="1"/>
    <xf numFmtId="172" fontId="37" fillId="0" borderId="1" xfId="3" applyNumberFormat="1" applyFont="1" applyFill="1" applyBorder="1"/>
    <xf numFmtId="172" fontId="5" fillId="0" borderId="1" xfId="3" applyNumberFormat="1" applyFont="1" applyBorder="1"/>
    <xf numFmtId="172" fontId="37" fillId="0" borderId="13" xfId="3" applyNumberFormat="1" applyFont="1" applyBorder="1"/>
    <xf numFmtId="172" fontId="18" fillId="8" borderId="1" xfId="3" applyNumberFormat="1" applyFont="1" applyFill="1" applyBorder="1" applyAlignment="1">
      <alignment horizontal="center"/>
    </xf>
    <xf numFmtId="172" fontId="37" fillId="0" borderId="1" xfId="3" applyNumberFormat="1" applyFont="1" applyBorder="1" applyAlignment="1">
      <alignment horizontal="right"/>
    </xf>
    <xf numFmtId="172" fontId="37" fillId="0" borderId="1" xfId="3" applyNumberFormat="1" applyFont="1" applyFill="1" applyBorder="1" applyAlignment="1">
      <alignment horizontal="right"/>
    </xf>
    <xf numFmtId="172" fontId="18" fillId="23" borderId="1" xfId="3" applyNumberFormat="1" applyFont="1" applyFill="1" applyBorder="1"/>
    <xf numFmtId="172" fontId="40" fillId="23" borderId="1" xfId="3" applyNumberFormat="1" applyFont="1" applyFill="1" applyBorder="1"/>
    <xf numFmtId="172" fontId="37" fillId="0" borderId="13" xfId="3" applyNumberFormat="1" applyFont="1" applyFill="1" applyBorder="1"/>
    <xf numFmtId="172" fontId="5" fillId="0" borderId="1" xfId="3" applyNumberFormat="1" applyFont="1" applyFill="1" applyBorder="1"/>
    <xf numFmtId="172" fontId="18" fillId="21" borderId="1" xfId="3" applyNumberFormat="1" applyFont="1" applyFill="1" applyBorder="1"/>
    <xf numFmtId="172" fontId="37" fillId="21" borderId="1" xfId="3" applyNumberFormat="1" applyFont="1" applyFill="1" applyBorder="1"/>
    <xf numFmtId="172" fontId="37" fillId="21" borderId="1" xfId="3" applyNumberFormat="1" applyFont="1" applyFill="1" applyBorder="1" applyProtection="1">
      <protection locked="0"/>
    </xf>
    <xf numFmtId="172" fontId="5" fillId="21" borderId="1" xfId="3" applyNumberFormat="1" applyFont="1" applyFill="1" applyBorder="1"/>
    <xf numFmtId="172" fontId="37" fillId="21" borderId="1" xfId="0" applyNumberFormat="1" applyFont="1" applyFill="1" applyBorder="1"/>
    <xf numFmtId="172" fontId="37" fillId="21" borderId="13" xfId="3" applyNumberFormat="1" applyFont="1" applyFill="1" applyBorder="1"/>
    <xf numFmtId="172" fontId="5" fillId="21" borderId="13" xfId="3" applyNumberFormat="1" applyFont="1" applyFill="1" applyBorder="1"/>
    <xf numFmtId="172" fontId="18" fillId="22" borderId="1" xfId="3" applyNumberFormat="1" applyFont="1" applyFill="1" applyBorder="1"/>
    <xf numFmtId="172" fontId="5" fillId="0" borderId="13" xfId="3" applyNumberFormat="1" applyFont="1" applyBorder="1"/>
    <xf numFmtId="172" fontId="5" fillId="0" borderId="13" xfId="3" applyNumberFormat="1" applyFont="1" applyFill="1" applyBorder="1"/>
    <xf numFmtId="172"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42"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42" fontId="9" fillId="0" borderId="24" xfId="3" applyFont="1" applyFill="1" applyBorder="1" applyAlignment="1">
      <alignment horizontal="center" vertical="center"/>
    </xf>
    <xf numFmtId="42"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42"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2" fontId="37" fillId="0" borderId="0" xfId="0" applyNumberFormat="1" applyFont="1" applyAlignment="1">
      <alignment horizontal="right" vertical="top"/>
    </xf>
    <xf numFmtId="0" fontId="1" fillId="0" borderId="1" xfId="0" applyFont="1" applyBorder="1"/>
    <xf numFmtId="42" fontId="0" fillId="0" borderId="0" xfId="3" applyFont="1" applyFill="1" applyAlignment="1">
      <alignment horizontal="center" vertical="center"/>
    </xf>
    <xf numFmtId="42" fontId="0" fillId="0" borderId="0" xfId="3" applyFont="1" applyFill="1" applyAlignment="1"/>
    <xf numFmtId="172" fontId="37" fillId="0" borderId="1" xfId="0" applyNumberFormat="1" applyFont="1" applyBorder="1" applyAlignment="1">
      <alignment horizontal="right" vertical="top"/>
    </xf>
    <xf numFmtId="172" fontId="37" fillId="0" borderId="13" xfId="3" applyNumberFormat="1" applyFont="1" applyFill="1" applyBorder="1" applyAlignment="1">
      <alignment horizontal="right"/>
    </xf>
    <xf numFmtId="0" fontId="1" fillId="21" borderId="1" xfId="3" applyNumberFormat="1" applyFont="1" applyFill="1" applyBorder="1"/>
    <xf numFmtId="172"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2"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2" fontId="43" fillId="0" borderId="1" xfId="3" applyNumberFormat="1" applyFont="1" applyFill="1" applyBorder="1"/>
    <xf numFmtId="172" fontId="43" fillId="0" borderId="1" xfId="0" applyNumberFormat="1" applyFont="1" applyBorder="1"/>
    <xf numFmtId="0" fontId="43" fillId="0" borderId="8" xfId="0" applyFont="1" applyBorder="1"/>
    <xf numFmtId="0" fontId="43" fillId="0" borderId="1" xfId="0" applyFont="1" applyBorder="1" applyAlignment="1">
      <alignment horizontal="center"/>
    </xf>
    <xf numFmtId="172" fontId="43" fillId="0" borderId="1" xfId="3" applyNumberFormat="1" applyFont="1" applyBorder="1"/>
    <xf numFmtId="172" fontId="5" fillId="0" borderId="1" xfId="0" applyNumberFormat="1" applyFont="1" applyBorder="1"/>
    <xf numFmtId="0" fontId="5" fillId="0" borderId="8" xfId="0" applyFont="1" applyBorder="1"/>
    <xf numFmtId="42" fontId="9" fillId="0" borderId="1" xfId="3" applyFont="1" applyFill="1" applyBorder="1" applyAlignment="1">
      <alignment horizontal="center" vertical="center" wrapText="1"/>
    </xf>
    <xf numFmtId="0" fontId="18" fillId="8" borderId="1" xfId="0" applyFont="1" applyFill="1" applyBorder="1" applyAlignment="1">
      <alignment horizontal="center"/>
    </xf>
    <xf numFmtId="42"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2"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2" fontId="0" fillId="0" borderId="13" xfId="3" applyNumberFormat="1" applyFont="1" applyBorder="1"/>
    <xf numFmtId="14" fontId="0" fillId="0" borderId="1" xfId="0" applyNumberFormat="1" applyBorder="1" applyAlignment="1">
      <alignment horizontal="center"/>
    </xf>
    <xf numFmtId="172" fontId="0" fillId="0" borderId="1" xfId="3" applyNumberFormat="1" applyFont="1" applyBorder="1" applyAlignment="1">
      <alignment horizontal="right"/>
    </xf>
    <xf numFmtId="42" fontId="0" fillId="0" borderId="1" xfId="0" applyNumberFormat="1" applyBorder="1"/>
    <xf numFmtId="172" fontId="0" fillId="0" borderId="1" xfId="3" applyNumberFormat="1" applyFont="1" applyBorder="1"/>
    <xf numFmtId="0" fontId="0" fillId="21" borderId="1" xfId="0" applyFill="1" applyBorder="1"/>
    <xf numFmtId="172" fontId="0" fillId="21" borderId="1" xfId="3" applyNumberFormat="1" applyFont="1" applyFill="1" applyBorder="1"/>
    <xf numFmtId="1" fontId="0" fillId="0" borderId="1" xfId="0" applyNumberFormat="1" applyBorder="1"/>
    <xf numFmtId="14" fontId="0" fillId="0" borderId="1" xfId="0" applyNumberFormat="1" applyBorder="1"/>
    <xf numFmtId="172" fontId="0" fillId="0" borderId="1" xfId="3" applyNumberFormat="1" applyFont="1" applyFill="1" applyBorder="1"/>
    <xf numFmtId="172"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2" fontId="0" fillId="0" borderId="1" xfId="3" applyNumberFormat="1" applyFont="1" applyFill="1" applyBorder="1" applyAlignment="1">
      <alignment horizontal="right"/>
    </xf>
    <xf numFmtId="172"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2" fontId="0" fillId="21" borderId="1" xfId="3" applyNumberFormat="1" applyFont="1" applyFill="1" applyBorder="1" applyProtection="1">
      <protection locked="0"/>
    </xf>
    <xf numFmtId="172"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2"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42"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2"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2"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2" fontId="0" fillId="0" borderId="1" xfId="0" applyNumberFormat="1" applyBorder="1"/>
    <xf numFmtId="0" fontId="0" fillId="0" borderId="8" xfId="0" applyBorder="1"/>
    <xf numFmtId="0" fontId="0" fillId="0" borderId="1" xfId="0" applyBorder="1" applyAlignment="1">
      <alignment horizontal="right"/>
    </xf>
    <xf numFmtId="42" fontId="0" fillId="0" borderId="8" xfId="0" applyNumberFormat="1" applyBorder="1"/>
    <xf numFmtId="172" fontId="0" fillId="21" borderId="1" xfId="3" applyNumberFormat="1" applyFont="1" applyFill="1" applyBorder="1" applyAlignment="1">
      <alignment horizontal="right"/>
    </xf>
    <xf numFmtId="42"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42"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42"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42"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42"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42"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42"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42"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164"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164"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164" fontId="65" fillId="0" borderId="1" xfId="0" applyNumberFormat="1" applyFont="1" applyBorder="1" applyAlignment="1">
      <alignment horizontal="left" vertical="center"/>
    </xf>
    <xf numFmtId="42"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164"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164" fontId="65" fillId="0" borderId="1" xfId="0" applyNumberFormat="1" applyFont="1" applyBorder="1" applyAlignment="1">
      <alignment vertical="top" wrapText="1"/>
    </xf>
    <xf numFmtId="0" fontId="25" fillId="0" borderId="1" xfId="0" applyFont="1" applyBorder="1" applyAlignment="1">
      <alignment horizontal="left" wrapText="1"/>
    </xf>
    <xf numFmtId="164"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164"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42" fontId="9" fillId="0" borderId="7" xfId="0" applyNumberFormat="1" applyFont="1" applyBorder="1" applyAlignment="1">
      <alignment horizontal="center" vertical="center"/>
    </xf>
    <xf numFmtId="42"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6" fontId="6" fillId="2" borderId="1" xfId="0" applyNumberFormat="1" applyFont="1" applyFill="1" applyBorder="1" applyAlignment="1">
      <alignment horizontal="left" vertical="center" wrapText="1"/>
    </xf>
    <xf numFmtId="42" fontId="5" fillId="2" borderId="0" xfId="0" applyNumberFormat="1" applyFont="1" applyFill="1" applyAlignment="1">
      <alignment horizontal="center" vertical="center" wrapText="1"/>
    </xf>
    <xf numFmtId="42" fontId="9" fillId="10" borderId="1" xfId="3" applyFont="1" applyFill="1" applyBorder="1" applyAlignment="1">
      <alignment horizontal="center" vertical="center"/>
    </xf>
    <xf numFmtId="42" fontId="23" fillId="10" borderId="1" xfId="3" applyFont="1" applyFill="1" applyBorder="1" applyAlignment="1">
      <alignment horizontal="center" vertical="center"/>
    </xf>
    <xf numFmtId="0" fontId="9" fillId="10" borderId="1" xfId="0" applyFont="1" applyFill="1" applyBorder="1"/>
    <xf numFmtId="42"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2" fontId="37" fillId="26" borderId="1" xfId="3" applyNumberFormat="1" applyFont="1" applyFill="1" applyBorder="1"/>
    <xf numFmtId="42"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42"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42" fontId="19" fillId="0" borderId="1" xfId="3" applyFont="1" applyFill="1" applyBorder="1" applyAlignment="1">
      <alignment horizontal="center" vertical="center"/>
    </xf>
    <xf numFmtId="42" fontId="18" fillId="21" borderId="1" xfId="3" applyFont="1" applyFill="1" applyBorder="1"/>
    <xf numFmtId="0" fontId="0" fillId="7" borderId="1" xfId="0" applyFill="1" applyBorder="1" applyAlignment="1">
      <alignment vertical="top"/>
    </xf>
    <xf numFmtId="172" fontId="0" fillId="7" borderId="1" xfId="3" applyNumberFormat="1" applyFont="1" applyFill="1" applyBorder="1" applyAlignment="1">
      <alignment horizontal="right"/>
    </xf>
    <xf numFmtId="3" fontId="0" fillId="0" borderId="1" xfId="0" applyNumberFormat="1" applyBorder="1" applyAlignment="1">
      <alignment horizontal="right" vertical="top"/>
    </xf>
    <xf numFmtId="172"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2" fontId="0" fillId="7" borderId="1" xfId="3" applyNumberFormat="1" applyFont="1" applyFill="1" applyBorder="1" applyAlignment="1">
      <alignment horizontal="right" vertical="top"/>
    </xf>
    <xf numFmtId="172" fontId="37" fillId="0" borderId="1" xfId="3" applyNumberFormat="1" applyFont="1" applyBorder="1" applyAlignment="1">
      <alignment horizontal="right" vertical="top"/>
    </xf>
    <xf numFmtId="172" fontId="37" fillId="21" borderId="1" xfId="3" applyNumberFormat="1" applyFont="1" applyFill="1" applyBorder="1" applyAlignment="1">
      <alignment horizontal="right"/>
    </xf>
    <xf numFmtId="42" fontId="18" fillId="0" borderId="1" xfId="3" applyFont="1" applyBorder="1"/>
    <xf numFmtId="0" fontId="23" fillId="0" borderId="1" xfId="0" applyFont="1" applyBorder="1"/>
    <xf numFmtId="42" fontId="5" fillId="0" borderId="1" xfId="3" applyFont="1" applyFill="1" applyBorder="1" applyAlignment="1">
      <alignment horizontal="center" vertical="center"/>
    </xf>
    <xf numFmtId="42" fontId="9" fillId="0" borderId="1" xfId="3" applyFont="1" applyFill="1" applyBorder="1" applyAlignment="1">
      <alignment vertical="center" wrapText="1"/>
    </xf>
    <xf numFmtId="42" fontId="23" fillId="0" borderId="7" xfId="3" applyFont="1" applyFill="1" applyBorder="1" applyAlignment="1">
      <alignment horizontal="center" vertical="center"/>
    </xf>
    <xf numFmtId="42" fontId="9" fillId="0" borderId="1" xfId="0" applyNumberFormat="1" applyFont="1" applyBorder="1" applyAlignment="1">
      <alignment horizontal="center" vertical="center"/>
    </xf>
    <xf numFmtId="42" fontId="23" fillId="0" borderId="1" xfId="0" applyNumberFormat="1" applyFont="1" applyBorder="1" applyAlignment="1">
      <alignment vertical="center"/>
    </xf>
    <xf numFmtId="0" fontId="10" fillId="3" borderId="10" xfId="0" applyFont="1" applyFill="1" applyBorder="1" applyAlignment="1">
      <alignment vertical="center" wrapText="1"/>
    </xf>
    <xf numFmtId="42" fontId="9" fillId="10" borderId="1" xfId="0" applyNumberFormat="1" applyFont="1" applyFill="1" applyBorder="1" applyAlignment="1">
      <alignment vertical="center"/>
    </xf>
    <xf numFmtId="42" fontId="9" fillId="2" borderId="1" xfId="3" applyFont="1" applyFill="1" applyBorder="1" applyAlignment="1">
      <alignment horizontal="center" vertical="center"/>
    </xf>
    <xf numFmtId="42"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42" fontId="10" fillId="28" borderId="1" xfId="0" applyNumberFormat="1" applyFont="1" applyFill="1" applyBorder="1" applyAlignment="1">
      <alignment horizontal="center" vertical="center" wrapText="1"/>
    </xf>
    <xf numFmtId="42"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42"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42"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42"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42" fontId="7" fillId="8" borderId="32" xfId="3" applyFont="1" applyFill="1" applyBorder="1" applyAlignment="1">
      <alignment horizontal="center" vertical="center" wrapText="1"/>
    </xf>
    <xf numFmtId="42"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42"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42"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42" fontId="0" fillId="2" borderId="1" xfId="3" applyFont="1" applyFill="1" applyBorder="1" applyAlignment="1">
      <alignment vertical="center"/>
    </xf>
    <xf numFmtId="42"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1" fontId="0" fillId="0" borderId="0" xfId="16" applyNumberFormat="1" applyFont="1" applyFill="1" applyProtection="1">
      <protection locked="0"/>
    </xf>
    <xf numFmtId="171" fontId="0" fillId="0" borderId="0" xfId="16" applyNumberFormat="1" applyFont="1" applyProtection="1">
      <protection locked="0"/>
    </xf>
    <xf numFmtId="49" fontId="33" fillId="0" borderId="0" xfId="8" applyFill="1" applyProtection="1">
      <alignment horizontal="left" vertical="center"/>
      <protection locked="0"/>
    </xf>
    <xf numFmtId="173"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7"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8"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42" fontId="9" fillId="0" borderId="1" xfId="3" applyFont="1" applyBorder="1" applyAlignment="1">
      <alignment vertical="center"/>
    </xf>
    <xf numFmtId="42"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6"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42"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42"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42"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42"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42" fontId="84" fillId="0" borderId="41" xfId="3" applyFont="1" applyBorder="1" applyAlignment="1">
      <alignment horizontal="center" vertical="center"/>
    </xf>
    <xf numFmtId="0" fontId="84" fillId="2" borderId="1" xfId="0" applyFont="1" applyFill="1" applyBorder="1" applyAlignment="1">
      <alignment vertical="center" wrapText="1"/>
    </xf>
    <xf numFmtId="42"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42" fontId="84" fillId="0" borderId="15" xfId="3" applyFont="1" applyBorder="1" applyAlignment="1">
      <alignment horizontal="center" vertical="center"/>
    </xf>
    <xf numFmtId="0" fontId="85" fillId="2" borderId="19" xfId="0" applyFont="1" applyFill="1" applyBorder="1" applyAlignment="1">
      <alignment vertical="center" wrapText="1"/>
    </xf>
    <xf numFmtId="42"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42"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42" fontId="7" fillId="0" borderId="38" xfId="3" applyFont="1" applyFill="1" applyBorder="1" applyAlignment="1">
      <alignment horizontal="center" vertical="center" wrapText="1"/>
    </xf>
    <xf numFmtId="42" fontId="88" fillId="2" borderId="20" xfId="3" applyFont="1" applyFill="1" applyBorder="1" applyAlignment="1">
      <alignment horizontal="center" vertical="center"/>
    </xf>
    <xf numFmtId="42" fontId="84" fillId="0" borderId="40" xfId="3" applyFont="1" applyBorder="1" applyAlignment="1">
      <alignment horizontal="center" vertical="center"/>
    </xf>
    <xf numFmtId="42" fontId="85" fillId="0" borderId="23" xfId="3" applyFont="1" applyBorder="1" applyAlignment="1">
      <alignment horizontal="center" vertical="center"/>
    </xf>
    <xf numFmtId="42"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42" fontId="84" fillId="0" borderId="66" xfId="3" applyFont="1" applyBorder="1" applyAlignment="1">
      <alignment horizontal="center" vertical="center"/>
    </xf>
    <xf numFmtId="42" fontId="84" fillId="0" borderId="52" xfId="3" applyFont="1" applyBorder="1" applyAlignment="1">
      <alignment horizontal="center" vertical="center"/>
    </xf>
    <xf numFmtId="42"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42"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42"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42"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42" fontId="85" fillId="2" borderId="65" xfId="3" applyFont="1" applyFill="1" applyBorder="1" applyAlignment="1">
      <alignment horizontal="center" vertical="center"/>
    </xf>
    <xf numFmtId="42" fontId="84" fillId="0" borderId="49" xfId="3" applyFont="1" applyBorder="1" applyAlignment="1">
      <alignment horizontal="center" vertical="center"/>
    </xf>
    <xf numFmtId="42" fontId="84" fillId="0" borderId="8" xfId="3" applyFont="1" applyBorder="1" applyAlignment="1">
      <alignment horizontal="center" vertical="center"/>
    </xf>
    <xf numFmtId="42" fontId="85" fillId="0" borderId="65" xfId="3" applyFont="1" applyBorder="1" applyAlignment="1">
      <alignment horizontal="center" vertical="center"/>
    </xf>
    <xf numFmtId="0" fontId="84" fillId="0" borderId="0" xfId="0" applyFont="1" applyAlignment="1">
      <alignment horizontal="left" vertical="center" wrapText="1"/>
    </xf>
    <xf numFmtId="42" fontId="84" fillId="0" borderId="0" xfId="3" applyFont="1" applyBorder="1" applyAlignment="1">
      <alignment horizontal="center" vertic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4"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4"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4"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4" fontId="91" fillId="0" borderId="1" xfId="0" applyNumberFormat="1" applyFont="1" applyBorder="1" applyAlignment="1">
      <alignment horizontal="center" vertical="center"/>
    </xf>
    <xf numFmtId="0" fontId="25" fillId="0" borderId="0" xfId="0" applyFont="1" applyAlignment="1">
      <alignment wrapText="1"/>
    </xf>
    <xf numFmtId="174" fontId="25" fillId="0" borderId="0" xfId="0" applyNumberFormat="1" applyFont="1"/>
    <xf numFmtId="37" fontId="94" fillId="0" borderId="0" xfId="0" applyNumberFormat="1" applyFont="1" applyAlignment="1">
      <alignment horizontal="right" vertical="center" wrapText="1"/>
    </xf>
    <xf numFmtId="37" fontId="94" fillId="0" borderId="0" xfId="0" applyNumberFormat="1" applyFont="1" applyAlignment="1">
      <alignment vertical="center" wrapText="1"/>
    </xf>
    <xf numFmtId="37"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37" fontId="95" fillId="0" borderId="0" xfId="0" applyNumberFormat="1" applyFont="1" applyAlignment="1">
      <alignment vertical="center"/>
    </xf>
    <xf numFmtId="37" fontId="95" fillId="0" borderId="0" xfId="0" applyNumberFormat="1" applyFont="1" applyAlignment="1">
      <alignment vertical="center" wrapText="1"/>
    </xf>
    <xf numFmtId="15" fontId="94" fillId="0" borderId="0" xfId="0" applyNumberFormat="1" applyFont="1" applyAlignment="1">
      <alignment vertical="center" wrapText="1"/>
    </xf>
    <xf numFmtId="0" fontId="94" fillId="0" borderId="0" xfId="0" applyFont="1" applyAlignment="1">
      <alignment vertical="center"/>
    </xf>
    <xf numFmtId="15" fontId="94" fillId="0" borderId="0" xfId="0" applyNumberFormat="1"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4" fillId="0" borderId="0" xfId="0" applyFont="1" applyAlignment="1">
      <alignment horizontal="right" vertical="center" wrapText="1"/>
    </xf>
    <xf numFmtId="176" fontId="94" fillId="0" borderId="0" xfId="4" applyNumberFormat="1" applyFont="1" applyFill="1" applyBorder="1" applyAlignment="1">
      <alignment horizontal="center" vertical="center" wrapText="1"/>
    </xf>
    <xf numFmtId="175" fontId="94" fillId="0" borderId="0" xfId="16" applyNumberFormat="1" applyFont="1" applyFill="1" applyBorder="1" applyAlignment="1">
      <alignment horizontal="center" vertical="center" wrapText="1"/>
    </xf>
    <xf numFmtId="175" fontId="94" fillId="0" borderId="0" xfId="0" applyNumberFormat="1" applyFont="1" applyAlignment="1">
      <alignment vertical="center" wrapText="1"/>
    </xf>
    <xf numFmtId="0" fontId="95" fillId="34" borderId="7" xfId="4" applyNumberFormat="1" applyFont="1" applyFill="1" applyBorder="1" applyAlignment="1">
      <alignment horizontal="center" vertical="center" wrapText="1"/>
    </xf>
    <xf numFmtId="0" fontId="97" fillId="34" borderId="7" xfId="4" applyNumberFormat="1" applyFont="1" applyFill="1" applyBorder="1" applyAlignment="1">
      <alignment horizontal="center" vertical="center"/>
    </xf>
    <xf numFmtId="0" fontId="97" fillId="34" borderId="7" xfId="4" applyNumberFormat="1" applyFont="1" applyFill="1" applyBorder="1" applyAlignment="1">
      <alignment horizontal="center" vertical="center" wrapText="1"/>
    </xf>
    <xf numFmtId="0" fontId="95" fillId="34" borderId="12" xfId="4" applyNumberFormat="1" applyFont="1" applyFill="1" applyBorder="1" applyAlignment="1">
      <alignment horizontal="center" vertical="center" wrapText="1"/>
    </xf>
    <xf numFmtId="0" fontId="95" fillId="35" borderId="69" xfId="0" applyFont="1" applyFill="1" applyBorder="1" applyAlignment="1">
      <alignment vertical="center" wrapText="1"/>
    </xf>
    <xf numFmtId="0" fontId="95" fillId="0" borderId="0" xfId="0" applyFont="1" applyAlignment="1">
      <alignment horizontal="center" vertical="center" wrapText="1"/>
    </xf>
    <xf numFmtId="0" fontId="94" fillId="0" borderId="1" xfId="4" applyNumberFormat="1" applyFont="1" applyFill="1" applyBorder="1" applyAlignment="1">
      <alignment horizontal="center" vertical="center" wrapText="1"/>
    </xf>
    <xf numFmtId="0" fontId="94" fillId="0" borderId="1" xfId="0" applyFont="1" applyBorder="1" applyAlignment="1">
      <alignment vertical="center" wrapText="1"/>
    </xf>
    <xf numFmtId="0" fontId="94" fillId="0" borderId="1" xfId="15" applyFont="1" applyBorder="1" applyAlignment="1">
      <alignment horizontal="center" vertical="center"/>
    </xf>
    <xf numFmtId="0" fontId="94" fillId="0" borderId="1" xfId="0" applyFont="1" applyBorder="1" applyAlignment="1">
      <alignment horizontal="justify" vertical="center"/>
    </xf>
    <xf numFmtId="0" fontId="94" fillId="0" borderId="1" xfId="0" applyFont="1" applyBorder="1" applyAlignment="1">
      <alignment horizontal="center" vertical="center" wrapText="1"/>
    </xf>
    <xf numFmtId="1" fontId="94" fillId="0" borderId="1" xfId="0" applyNumberFormat="1" applyFont="1" applyBorder="1" applyAlignment="1">
      <alignment horizontal="center" vertical="center" wrapText="1"/>
    </xf>
    <xf numFmtId="0" fontId="94" fillId="0" borderId="1" xfId="0" applyFont="1" applyBorder="1" applyAlignment="1">
      <alignment horizontal="left" vertical="center" wrapText="1"/>
    </xf>
    <xf numFmtId="175" fontId="94" fillId="0" borderId="1" xfId="16" applyNumberFormat="1" applyFont="1" applyFill="1" applyBorder="1" applyAlignment="1">
      <alignment horizontal="center" vertical="center" wrapText="1"/>
    </xf>
    <xf numFmtId="0" fontId="94" fillId="0" borderId="1" xfId="15" applyFont="1" applyBorder="1" applyAlignment="1">
      <alignment horizontal="center" vertical="center" wrapText="1"/>
    </xf>
    <xf numFmtId="0" fontId="94" fillId="2" borderId="0" xfId="0" applyFont="1" applyFill="1" applyAlignment="1">
      <alignment vertical="center" wrapText="1"/>
    </xf>
    <xf numFmtId="0" fontId="94" fillId="16" borderId="1" xfId="4" applyNumberFormat="1" applyFont="1" applyFill="1" applyBorder="1" applyAlignment="1">
      <alignment horizontal="center" vertical="center" wrapText="1"/>
    </xf>
    <xf numFmtId="0" fontId="94" fillId="16" borderId="1" xfId="0" applyFont="1" applyFill="1" applyBorder="1" applyAlignment="1">
      <alignment vertical="center" wrapText="1"/>
    </xf>
    <xf numFmtId="0" fontId="94" fillId="16" borderId="1" xfId="15" applyFont="1" applyFill="1" applyBorder="1" applyAlignment="1">
      <alignment horizontal="center" vertical="center"/>
    </xf>
    <xf numFmtId="0" fontId="94" fillId="16" borderId="1" xfId="0" applyFont="1" applyFill="1" applyBorder="1" applyAlignment="1">
      <alignment horizontal="justify" vertical="center"/>
    </xf>
    <xf numFmtId="0" fontId="94" fillId="16" borderId="1" xfId="0" applyFont="1" applyFill="1" applyBorder="1" applyAlignment="1">
      <alignment horizontal="center" vertical="center" wrapText="1"/>
    </xf>
    <xf numFmtId="1" fontId="94" fillId="16" borderId="1" xfId="0" applyNumberFormat="1" applyFont="1" applyFill="1" applyBorder="1" applyAlignment="1">
      <alignment horizontal="center" vertical="center" wrapText="1"/>
    </xf>
    <xf numFmtId="0" fontId="94" fillId="16" borderId="1" xfId="0" applyFont="1" applyFill="1" applyBorder="1" applyAlignment="1">
      <alignment horizontal="left" vertical="center" wrapText="1"/>
    </xf>
    <xf numFmtId="175" fontId="94" fillId="16" borderId="1" xfId="16" applyNumberFormat="1" applyFont="1" applyFill="1" applyBorder="1" applyAlignment="1">
      <alignment horizontal="center" vertical="center" wrapText="1"/>
    </xf>
    <xf numFmtId="0" fontId="94" fillId="16" borderId="1" xfId="15" applyFont="1" applyFill="1" applyBorder="1" applyAlignment="1">
      <alignment horizontal="center" vertical="center" wrapText="1"/>
    </xf>
    <xf numFmtId="0" fontId="94" fillId="0" borderId="1" xfId="0" applyFont="1" applyBorder="1" applyAlignment="1">
      <alignment horizontal="center" vertical="center"/>
    </xf>
    <xf numFmtId="0" fontId="94" fillId="16" borderId="1" xfId="0" applyFont="1" applyFill="1" applyBorder="1" applyAlignment="1">
      <alignment horizontal="center" vertical="center"/>
    </xf>
    <xf numFmtId="0" fontId="94" fillId="6" borderId="0" xfId="0" applyFont="1" applyFill="1" applyAlignment="1">
      <alignment vertical="center" wrapText="1"/>
    </xf>
    <xf numFmtId="0" fontId="94" fillId="0" borderId="1" xfId="0" applyFont="1" applyBorder="1" applyAlignment="1">
      <alignment horizontal="left" vertical="center"/>
    </xf>
    <xf numFmtId="0" fontId="94" fillId="16" borderId="1" xfId="0" applyFont="1" applyFill="1" applyBorder="1" applyAlignment="1">
      <alignment horizontal="left" vertical="center"/>
    </xf>
    <xf numFmtId="0" fontId="94" fillId="0" borderId="1" xfId="0" applyFont="1" applyBorder="1" applyAlignment="1">
      <alignment horizontal="justify" vertical="center" wrapText="1"/>
    </xf>
    <xf numFmtId="0" fontId="94" fillId="0" borderId="1" xfId="15" applyFont="1" applyBorder="1" applyAlignment="1">
      <alignment horizontal="left" vertical="center" wrapText="1"/>
    </xf>
    <xf numFmtId="0" fontId="94" fillId="16" borderId="1" xfId="15" applyFont="1" applyFill="1" applyBorder="1" applyAlignment="1">
      <alignment vertical="center" wrapText="1"/>
    </xf>
    <xf numFmtId="0" fontId="94" fillId="16" borderId="1" xfId="4" applyNumberFormat="1" applyFont="1" applyFill="1" applyBorder="1" applyAlignment="1">
      <alignment horizontal="center" vertical="center"/>
    </xf>
    <xf numFmtId="14" fontId="94" fillId="16" borderId="1" xfId="0" applyNumberFormat="1" applyFont="1" applyFill="1" applyBorder="1" applyAlignment="1">
      <alignment horizontal="center" vertical="center" wrapText="1"/>
    </xf>
    <xf numFmtId="1" fontId="94" fillId="16" borderId="1" xfId="0" applyNumberFormat="1" applyFont="1" applyFill="1" applyBorder="1" applyAlignment="1">
      <alignment horizontal="left" vertical="center" wrapText="1"/>
    </xf>
    <xf numFmtId="0" fontId="94" fillId="16" borderId="1" xfId="7" applyNumberFormat="1" applyFont="1" applyFill="1" applyBorder="1" applyAlignment="1">
      <alignment horizontal="center" vertical="center" wrapText="1"/>
    </xf>
    <xf numFmtId="0" fontId="96" fillId="16" borderId="1" xfId="0" applyFont="1" applyFill="1" applyBorder="1" applyAlignment="1">
      <alignment horizontal="justify" vertical="center" wrapText="1"/>
    </xf>
    <xf numFmtId="0" fontId="94" fillId="0" borderId="1" xfId="15" applyFont="1" applyBorder="1" applyAlignment="1">
      <alignment vertical="center" wrapText="1"/>
    </xf>
    <xf numFmtId="0" fontId="94" fillId="0" borderId="1" xfId="4" applyNumberFormat="1" applyFont="1" applyFill="1" applyBorder="1" applyAlignment="1">
      <alignment horizontal="center" vertical="center"/>
    </xf>
    <xf numFmtId="14" fontId="94" fillId="0" borderId="1" xfId="0" applyNumberFormat="1" applyFont="1" applyBorder="1" applyAlignment="1">
      <alignment horizontal="center" vertical="center" wrapText="1"/>
    </xf>
    <xf numFmtId="1" fontId="94" fillId="0" borderId="1" xfId="0" applyNumberFormat="1" applyFont="1" applyBorder="1" applyAlignment="1">
      <alignment horizontal="left" vertical="center" wrapText="1"/>
    </xf>
    <xf numFmtId="0" fontId="94" fillId="0" borderId="1" xfId="7" applyNumberFormat="1" applyFont="1" applyFill="1" applyBorder="1" applyAlignment="1">
      <alignment horizontal="center" vertical="center" wrapText="1"/>
    </xf>
    <xf numFmtId="0" fontId="96" fillId="0" borderId="1" xfId="0" applyFont="1" applyBorder="1" applyAlignment="1">
      <alignment horizontal="justify" vertical="center" wrapText="1"/>
    </xf>
    <xf numFmtId="0" fontId="94" fillId="0" borderId="1" xfId="4" applyNumberFormat="1" applyFont="1" applyFill="1" applyBorder="1" applyAlignment="1">
      <alignment horizontal="left" vertical="center"/>
    </xf>
    <xf numFmtId="0" fontId="94" fillId="0" borderId="1" xfId="4" applyNumberFormat="1" applyFont="1" applyFill="1" applyBorder="1" applyAlignment="1">
      <alignment horizontal="justify" vertical="center"/>
    </xf>
    <xf numFmtId="0" fontId="96" fillId="16" borderId="1" xfId="0" applyFont="1" applyFill="1" applyBorder="1" applyAlignment="1">
      <alignment horizontal="justify" vertical="top"/>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top" wrapText="1"/>
    </xf>
    <xf numFmtId="0" fontId="96" fillId="16" borderId="1" xfId="0" applyFont="1" applyFill="1" applyBorder="1" applyAlignment="1">
      <alignment horizontal="justify" vertical="top" wrapText="1"/>
    </xf>
    <xf numFmtId="0" fontId="94" fillId="0" borderId="0" xfId="0" applyFont="1" applyAlignment="1">
      <alignment horizontal="left" vertical="center" wrapText="1"/>
    </xf>
    <xf numFmtId="0" fontId="96" fillId="0" borderId="1" xfId="0" applyFont="1" applyBorder="1" applyAlignment="1">
      <alignment horizontal="justify" vertical="top"/>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top" wrapText="1"/>
    </xf>
    <xf numFmtId="0" fontId="96" fillId="0" borderId="1" xfId="0" applyFont="1" applyBorder="1" applyAlignment="1">
      <alignment horizontal="justify" vertical="top" wrapText="1"/>
    </xf>
    <xf numFmtId="0" fontId="96" fillId="0" borderId="1" xfId="7" applyNumberFormat="1" applyFont="1" applyFill="1" applyBorder="1" applyAlignment="1">
      <alignment horizontal="center" vertical="center"/>
    </xf>
    <xf numFmtId="1" fontId="96" fillId="0" borderId="1" xfId="0" applyNumberFormat="1" applyFont="1" applyBorder="1" applyAlignment="1">
      <alignment horizontal="justify" vertical="center"/>
    </xf>
    <xf numFmtId="0" fontId="96" fillId="0" borderId="1" xfId="7" applyNumberFormat="1" applyFont="1" applyFill="1" applyBorder="1" applyAlignment="1">
      <alignment horizontal="center" vertical="center" wrapText="1"/>
    </xf>
    <xf numFmtId="0" fontId="96" fillId="0" borderId="1" xfId="0" applyFont="1" applyBorder="1" applyAlignment="1">
      <alignment horizontal="left" vertical="center" wrapText="1"/>
    </xf>
    <xf numFmtId="37" fontId="94" fillId="0" borderId="1" xfId="0" applyNumberFormat="1" applyFont="1" applyBorder="1" applyAlignment="1">
      <alignment vertical="center" wrapText="1"/>
    </xf>
    <xf numFmtId="177" fontId="94" fillId="0" borderId="1" xfId="0" applyNumberFormat="1" applyFont="1" applyBorder="1" applyAlignment="1">
      <alignment horizontal="left" vertical="center" wrapText="1"/>
    </xf>
    <xf numFmtId="0" fontId="96" fillId="16" borderId="1" xfId="0" applyFont="1" applyFill="1" applyBorder="1" applyAlignment="1">
      <alignment horizontal="justify" vertical="center"/>
    </xf>
    <xf numFmtId="178" fontId="96"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center" wrapText="1"/>
    </xf>
    <xf numFmtId="0" fontId="96" fillId="16" borderId="1" xfId="7" applyNumberFormat="1" applyFont="1" applyFill="1" applyBorder="1" applyAlignment="1">
      <alignment horizontal="center" vertical="center"/>
    </xf>
    <xf numFmtId="177" fontId="94" fillId="16" borderId="1" xfId="0" applyNumberFormat="1" applyFont="1" applyFill="1" applyBorder="1" applyAlignment="1">
      <alignment horizontal="left" vertical="center" wrapText="1"/>
    </xf>
    <xf numFmtId="0" fontId="94" fillId="16" borderId="1" xfId="0" applyFont="1" applyFill="1" applyBorder="1" applyAlignment="1">
      <alignment horizontal="left" vertical="top" wrapText="1"/>
    </xf>
    <xf numFmtId="0" fontId="96" fillId="0" borderId="1" xfId="0" applyFont="1" applyBorder="1" applyAlignment="1">
      <alignment horizontal="justify" vertical="center"/>
    </xf>
    <xf numFmtId="0" fontId="96" fillId="0" borderId="1" xfId="0" applyFont="1" applyBorder="1" applyAlignment="1">
      <alignment vertical="center" wrapText="1"/>
    </xf>
    <xf numFmtId="0" fontId="94" fillId="0" borderId="1" xfId="0" applyFont="1" applyBorder="1" applyAlignment="1">
      <alignment horizontal="left" vertical="top" wrapText="1"/>
    </xf>
    <xf numFmtId="175" fontId="94" fillId="0" borderId="1" xfId="16" applyNumberFormat="1" applyFont="1" applyBorder="1" applyAlignment="1">
      <alignment vertical="center" wrapText="1"/>
    </xf>
    <xf numFmtId="14" fontId="96" fillId="16" borderId="1" xfId="0" applyNumberFormat="1" applyFont="1" applyFill="1" applyBorder="1" applyAlignment="1">
      <alignment horizontal="center" vertical="center" wrapText="1"/>
    </xf>
    <xf numFmtId="177" fontId="96" fillId="16" borderId="1" xfId="0" applyNumberFormat="1" applyFont="1" applyFill="1" applyBorder="1" applyAlignment="1">
      <alignment horizontal="center" vertical="center" wrapText="1"/>
    </xf>
    <xf numFmtId="0" fontId="94" fillId="16" borderId="1" xfId="0" applyFont="1" applyFill="1" applyBorder="1" applyAlignment="1">
      <alignment horizontal="center" vertical="top" wrapText="1"/>
    </xf>
    <xf numFmtId="14" fontId="96" fillId="0" borderId="1" xfId="0" applyNumberFormat="1" applyFont="1" applyBorder="1" applyAlignment="1">
      <alignment horizontal="center" vertical="center" wrapText="1"/>
    </xf>
    <xf numFmtId="177" fontId="96" fillId="0" borderId="1" xfId="0" applyNumberFormat="1" applyFont="1" applyBorder="1" applyAlignment="1">
      <alignment horizontal="center" vertical="center" wrapText="1"/>
    </xf>
    <xf numFmtId="0" fontId="94" fillId="16" borderId="1" xfId="0" applyFont="1" applyFill="1" applyBorder="1" applyAlignment="1">
      <alignment horizontal="justify" vertical="center" wrapText="1"/>
    </xf>
    <xf numFmtId="0" fontId="94" fillId="0" borderId="1" xfId="0" applyFont="1" applyBorder="1" applyAlignment="1">
      <alignment horizontal="justify" vertical="top"/>
    </xf>
    <xf numFmtId="49" fontId="94" fillId="0" borderId="1" xfId="0" applyNumberFormat="1" applyFont="1" applyBorder="1" applyAlignment="1">
      <alignment horizontal="left" vertical="center" wrapText="1"/>
    </xf>
    <xf numFmtId="0" fontId="94" fillId="16" borderId="1" xfId="4" applyNumberFormat="1" applyFont="1" applyFill="1" applyBorder="1" applyAlignment="1">
      <alignment horizontal="left" vertical="center"/>
    </xf>
    <xf numFmtId="0" fontId="94" fillId="16" borderId="1" xfId="0" applyFont="1" applyFill="1" applyBorder="1" applyAlignment="1">
      <alignment horizontal="justify" vertical="top"/>
    </xf>
    <xf numFmtId="49" fontId="94" fillId="16" borderId="1" xfId="0" applyNumberFormat="1" applyFont="1" applyFill="1" applyBorder="1" applyAlignment="1">
      <alignment horizontal="left" vertical="center" wrapText="1"/>
    </xf>
    <xf numFmtId="0" fontId="94" fillId="0" borderId="1" xfId="7" applyNumberFormat="1" applyFont="1" applyFill="1" applyBorder="1" applyAlignment="1">
      <alignment horizontal="left" vertical="center"/>
    </xf>
    <xf numFmtId="37" fontId="94" fillId="0" borderId="1" xfId="0" applyNumberFormat="1" applyFont="1" applyBorder="1" applyAlignment="1">
      <alignment horizontal="left" vertical="center"/>
    </xf>
    <xf numFmtId="0" fontId="94" fillId="0" borderId="1" xfId="15" applyFont="1" applyBorder="1" applyAlignment="1">
      <alignment horizontal="left" vertical="center"/>
    </xf>
    <xf numFmtId="175" fontId="94" fillId="16" borderId="1" xfId="16" applyNumberFormat="1" applyFont="1" applyFill="1" applyBorder="1" applyAlignment="1">
      <alignment horizontal="left" vertical="center" wrapText="1"/>
    </xf>
    <xf numFmtId="175" fontId="94" fillId="0" borderId="1" xfId="16" applyNumberFormat="1" applyFont="1" applyFill="1" applyBorder="1" applyAlignment="1">
      <alignment horizontal="left" vertical="center" wrapText="1"/>
    </xf>
    <xf numFmtId="0" fontId="94" fillId="0" borderId="1" xfId="4" applyNumberFormat="1" applyFont="1" applyFill="1" applyBorder="1" applyAlignment="1">
      <alignment vertical="center"/>
    </xf>
    <xf numFmtId="0" fontId="94" fillId="0" borderId="1" xfId="7" applyNumberFormat="1" applyFont="1" applyFill="1" applyBorder="1" applyAlignment="1">
      <alignment horizontal="center" wrapText="1"/>
    </xf>
    <xf numFmtId="0" fontId="96" fillId="0" borderId="1" xfId="0" applyFont="1" applyBorder="1" applyAlignment="1">
      <alignment horizontal="center" vertical="center" wrapText="1"/>
    </xf>
    <xf numFmtId="49" fontId="94" fillId="0" borderId="1" xfId="0" applyNumberFormat="1" applyFont="1" applyBorder="1" applyAlignment="1">
      <alignment horizontal="center" vertical="center" wrapText="1"/>
    </xf>
    <xf numFmtId="0" fontId="96" fillId="16" borderId="1" xfId="0" applyFont="1" applyFill="1" applyBorder="1" applyAlignment="1">
      <alignment horizontal="center" vertical="center" wrapText="1"/>
    </xf>
    <xf numFmtId="0" fontId="96" fillId="0" borderId="1" xfId="0" applyFont="1" applyBorder="1" applyAlignment="1">
      <alignment horizontal="left" vertical="center"/>
    </xf>
    <xf numFmtId="43" fontId="96" fillId="0" borderId="1" xfId="4" applyFont="1" applyBorder="1" applyAlignment="1">
      <alignment horizontal="left" vertical="center" wrapText="1"/>
    </xf>
    <xf numFmtId="175" fontId="96" fillId="0" borderId="1" xfId="16" applyNumberFormat="1" applyFont="1" applyBorder="1" applyAlignment="1">
      <alignment horizontal="center" vertical="center" wrapText="1"/>
    </xf>
    <xf numFmtId="0" fontId="96" fillId="0" borderId="1" xfId="0" applyFont="1" applyBorder="1" applyAlignment="1">
      <alignment wrapText="1"/>
    </xf>
    <xf numFmtId="0" fontId="96" fillId="0" borderId="0" xfId="0" applyFont="1" applyAlignment="1">
      <alignment wrapText="1"/>
    </xf>
    <xf numFmtId="43" fontId="96" fillId="0" borderId="1" xfId="4" applyFont="1" applyFill="1" applyBorder="1" applyAlignment="1">
      <alignment horizontal="left" vertical="center" wrapText="1"/>
    </xf>
    <xf numFmtId="175" fontId="96" fillId="0" borderId="1" xfId="16" applyNumberFormat="1" applyFont="1" applyFill="1" applyBorder="1" applyAlignment="1">
      <alignment horizontal="center" vertical="center" wrapText="1"/>
    </xf>
    <xf numFmtId="0" fontId="96" fillId="2" borderId="0" xfId="0" applyFont="1" applyFill="1" applyAlignment="1">
      <alignment wrapText="1"/>
    </xf>
    <xf numFmtId="0" fontId="96" fillId="0" borderId="1" xfId="0" applyFont="1" applyBorder="1" applyAlignment="1">
      <alignment horizontal="center" vertical="center"/>
    </xf>
    <xf numFmtId="0" fontId="96" fillId="0" borderId="1" xfId="0" applyFont="1" applyBorder="1" applyAlignment="1">
      <alignment vertical="center"/>
    </xf>
    <xf numFmtId="43" fontId="96" fillId="0" borderId="1" xfId="4" applyFont="1" applyFill="1" applyBorder="1" applyAlignment="1">
      <alignment horizontal="center" vertical="center" wrapText="1"/>
    </xf>
    <xf numFmtId="0" fontId="25" fillId="0" borderId="0" xfId="0" applyFont="1" applyAlignment="1">
      <alignment vertical="center" wrapText="1"/>
    </xf>
    <xf numFmtId="0" fontId="96" fillId="16" borderId="1" xfId="4" applyNumberFormat="1" applyFont="1" applyFill="1" applyBorder="1" applyAlignment="1">
      <alignment horizontal="center" vertical="center" wrapText="1"/>
    </xf>
    <xf numFmtId="0" fontId="96" fillId="16" borderId="1" xfId="15" applyFont="1" applyFill="1" applyBorder="1" applyAlignment="1">
      <alignment vertical="center" wrapText="1"/>
    </xf>
    <xf numFmtId="177"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175" fontId="96" fillId="16" borderId="1" xfId="16" applyNumberFormat="1" applyFont="1" applyFill="1" applyBorder="1" applyAlignment="1">
      <alignment horizontal="center" vertical="center" wrapText="1"/>
    </xf>
    <xf numFmtId="37" fontId="96" fillId="16" borderId="1" xfId="0" applyNumberFormat="1" applyFont="1" applyFill="1" applyBorder="1" applyAlignment="1">
      <alignment vertical="center" wrapText="1"/>
    </xf>
    <xf numFmtId="0" fontId="96" fillId="16" borderId="1" xfId="0" applyFont="1" applyFill="1" applyBorder="1" applyAlignment="1">
      <alignment horizontal="center" wrapText="1"/>
    </xf>
    <xf numFmtId="1"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4" applyNumberFormat="1" applyFont="1" applyFill="1" applyBorder="1" applyAlignment="1">
      <alignment horizontal="left" vertical="center"/>
    </xf>
    <xf numFmtId="42" fontId="96" fillId="0" borderId="1" xfId="3" applyFont="1" applyFill="1" applyBorder="1" applyAlignment="1">
      <alignment horizontal="center" vertical="center" wrapText="1"/>
    </xf>
    <xf numFmtId="0" fontId="96"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6" fillId="0" borderId="0" xfId="0" applyFont="1" applyAlignment="1">
      <alignment vertical="center"/>
    </xf>
    <xf numFmtId="0" fontId="96" fillId="0" borderId="0" xfId="0" applyFont="1" applyAlignment="1">
      <alignment horizontal="center" wrapText="1"/>
    </xf>
    <xf numFmtId="175" fontId="96" fillId="0" borderId="0" xfId="16" applyNumberFormat="1" applyFont="1" applyFill="1" applyAlignment="1">
      <alignment wrapText="1"/>
    </xf>
    <xf numFmtId="3" fontId="96" fillId="0" borderId="0" xfId="0" applyNumberFormat="1" applyFont="1" applyAlignment="1">
      <alignment wrapText="1"/>
    </xf>
    <xf numFmtId="0" fontId="94" fillId="2" borderId="0" xfId="0" applyFont="1" applyFill="1" applyAlignment="1">
      <alignment horizontal="center" vertical="center" wrapText="1"/>
    </xf>
    <xf numFmtId="0" fontId="94" fillId="6" borderId="1" xfId="4" applyNumberFormat="1" applyFont="1" applyFill="1" applyBorder="1" applyAlignment="1">
      <alignment horizontal="center" vertical="center" wrapText="1"/>
    </xf>
    <xf numFmtId="0" fontId="94" fillId="6" borderId="1" xfId="0" applyFont="1" applyFill="1" applyBorder="1" applyAlignment="1">
      <alignment horizontal="left" vertical="center" wrapText="1"/>
    </xf>
    <xf numFmtId="0" fontId="94" fillId="6" borderId="1" xfId="0" applyFont="1" applyFill="1" applyBorder="1" applyAlignment="1">
      <alignment horizontal="center" vertical="center"/>
    </xf>
    <xf numFmtId="0" fontId="94" fillId="6" borderId="1" xfId="0" applyFont="1" applyFill="1" applyBorder="1" applyAlignment="1">
      <alignment horizontal="justify" vertical="center"/>
    </xf>
    <xf numFmtId="0" fontId="94" fillId="6" borderId="1" xfId="0" applyFont="1" applyFill="1" applyBorder="1" applyAlignment="1">
      <alignment horizontal="center" vertical="center" wrapText="1"/>
    </xf>
    <xf numFmtId="175" fontId="94" fillId="6" borderId="1" xfId="16" applyNumberFormat="1" applyFont="1" applyFill="1" applyBorder="1" applyAlignment="1">
      <alignment horizontal="center" vertical="center" wrapText="1"/>
    </xf>
    <xf numFmtId="0" fontId="94" fillId="6" borderId="1" xfId="15" applyFont="1" applyFill="1" applyBorder="1" applyAlignment="1">
      <alignment horizontal="center" vertical="center" wrapText="1"/>
    </xf>
    <xf numFmtId="0" fontId="94" fillId="6" borderId="1" xfId="0" applyFont="1" applyFill="1" applyBorder="1" applyAlignment="1">
      <alignment horizontal="left" vertical="center"/>
    </xf>
    <xf numFmtId="0" fontId="94" fillId="6" borderId="1" xfId="15" applyFont="1" applyFill="1" applyBorder="1" applyAlignment="1">
      <alignment vertical="center" wrapText="1"/>
    </xf>
    <xf numFmtId="0" fontId="94" fillId="6" borderId="1" xfId="4" applyNumberFormat="1" applyFont="1" applyFill="1" applyBorder="1" applyAlignment="1">
      <alignment horizontal="left" vertical="center"/>
    </xf>
    <xf numFmtId="14" fontId="94" fillId="6" borderId="1" xfId="0" applyNumberFormat="1" applyFont="1" applyFill="1" applyBorder="1" applyAlignment="1">
      <alignment horizontal="center" vertical="center" wrapText="1"/>
    </xf>
    <xf numFmtId="1" fontId="94" fillId="6" borderId="1" xfId="0" applyNumberFormat="1" applyFont="1" applyFill="1" applyBorder="1" applyAlignment="1">
      <alignment horizontal="left" vertical="center" wrapText="1"/>
    </xf>
    <xf numFmtId="0" fontId="94" fillId="6" borderId="1" xfId="7" applyNumberFormat="1" applyFont="1" applyFill="1" applyBorder="1" applyAlignment="1">
      <alignment horizontal="center" vertical="center" wrapText="1"/>
    </xf>
    <xf numFmtId="0" fontId="96" fillId="6" borderId="1" xfId="0" applyFont="1" applyFill="1" applyBorder="1" applyAlignment="1">
      <alignment horizontal="justify" vertical="center" wrapText="1"/>
    </xf>
    <xf numFmtId="0" fontId="94" fillId="6" borderId="1" xfId="4" applyNumberFormat="1" applyFont="1" applyFill="1" applyBorder="1" applyAlignment="1">
      <alignment horizontal="center" vertical="center"/>
    </xf>
    <xf numFmtId="0" fontId="96" fillId="6" borderId="1" xfId="0" applyFont="1" applyFill="1" applyBorder="1" applyAlignment="1">
      <alignment horizontal="justify"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center" vertical="center" wrapText="1"/>
    </xf>
    <xf numFmtId="0" fontId="94" fillId="6" borderId="1" xfId="0" applyFont="1" applyFill="1" applyBorder="1" applyAlignment="1">
      <alignment horizontal="left" vertical="top" wrapText="1"/>
    </xf>
    <xf numFmtId="0" fontId="96" fillId="6" borderId="1" xfId="0" applyFont="1" applyFill="1" applyBorder="1" applyAlignment="1">
      <alignment horizontal="justify" vertical="top" wrapText="1"/>
    </xf>
    <xf numFmtId="0" fontId="94" fillId="6" borderId="1" xfId="0" applyFont="1" applyFill="1" applyBorder="1" applyAlignment="1">
      <alignment horizontal="justify" vertical="center" wrapText="1"/>
    </xf>
    <xf numFmtId="0" fontId="94" fillId="6" borderId="1" xfId="0" applyFont="1" applyFill="1" applyBorder="1" applyAlignment="1">
      <alignment horizontal="justify" vertical="top"/>
    </xf>
    <xf numFmtId="49" fontId="94" fillId="6" borderId="1" xfId="0" applyNumberFormat="1" applyFont="1" applyFill="1" applyBorder="1" applyAlignment="1">
      <alignment horizontal="left" vertical="center" wrapText="1"/>
    </xf>
    <xf numFmtId="175" fontId="94" fillId="0" borderId="0" xfId="16" applyNumberFormat="1" applyFont="1" applyAlignment="1">
      <alignment horizontal="center" vertical="center" wrapText="1"/>
    </xf>
    <xf numFmtId="175" fontId="95" fillId="0" borderId="0" xfId="16" applyNumberFormat="1" applyFont="1" applyAlignment="1">
      <alignment horizontal="center" vertical="center" wrapText="1"/>
    </xf>
    <xf numFmtId="175" fontId="94" fillId="2" borderId="0" xfId="16" applyNumberFormat="1" applyFont="1" applyFill="1" applyAlignment="1">
      <alignment horizontal="center" vertical="center" wrapText="1"/>
    </xf>
    <xf numFmtId="175" fontId="96" fillId="0" borderId="0" xfId="16" applyNumberFormat="1" applyFont="1" applyAlignment="1">
      <alignment horizontal="center" wrapText="1"/>
    </xf>
    <xf numFmtId="37" fontId="100" fillId="0" borderId="0" xfId="0" applyNumberFormat="1" applyFont="1" applyAlignment="1">
      <alignment vertical="center" wrapText="1"/>
    </xf>
    <xf numFmtId="0" fontId="101" fillId="0" borderId="0" xfId="0" applyFont="1" applyAlignment="1">
      <alignment vertical="center" wrapText="1"/>
    </xf>
    <xf numFmtId="0" fontId="101" fillId="0" borderId="0" xfId="0" applyFont="1" applyAlignment="1">
      <alignment horizontal="center" vertical="center" wrapText="1"/>
    </xf>
    <xf numFmtId="15" fontId="101" fillId="0" borderId="0" xfId="0" applyNumberFormat="1" applyFont="1" applyAlignment="1">
      <alignment vertical="center" wrapText="1"/>
    </xf>
    <xf numFmtId="15" fontId="101" fillId="0" borderId="0" xfId="0" applyNumberFormat="1" applyFont="1" applyAlignment="1">
      <alignment horizontal="center" vertical="center" wrapText="1"/>
    </xf>
    <xf numFmtId="0" fontId="102" fillId="0" borderId="0" xfId="0" applyFont="1" applyAlignment="1">
      <alignment vertical="center" wrapText="1"/>
    </xf>
    <xf numFmtId="0" fontId="102" fillId="0" borderId="0" xfId="0" applyFont="1" applyAlignment="1">
      <alignment horizontal="center" vertical="center" wrapText="1"/>
    </xf>
    <xf numFmtId="0" fontId="101" fillId="0" borderId="0" xfId="0" applyFont="1" applyAlignment="1">
      <alignment horizontal="right" vertical="center" wrapText="1"/>
    </xf>
    <xf numFmtId="176" fontId="100" fillId="0" borderId="0" xfId="4" applyNumberFormat="1" applyFont="1" applyFill="1" applyBorder="1" applyAlignment="1">
      <alignment horizontal="center" vertical="center" wrapText="1"/>
    </xf>
    <xf numFmtId="175" fontId="101" fillId="0" borderId="0" xfId="16" applyNumberFormat="1" applyFont="1" applyFill="1" applyBorder="1" applyAlignment="1">
      <alignment horizontal="center" vertical="center" wrapText="1"/>
    </xf>
    <xf numFmtId="175" fontId="101" fillId="0" borderId="0" xfId="0" applyNumberFormat="1" applyFont="1" applyAlignment="1">
      <alignment vertical="center" wrapText="1"/>
    </xf>
    <xf numFmtId="0" fontId="100" fillId="34" borderId="7" xfId="4" applyNumberFormat="1" applyFont="1" applyFill="1" applyBorder="1" applyAlignment="1">
      <alignment horizontal="center" vertical="center" wrapText="1"/>
    </xf>
    <xf numFmtId="0" fontId="103" fillId="34" borderId="7" xfId="4" applyNumberFormat="1" applyFont="1" applyFill="1" applyBorder="1" applyAlignment="1">
      <alignment horizontal="center" vertical="center" wrapText="1"/>
    </xf>
    <xf numFmtId="0" fontId="100" fillId="34" borderId="12" xfId="4" applyNumberFormat="1" applyFont="1" applyFill="1" applyBorder="1" applyAlignment="1">
      <alignment horizontal="center" vertical="center" wrapText="1"/>
    </xf>
    <xf numFmtId="0" fontId="101" fillId="0" borderId="1" xfId="4" applyNumberFormat="1" applyFont="1" applyFill="1" applyBorder="1" applyAlignment="1">
      <alignment horizontal="center" vertical="center" wrapText="1"/>
    </xf>
    <xf numFmtId="0" fontId="101" fillId="0" borderId="1" xfId="0" applyFont="1" applyBorder="1" applyAlignment="1">
      <alignment vertical="center" wrapText="1"/>
    </xf>
    <xf numFmtId="0" fontId="101" fillId="0" borderId="1" xfId="9" applyFont="1" applyBorder="1" applyAlignment="1">
      <alignment horizontal="center" vertical="center" wrapText="1"/>
    </xf>
    <xf numFmtId="0" fontId="101" fillId="0" borderId="1" xfId="0" applyFont="1" applyBorder="1" applyAlignment="1">
      <alignment horizontal="justify" vertical="center" wrapText="1"/>
    </xf>
    <xf numFmtId="0" fontId="101" fillId="0" borderId="1"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175" fontId="101" fillId="0" borderId="1" xfId="16" applyNumberFormat="1" applyFont="1" applyFill="1" applyBorder="1" applyAlignment="1">
      <alignment horizontal="center" vertical="center" wrapText="1"/>
    </xf>
    <xf numFmtId="0" fontId="101" fillId="0" borderId="0" xfId="0" applyFont="1" applyAlignment="1">
      <alignment vertical="center"/>
    </xf>
    <xf numFmtId="0" fontId="101" fillId="0" borderId="1" xfId="0" applyFont="1" applyBorder="1" applyAlignment="1">
      <alignment horizontal="left" vertical="center"/>
    </xf>
    <xf numFmtId="0" fontId="101" fillId="3" borderId="1" xfId="4"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0" fontId="101" fillId="3" borderId="1" xfId="0" applyFont="1" applyFill="1" applyBorder="1" applyAlignment="1">
      <alignment horizontal="justify" vertical="center" wrapText="1"/>
    </xf>
    <xf numFmtId="175" fontId="101" fillId="3" borderId="1" xfId="16" applyNumberFormat="1" applyFont="1" applyFill="1" applyBorder="1" applyAlignment="1">
      <alignment horizontal="center" vertical="center" wrapText="1"/>
    </xf>
    <xf numFmtId="0" fontId="101" fillId="3" borderId="1" xfId="9" applyFont="1" applyFill="1" applyBorder="1" applyAlignment="1">
      <alignment horizontal="center" vertical="center" wrapText="1"/>
    </xf>
    <xf numFmtId="175" fontId="102" fillId="3" borderId="1" xfId="16" applyNumberFormat="1" applyFont="1" applyFill="1" applyBorder="1" applyAlignment="1">
      <alignment horizontal="center" vertical="center" wrapText="1"/>
    </xf>
    <xf numFmtId="0" fontId="101" fillId="0" borderId="1" xfId="9" applyFont="1" applyBorder="1" applyAlignment="1">
      <alignment horizontal="left" vertical="center" wrapText="1"/>
    </xf>
    <xf numFmtId="0" fontId="101" fillId="0" borderId="1" xfId="15" applyFont="1" applyBorder="1" applyAlignment="1">
      <alignment vertical="center" wrapText="1"/>
    </xf>
    <xf numFmtId="0" fontId="101" fillId="0" borderId="7" xfId="4" applyNumberFormat="1" applyFont="1" applyFill="1" applyBorder="1" applyAlignment="1">
      <alignment horizontal="center" vertical="center" wrapText="1"/>
    </xf>
    <xf numFmtId="0" fontId="101" fillId="0" borderId="1" xfId="0" applyFont="1" applyBorder="1" applyAlignment="1">
      <alignment horizontal="justify" vertical="center"/>
    </xf>
    <xf numFmtId="14" fontId="101" fillId="0" borderId="1" xfId="0" applyNumberFormat="1" applyFont="1" applyBorder="1" applyAlignment="1">
      <alignment horizontal="center" vertical="center"/>
    </xf>
    <xf numFmtId="1" fontId="101" fillId="0" borderId="1" xfId="0" applyNumberFormat="1" applyFont="1" applyBorder="1" applyAlignment="1">
      <alignment horizontal="left" vertical="center"/>
    </xf>
    <xf numFmtId="0" fontId="101" fillId="0" borderId="1" xfId="7" applyNumberFormat="1" applyFont="1" applyFill="1" applyBorder="1" applyAlignment="1">
      <alignment horizontal="center" vertical="center" wrapText="1"/>
    </xf>
    <xf numFmtId="175" fontId="101" fillId="0" borderId="7" xfId="16" applyNumberFormat="1" applyFont="1" applyFill="1" applyBorder="1" applyAlignment="1">
      <alignment horizontal="center" vertical="center" wrapText="1"/>
    </xf>
    <xf numFmtId="0" fontId="102" fillId="0" borderId="1" xfId="0" applyFont="1" applyBorder="1" applyAlignment="1">
      <alignment horizontal="justify" vertical="center" wrapText="1"/>
    </xf>
    <xf numFmtId="0" fontId="101" fillId="0" borderId="7" xfId="0" applyFont="1" applyBorder="1" applyAlignment="1">
      <alignment horizontal="justify" vertical="center"/>
    </xf>
    <xf numFmtId="0" fontId="101" fillId="0" borderId="7" xfId="0" applyFont="1" applyBorder="1" applyAlignment="1">
      <alignment horizontal="justify" vertical="center" wrapText="1"/>
    </xf>
    <xf numFmtId="0" fontId="101" fillId="0" borderId="0" xfId="0" applyFont="1" applyAlignment="1">
      <alignment horizontal="left" vertical="center" wrapText="1"/>
    </xf>
    <xf numFmtId="0" fontId="101" fillId="0" borderId="7" xfId="4" applyNumberFormat="1" applyFont="1" applyFill="1" applyBorder="1" applyAlignment="1">
      <alignment horizontal="justify" vertical="center" wrapText="1"/>
    </xf>
    <xf numFmtId="0" fontId="101" fillId="0" borderId="1" xfId="15" applyFont="1" applyBorder="1" applyAlignment="1">
      <alignment horizontal="center" vertical="center" wrapText="1"/>
    </xf>
    <xf numFmtId="0" fontId="102" fillId="0" borderId="7" xfId="0" applyFont="1" applyBorder="1" applyAlignment="1">
      <alignment horizontal="justify" vertical="top"/>
    </xf>
    <xf numFmtId="1" fontId="102" fillId="0" borderId="1" xfId="0" applyNumberFormat="1" applyFont="1" applyBorder="1" applyAlignment="1">
      <alignment horizontal="center" vertical="center"/>
    </xf>
    <xf numFmtId="0" fontId="102" fillId="0" borderId="1" xfId="0" applyFont="1" applyBorder="1" applyAlignment="1">
      <alignment horizontal="left" vertical="top" wrapText="1"/>
    </xf>
    <xf numFmtId="0" fontId="102" fillId="0" borderId="1" xfId="0" applyFont="1" applyBorder="1" applyAlignment="1">
      <alignment horizontal="justify" vertical="top" wrapText="1"/>
    </xf>
    <xf numFmtId="0" fontId="102" fillId="0" borderId="0" xfId="0" applyFont="1"/>
    <xf numFmtId="0" fontId="102" fillId="0" borderId="7" xfId="0" applyFont="1" applyBorder="1" applyAlignment="1">
      <alignment horizontal="justify" vertical="top" wrapText="1"/>
    </xf>
    <xf numFmtId="0" fontId="102" fillId="0" borderId="1" xfId="0" applyFont="1" applyBorder="1" applyAlignment="1">
      <alignment horizontal="justify" vertical="top"/>
    </xf>
    <xf numFmtId="0" fontId="102" fillId="0" borderId="1" xfId="7" applyNumberFormat="1" applyFont="1" applyFill="1" applyBorder="1" applyAlignment="1">
      <alignment horizontal="center" vertical="center" wrapText="1"/>
    </xf>
    <xf numFmtId="1" fontId="102" fillId="0" borderId="1" xfId="0" applyNumberFormat="1" applyFont="1" applyBorder="1" applyAlignment="1">
      <alignment horizontal="justify" vertical="center" wrapText="1"/>
    </xf>
    <xf numFmtId="1" fontId="101" fillId="0" borderId="1" xfId="0" applyNumberFormat="1" applyFont="1" applyBorder="1" applyAlignment="1">
      <alignment horizontal="center" vertical="center"/>
    </xf>
    <xf numFmtId="0" fontId="102" fillId="0" borderId="1" xfId="0" applyFont="1" applyBorder="1" applyAlignment="1">
      <alignment horizontal="left" vertical="center" wrapText="1"/>
    </xf>
    <xf numFmtId="37" fontId="101" fillId="0" borderId="1" xfId="0" applyNumberFormat="1" applyFont="1" applyBorder="1" applyAlignment="1">
      <alignment vertical="center" wrapText="1"/>
    </xf>
    <xf numFmtId="177" fontId="101" fillId="0" borderId="1" xfId="0" applyNumberFormat="1" applyFont="1" applyBorder="1" applyAlignment="1">
      <alignment horizontal="left" vertical="center"/>
    </xf>
    <xf numFmtId="0" fontId="102" fillId="0" borderId="1" xfId="0" applyFont="1" applyBorder="1" applyAlignment="1">
      <alignment horizontal="justify" vertical="center"/>
    </xf>
    <xf numFmtId="178" fontId="102"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0" fontId="101" fillId="0" borderId="1" xfId="0" applyFont="1" applyBorder="1" applyAlignment="1">
      <alignment horizontal="left" vertical="top" wrapText="1"/>
    </xf>
    <xf numFmtId="176" fontId="101" fillId="0" borderId="0" xfId="4" applyNumberFormat="1" applyFont="1" applyFill="1" applyAlignment="1">
      <alignment vertical="center" wrapText="1"/>
    </xf>
    <xf numFmtId="0" fontId="102" fillId="0" borderId="1" xfId="0" applyFont="1" applyBorder="1" applyAlignment="1">
      <alignment vertical="center" wrapText="1"/>
    </xf>
    <xf numFmtId="175" fontId="101" fillId="0" borderId="1" xfId="16" applyNumberFormat="1" applyFont="1" applyFill="1" applyBorder="1" applyAlignment="1">
      <alignment vertical="center" wrapText="1"/>
    </xf>
    <xf numFmtId="0" fontId="102" fillId="0" borderId="7" xfId="0" applyFont="1" applyBorder="1" applyAlignment="1">
      <alignment horizontal="justify" vertical="center"/>
    </xf>
    <xf numFmtId="14" fontId="102" fillId="0" borderId="1" xfId="0" applyNumberFormat="1" applyFont="1" applyBorder="1" applyAlignment="1">
      <alignment horizontal="center" vertical="center"/>
    </xf>
    <xf numFmtId="177" fontId="102" fillId="0" borderId="1" xfId="0" applyNumberFormat="1" applyFont="1" applyBorder="1" applyAlignment="1">
      <alignment horizontal="center" vertical="center"/>
    </xf>
    <xf numFmtId="0" fontId="101" fillId="0" borderId="1" xfId="0" applyFont="1" applyBorder="1" applyAlignment="1">
      <alignment horizontal="center" vertical="top" wrapText="1"/>
    </xf>
    <xf numFmtId="0" fontId="101" fillId="3" borderId="1" xfId="15" applyFont="1" applyFill="1" applyBorder="1" applyAlignment="1">
      <alignment vertical="center" wrapText="1"/>
    </xf>
    <xf numFmtId="0" fontId="101" fillId="3" borderId="7" xfId="4" applyNumberFormat="1" applyFont="1" applyFill="1" applyBorder="1" applyAlignment="1">
      <alignment horizontal="left" vertical="center"/>
    </xf>
    <xf numFmtId="175" fontId="101" fillId="3" borderId="1" xfId="16" applyNumberFormat="1" applyFont="1" applyFill="1" applyBorder="1" applyAlignment="1">
      <alignment horizontal="left" vertical="center" wrapText="1"/>
    </xf>
    <xf numFmtId="0" fontId="101" fillId="0" borderId="7" xfId="4" applyNumberFormat="1" applyFont="1" applyFill="1" applyBorder="1" applyAlignment="1">
      <alignment horizontal="left" vertical="center"/>
    </xf>
    <xf numFmtId="14" fontId="101" fillId="0" borderId="1" xfId="0" applyNumberFormat="1" applyFont="1" applyBorder="1" applyAlignment="1">
      <alignment horizontal="center" vertical="center" wrapText="1"/>
    </xf>
    <xf numFmtId="0" fontId="101" fillId="0" borderId="7" xfId="0" applyFont="1" applyBorder="1" applyAlignment="1">
      <alignment horizontal="justify" vertical="top" wrapText="1"/>
    </xf>
    <xf numFmtId="49" fontId="101" fillId="0" borderId="1" xfId="0" applyNumberFormat="1" applyFont="1" applyBorder="1" applyAlignment="1">
      <alignment horizontal="left" vertical="center" wrapText="1"/>
    </xf>
    <xf numFmtId="0" fontId="101" fillId="0" borderId="1" xfId="4" applyNumberFormat="1" applyFont="1" applyFill="1" applyBorder="1" applyAlignment="1">
      <alignment horizontal="left" vertical="center"/>
    </xf>
    <xf numFmtId="0" fontId="101" fillId="0" borderId="1" xfId="0" applyFont="1" applyBorder="1" applyAlignment="1">
      <alignment horizontal="justify" vertical="top" wrapText="1"/>
    </xf>
    <xf numFmtId="0" fontId="101" fillId="3" borderId="1" xfId="4" applyNumberFormat="1" applyFont="1" applyFill="1" applyBorder="1" applyAlignment="1">
      <alignment horizontal="left" vertical="center"/>
    </xf>
    <xf numFmtId="0" fontId="101" fillId="3" borderId="1" xfId="0" applyFont="1" applyFill="1" applyBorder="1" applyAlignment="1">
      <alignment horizontal="justify" vertical="top" wrapText="1"/>
    </xf>
    <xf numFmtId="14" fontId="101" fillId="3" borderId="1" xfId="0" applyNumberFormat="1" applyFont="1" applyFill="1" applyBorder="1" applyAlignment="1">
      <alignment horizontal="center" vertical="center" wrapText="1"/>
    </xf>
    <xf numFmtId="1" fontId="101" fillId="3" borderId="1" xfId="0" applyNumberFormat="1" applyFont="1" applyFill="1" applyBorder="1" applyAlignment="1">
      <alignment horizontal="left" vertical="center"/>
    </xf>
    <xf numFmtId="0" fontId="101" fillId="3" borderId="1" xfId="7" applyNumberFormat="1" applyFont="1" applyFill="1" applyBorder="1" applyAlignment="1">
      <alignment horizontal="center" vertical="center" wrapText="1"/>
    </xf>
    <xf numFmtId="49" fontId="101" fillId="0" borderId="1" xfId="0" applyNumberFormat="1" applyFont="1" applyBorder="1" applyAlignment="1">
      <alignment horizontal="left" vertical="center"/>
    </xf>
    <xf numFmtId="0" fontId="101" fillId="0" borderId="7" xfId="4" applyNumberFormat="1" applyFont="1" applyFill="1" applyBorder="1" applyAlignment="1">
      <alignment horizontal="left" vertical="center" wrapText="1"/>
    </xf>
    <xf numFmtId="0" fontId="101" fillId="0" borderId="7" xfId="0" applyFont="1" applyBorder="1" applyAlignment="1">
      <alignment vertical="center" wrapText="1"/>
    </xf>
    <xf numFmtId="0" fontId="101" fillId="3" borderId="7" xfId="0" applyFont="1" applyFill="1" applyBorder="1" applyAlignment="1">
      <alignment horizontal="justify" vertical="center" wrapText="1"/>
    </xf>
    <xf numFmtId="14" fontId="101" fillId="3" borderId="1" xfId="0" applyNumberFormat="1" applyFont="1" applyFill="1" applyBorder="1" applyAlignment="1">
      <alignment horizontal="center" vertical="center"/>
    </xf>
    <xf numFmtId="1" fontId="101" fillId="3" borderId="1" xfId="0" applyNumberFormat="1" applyFont="1" applyFill="1" applyBorder="1" applyAlignment="1">
      <alignment horizontal="center" vertical="center"/>
    </xf>
    <xf numFmtId="49" fontId="101" fillId="3" borderId="1" xfId="0" applyNumberFormat="1" applyFont="1" applyFill="1" applyBorder="1" applyAlignment="1">
      <alignment horizontal="left" vertical="center"/>
    </xf>
    <xf numFmtId="175" fontId="105" fillId="0" borderId="1" xfId="16" applyNumberFormat="1" applyFont="1" applyFill="1" applyBorder="1" applyAlignment="1">
      <alignment horizontal="center" vertical="center" wrapText="1"/>
    </xf>
    <xf numFmtId="175" fontId="102" fillId="0" borderId="1" xfId="16" applyNumberFormat="1" applyFont="1" applyFill="1" applyBorder="1" applyAlignment="1">
      <alignment horizontal="center" vertical="center" wrapText="1"/>
    </xf>
    <xf numFmtId="175" fontId="102" fillId="0" borderId="7" xfId="16" applyNumberFormat="1" applyFont="1" applyFill="1" applyBorder="1" applyAlignment="1">
      <alignment horizontal="center" vertical="center" wrapText="1"/>
    </xf>
    <xf numFmtId="175" fontId="105" fillId="0" borderId="0" xfId="16" applyNumberFormat="1" applyFont="1" applyFill="1" applyBorder="1" applyAlignment="1">
      <alignment horizontal="center" vertical="center" wrapText="1"/>
    </xf>
    <xf numFmtId="49" fontId="101" fillId="0" borderId="13" xfId="0" applyNumberFormat="1" applyFont="1" applyBorder="1" applyAlignment="1">
      <alignment horizontal="left" vertical="center"/>
    </xf>
    <xf numFmtId="175" fontId="101" fillId="0" borderId="13" xfId="16" applyNumberFormat="1" applyFont="1" applyFill="1" applyBorder="1" applyAlignment="1">
      <alignment horizontal="center" vertical="center" wrapText="1"/>
    </xf>
    <xf numFmtId="0" fontId="101" fillId="0" borderId="13" xfId="0" applyFont="1" applyBorder="1" applyAlignment="1">
      <alignment horizontal="left" vertical="center" wrapText="1"/>
    </xf>
    <xf numFmtId="0" fontId="101" fillId="3" borderId="1" xfId="4" applyNumberFormat="1" applyFont="1" applyFill="1" applyBorder="1" applyAlignment="1">
      <alignment horizontal="center" vertical="center"/>
    </xf>
    <xf numFmtId="0" fontId="101" fillId="3" borderId="13" xfId="0" applyFont="1" applyFill="1" applyBorder="1" applyAlignment="1">
      <alignment horizontal="left" vertical="center" wrapText="1"/>
    </xf>
    <xf numFmtId="0" fontId="101" fillId="0" borderId="1" xfId="7" applyNumberFormat="1" applyFont="1" applyFill="1" applyBorder="1" applyAlignment="1">
      <alignment horizontal="left" vertical="center"/>
    </xf>
    <xf numFmtId="37" fontId="101" fillId="0" borderId="1" xfId="0" applyNumberFormat="1" applyFont="1" applyBorder="1" applyAlignment="1">
      <alignment horizontal="left" vertical="center"/>
    </xf>
    <xf numFmtId="37" fontId="101" fillId="0" borderId="8" xfId="0" applyNumberFormat="1" applyFont="1" applyBorder="1" applyAlignment="1">
      <alignment horizontal="left" vertical="center"/>
    </xf>
    <xf numFmtId="0" fontId="101" fillId="0" borderId="52" xfId="0" applyFont="1" applyBorder="1" applyAlignment="1">
      <alignment horizontal="center" vertical="center" wrapText="1"/>
    </xf>
    <xf numFmtId="0" fontId="101" fillId="3" borderId="8" xfId="9" applyFont="1" applyFill="1" applyBorder="1" applyAlignment="1">
      <alignment horizontal="center" vertical="center"/>
    </xf>
    <xf numFmtId="0" fontId="101" fillId="3" borderId="52" xfId="0" applyFont="1" applyFill="1" applyBorder="1" applyAlignment="1">
      <alignment horizontal="center" vertical="center" wrapText="1"/>
    </xf>
    <xf numFmtId="0" fontId="101" fillId="0" borderId="13" xfId="0" applyFont="1" applyBorder="1" applyAlignment="1">
      <alignment horizontal="justify" vertical="center" wrapText="1"/>
    </xf>
    <xf numFmtId="175" fontId="101" fillId="0" borderId="1" xfId="16" applyNumberFormat="1" applyFont="1" applyFill="1" applyBorder="1" applyAlignment="1">
      <alignment horizontal="left" vertical="center" wrapText="1"/>
    </xf>
    <xf numFmtId="0" fontId="102" fillId="3" borderId="1" xfId="0" applyFont="1" applyFill="1" applyBorder="1" applyAlignment="1">
      <alignment horizontal="center" vertical="center" wrapText="1"/>
    </xf>
    <xf numFmtId="0" fontId="101" fillId="3" borderId="1" xfId="7" applyNumberFormat="1" applyFont="1" applyFill="1" applyBorder="1" applyAlignment="1">
      <alignment horizontal="center" wrapText="1"/>
    </xf>
    <xf numFmtId="49" fontId="101" fillId="3" borderId="1" xfId="0" applyNumberFormat="1" applyFont="1" applyFill="1" applyBorder="1" applyAlignment="1">
      <alignment horizontal="center" vertical="center" wrapText="1"/>
    </xf>
    <xf numFmtId="0" fontId="102" fillId="0" borderId="1" xfId="0" applyFont="1" applyBorder="1" applyAlignment="1">
      <alignment horizontal="center" vertical="center" wrapText="1"/>
    </xf>
    <xf numFmtId="175" fontId="101" fillId="0" borderId="0" xfId="16" applyNumberFormat="1" applyFont="1" applyFill="1" applyAlignment="1">
      <alignment vertical="center" wrapText="1"/>
    </xf>
    <xf numFmtId="0" fontId="102" fillId="0" borderId="1" xfId="0" applyFont="1" applyBorder="1" applyAlignment="1">
      <alignment vertical="center"/>
    </xf>
    <xf numFmtId="43" fontId="102" fillId="0" borderId="1" xfId="4" applyFont="1" applyFill="1" applyBorder="1" applyAlignment="1">
      <alignment horizontal="left" vertical="center" wrapText="1"/>
    </xf>
    <xf numFmtId="0" fontId="102" fillId="3" borderId="1" xfId="0" applyFont="1" applyFill="1" applyBorder="1" applyAlignment="1">
      <alignment horizontal="center" vertical="center"/>
    </xf>
    <xf numFmtId="0" fontId="102" fillId="3" borderId="1" xfId="0" applyFont="1" applyFill="1" applyBorder="1" applyAlignment="1">
      <alignment vertical="center"/>
    </xf>
    <xf numFmtId="0" fontId="102" fillId="3" borderId="1" xfId="0" applyFont="1" applyFill="1" applyBorder="1" applyAlignment="1">
      <alignment vertical="center" wrapText="1"/>
    </xf>
    <xf numFmtId="0" fontId="102" fillId="3" borderId="1" xfId="0" applyFont="1" applyFill="1" applyBorder="1" applyAlignment="1">
      <alignment horizontal="justify" vertical="center" wrapText="1"/>
    </xf>
    <xf numFmtId="43" fontId="102" fillId="3" borderId="1" xfId="4" applyFont="1" applyFill="1" applyBorder="1" applyAlignment="1">
      <alignment horizontal="left" vertical="center" wrapText="1"/>
    </xf>
    <xf numFmtId="14" fontId="102" fillId="0" borderId="1" xfId="0" applyNumberFormat="1" applyFont="1" applyBorder="1" applyAlignment="1">
      <alignment horizontal="center" vertical="center" wrapText="1"/>
    </xf>
    <xf numFmtId="0" fontId="101" fillId="0" borderId="0" xfId="4" applyNumberFormat="1" applyFont="1" applyFill="1" applyBorder="1" applyAlignment="1">
      <alignment horizontal="center" vertical="center" wrapText="1"/>
    </xf>
    <xf numFmtId="0" fontId="101" fillId="3" borderId="1" xfId="0" applyFont="1" applyFill="1" applyBorder="1" applyAlignment="1">
      <alignment vertical="center" wrapText="1"/>
    </xf>
    <xf numFmtId="0" fontId="102" fillId="0" borderId="1" xfId="0" applyFont="1" applyBorder="1" applyAlignment="1">
      <alignment horizontal="center" vertical="center"/>
    </xf>
    <xf numFmtId="43" fontId="102" fillId="0" borderId="1" xfId="4" applyFont="1" applyFill="1" applyBorder="1" applyAlignment="1">
      <alignment horizontal="center" vertical="center" wrapText="1"/>
    </xf>
    <xf numFmtId="0" fontId="102" fillId="0" borderId="70" xfId="0" applyFont="1" applyBorder="1" applyAlignment="1">
      <alignment horizontal="left" vertical="center"/>
    </xf>
    <xf numFmtId="14" fontId="5" fillId="0" borderId="71" xfId="9" applyNumberFormat="1" applyFont="1" applyBorder="1" applyAlignment="1">
      <alignment horizontal="center" vertical="center" wrapText="1"/>
    </xf>
    <xf numFmtId="0" fontId="101" fillId="0" borderId="7" xfId="9"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02" fillId="0" borderId="7" xfId="0" applyFont="1" applyBorder="1" applyAlignment="1">
      <alignment horizontal="justify" vertical="center" wrapText="1"/>
    </xf>
    <xf numFmtId="42" fontId="101" fillId="3" borderId="1" xfId="3" applyFont="1" applyFill="1" applyBorder="1" applyAlignment="1">
      <alignment horizontal="center" vertical="center" wrapText="1"/>
    </xf>
    <xf numFmtId="0" fontId="106" fillId="0" borderId="1" xfId="0" applyFont="1" applyBorder="1" applyAlignment="1">
      <alignment horizontal="center" vertical="center"/>
    </xf>
    <xf numFmtId="0" fontId="102" fillId="3" borderId="1" xfId="0" applyFont="1" applyFill="1" applyBorder="1" applyAlignment="1">
      <alignment horizontal="center" wrapText="1"/>
    </xf>
    <xf numFmtId="0" fontId="102"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5" fontId="102" fillId="0" borderId="0" xfId="16" applyNumberFormat="1" applyFont="1" applyFill="1"/>
    <xf numFmtId="176" fontId="1" fillId="3" borderId="1" xfId="4" applyNumberFormat="1" applyFont="1" applyFill="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xf>
    <xf numFmtId="0" fontId="102" fillId="0" borderId="0" xfId="0" applyFont="1" applyAlignment="1">
      <alignment horizontal="center" wrapText="1"/>
    </xf>
    <xf numFmtId="0" fontId="101" fillId="36" borderId="1" xfId="4" applyNumberFormat="1" applyFont="1" applyFill="1" applyBorder="1" applyAlignment="1">
      <alignment horizontal="center" vertical="center" wrapText="1"/>
    </xf>
    <xf numFmtId="0" fontId="101" fillId="36" borderId="1" xfId="15" applyFont="1" applyFill="1" applyBorder="1" applyAlignment="1">
      <alignment vertical="center" wrapText="1"/>
    </xf>
    <xf numFmtId="0" fontId="101" fillId="36" borderId="7" xfId="4" applyNumberFormat="1" applyFont="1" applyFill="1" applyBorder="1" applyAlignment="1">
      <alignment horizontal="left" vertical="center"/>
    </xf>
    <xf numFmtId="0" fontId="101" fillId="36" borderId="7" xfId="0" applyFont="1" applyFill="1" applyBorder="1" applyAlignment="1">
      <alignment horizontal="justify" vertical="center" wrapText="1"/>
    </xf>
    <xf numFmtId="14"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left" vertical="center"/>
    </xf>
    <xf numFmtId="0" fontId="101" fillId="36" borderId="1" xfId="7" applyNumberFormat="1" applyFont="1" applyFill="1" applyBorder="1" applyAlignment="1">
      <alignment horizontal="center" vertical="center" wrapText="1"/>
    </xf>
    <xf numFmtId="0" fontId="101" fillId="36" borderId="1" xfId="0" applyFont="1" applyFill="1" applyBorder="1" applyAlignment="1">
      <alignment horizontal="center" vertical="center" wrapText="1"/>
    </xf>
    <xf numFmtId="0" fontId="101" fillId="36" borderId="1" xfId="0" applyFont="1" applyFill="1" applyBorder="1" applyAlignment="1">
      <alignment horizontal="left" vertical="center" wrapText="1"/>
    </xf>
    <xf numFmtId="175" fontId="101" fillId="36" borderId="7" xfId="16" applyNumberFormat="1" applyFont="1" applyFill="1" applyBorder="1" applyAlignment="1">
      <alignment horizontal="center" vertical="center" wrapText="1"/>
    </xf>
    <xf numFmtId="0" fontId="101" fillId="36" borderId="1" xfId="0" applyFont="1" applyFill="1" applyBorder="1" applyAlignment="1">
      <alignment horizontal="justify" vertical="center" wrapText="1"/>
    </xf>
    <xf numFmtId="0" fontId="101" fillId="36" borderId="0" xfId="0" applyFont="1" applyFill="1" applyAlignment="1">
      <alignment vertical="center" wrapText="1"/>
    </xf>
    <xf numFmtId="0" fontId="101" fillId="2" borderId="0" xfId="0" applyFont="1" applyFill="1" applyAlignment="1">
      <alignment vertical="center" wrapText="1"/>
    </xf>
    <xf numFmtId="179" fontId="101" fillId="0" borderId="0" xfId="0" applyNumberFormat="1" applyFont="1" applyAlignment="1">
      <alignment vertical="center" wrapText="1"/>
    </xf>
    <xf numFmtId="0" fontId="102" fillId="2" borderId="0" xfId="0" applyFont="1" applyFill="1" applyAlignment="1">
      <alignment vertical="center" wrapText="1"/>
    </xf>
    <xf numFmtId="0" fontId="102" fillId="2" borderId="0" xfId="0" applyFont="1" applyFill="1"/>
    <xf numFmtId="0" fontId="102" fillId="2" borderId="0" xfId="0" applyFont="1" applyFill="1" applyAlignment="1">
      <alignment vertical="center"/>
    </xf>
    <xf numFmtId="0" fontId="101" fillId="0" borderId="0" xfId="0" applyFont="1" applyAlignment="1">
      <alignment horizontal="left" vertical="center"/>
    </xf>
    <xf numFmtId="179" fontId="102" fillId="0" borderId="0" xfId="0" applyNumberFormat="1" applyFont="1"/>
    <xf numFmtId="0" fontId="102" fillId="0" borderId="0" xfId="0" applyFont="1" applyAlignment="1">
      <alignment horizontal="center"/>
    </xf>
    <xf numFmtId="0" fontId="101" fillId="2" borderId="52" xfId="4"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1" fontId="101" fillId="2" borderId="1" xfId="0" applyNumberFormat="1" applyFont="1" applyFill="1" applyBorder="1" applyAlignment="1">
      <alignment horizontal="center" vertical="center" wrapText="1"/>
    </xf>
    <xf numFmtId="0" fontId="101" fillId="2" borderId="1" xfId="0" applyFont="1" applyFill="1" applyBorder="1" applyAlignment="1">
      <alignment horizontal="left" vertical="center" wrapText="1"/>
    </xf>
    <xf numFmtId="179" fontId="101" fillId="2" borderId="1" xfId="0" applyNumberFormat="1" applyFont="1" applyFill="1" applyBorder="1" applyAlignment="1">
      <alignment horizontal="center" vertical="center" wrapText="1"/>
    </xf>
    <xf numFmtId="179" fontId="101" fillId="2" borderId="1" xfId="0" applyNumberFormat="1" applyFont="1" applyFill="1" applyBorder="1" applyAlignment="1" applyProtection="1">
      <alignment horizontal="center" vertical="center" wrapText="1"/>
      <protection locked="0"/>
    </xf>
    <xf numFmtId="0" fontId="101" fillId="2" borderId="3" xfId="4" applyNumberFormat="1" applyFont="1" applyFill="1" applyBorder="1" applyAlignment="1">
      <alignment horizontal="center" vertical="center" wrapText="1"/>
    </xf>
    <xf numFmtId="0" fontId="101" fillId="2" borderId="7" xfId="9" applyFont="1" applyFill="1" applyBorder="1" applyAlignment="1">
      <alignment horizontal="center" vertical="center" wrapText="1"/>
    </xf>
    <xf numFmtId="179" fontId="101" fillId="2" borderId="7" xfId="0" applyNumberFormat="1" applyFont="1" applyFill="1" applyBorder="1" applyAlignment="1">
      <alignment horizontal="center" vertical="center" wrapText="1"/>
    </xf>
    <xf numFmtId="0" fontId="101" fillId="2" borderId="7" xfId="0" applyFont="1" applyFill="1" applyBorder="1" applyAlignment="1">
      <alignment horizontal="center" vertical="center" wrapText="1"/>
    </xf>
    <xf numFmtId="1" fontId="101" fillId="2" borderId="7" xfId="0" applyNumberFormat="1" applyFont="1" applyFill="1" applyBorder="1" applyAlignment="1">
      <alignment horizontal="center" vertical="center" wrapText="1"/>
    </xf>
    <xf numFmtId="0" fontId="101" fillId="2" borderId="7" xfId="0" applyFont="1" applyFill="1" applyBorder="1" applyAlignment="1">
      <alignment horizontal="left" vertical="center" wrapText="1"/>
    </xf>
    <xf numFmtId="0" fontId="101" fillId="2" borderId="1" xfId="15" applyFont="1" applyFill="1" applyBorder="1" applyAlignment="1">
      <alignment vertical="center" wrapText="1"/>
    </xf>
    <xf numFmtId="0" fontId="101" fillId="2" borderId="1" xfId="9" applyFont="1" applyFill="1" applyBorder="1" applyAlignment="1">
      <alignment horizontal="center" vertical="center" wrapText="1"/>
    </xf>
    <xf numFmtId="175" fontId="101" fillId="2" borderId="1" xfId="16" applyNumberFormat="1" applyFont="1" applyFill="1" applyBorder="1" applyAlignment="1">
      <alignment horizontal="center" vertical="center" wrapText="1"/>
    </xf>
    <xf numFmtId="0" fontId="100" fillId="34" borderId="24" xfId="0" applyFont="1" applyFill="1" applyBorder="1" applyAlignment="1">
      <alignment horizontal="center" vertical="center" wrapText="1"/>
    </xf>
    <xf numFmtId="0" fontId="102" fillId="2" borderId="1" xfId="9" applyFont="1" applyFill="1" applyBorder="1" applyAlignment="1">
      <alignment horizontal="justify" vertical="center" wrapText="1"/>
    </xf>
    <xf numFmtId="0" fontId="100" fillId="2" borderId="1" xfId="4" applyNumberFormat="1" applyFont="1" applyFill="1" applyBorder="1" applyAlignment="1">
      <alignment horizontal="center" vertical="center" wrapText="1"/>
    </xf>
    <xf numFmtId="0" fontId="100" fillId="2" borderId="7" xfId="4" applyNumberFormat="1" applyFont="1" applyFill="1" applyBorder="1" applyAlignment="1">
      <alignment horizontal="center" vertical="center" wrapText="1"/>
    </xf>
    <xf numFmtId="0" fontId="101" fillId="2" borderId="7" xfId="15" applyFont="1" applyFill="1" applyBorder="1" applyAlignment="1">
      <alignment vertical="center" wrapText="1"/>
    </xf>
    <xf numFmtId="0" fontId="102" fillId="2" borderId="7" xfId="9" applyFont="1" applyFill="1" applyBorder="1" applyAlignment="1">
      <alignment horizontal="justify" vertical="center" wrapText="1"/>
    </xf>
    <xf numFmtId="175" fontId="0" fillId="0" borderId="0" xfId="16" applyNumberFormat="1" applyFont="1" applyFill="1" applyBorder="1" applyAlignment="1">
      <alignment horizontal="center" vertical="center" wrapText="1"/>
    </xf>
    <xf numFmtId="175" fontId="101" fillId="2" borderId="7" xfId="16" applyNumberFormat="1" applyFont="1" applyFill="1" applyBorder="1" applyAlignment="1">
      <alignment horizontal="center" vertical="center" wrapText="1"/>
    </xf>
    <xf numFmtId="44" fontId="101" fillId="2" borderId="1" xfId="16" applyFont="1" applyFill="1" applyBorder="1" applyAlignment="1">
      <alignment horizontal="center" vertical="center" wrapText="1"/>
    </xf>
    <xf numFmtId="44" fontId="101" fillId="2" borderId="7" xfId="16" applyFont="1" applyFill="1" applyBorder="1" applyAlignment="1">
      <alignment horizontal="center" vertical="center" wrapText="1"/>
    </xf>
    <xf numFmtId="41" fontId="102" fillId="0" borderId="0" xfId="2" applyFont="1"/>
    <xf numFmtId="175" fontId="102" fillId="0" borderId="0" xfId="0" applyNumberFormat="1" applyFont="1"/>
    <xf numFmtId="175" fontId="101" fillId="2" borderId="0" xfId="16" applyNumberFormat="1" applyFont="1" applyFill="1" applyAlignment="1">
      <alignment vertical="center" wrapText="1"/>
    </xf>
    <xf numFmtId="175" fontId="102" fillId="2" borderId="0" xfId="16" applyNumberFormat="1" applyFont="1" applyFill="1"/>
    <xf numFmtId="175" fontId="100" fillId="34" borderId="24" xfId="16" applyNumberFormat="1" applyFont="1" applyFill="1" applyBorder="1" applyAlignment="1">
      <alignment horizontal="center" vertical="center" wrapText="1"/>
    </xf>
    <xf numFmtId="175" fontId="102" fillId="2" borderId="0" xfId="16" applyNumberFormat="1" applyFont="1" applyFill="1" applyAlignment="1">
      <alignment vertical="center"/>
    </xf>
    <xf numFmtId="41" fontId="101" fillId="0" borderId="0" xfId="2" applyFont="1" applyAlignment="1">
      <alignment horizontal="right" vertical="center" wrapText="1"/>
    </xf>
    <xf numFmtId="175" fontId="101" fillId="2" borderId="0" xfId="0" applyNumberFormat="1" applyFont="1" applyFill="1" applyAlignment="1">
      <alignment vertical="center" wrapText="1"/>
    </xf>
    <xf numFmtId="0" fontId="101" fillId="0" borderId="52" xfId="4" applyNumberFormat="1" applyFont="1" applyFill="1" applyBorder="1" applyAlignment="1">
      <alignment horizontal="center" vertical="center" wrapText="1"/>
    </xf>
    <xf numFmtId="44" fontId="101" fillId="0" borderId="1" xfId="16" applyFont="1" applyFill="1" applyBorder="1" applyAlignment="1">
      <alignment horizontal="center" vertical="center" wrapText="1"/>
    </xf>
    <xf numFmtId="175" fontId="102" fillId="0" borderId="0" xfId="16" applyNumberFormat="1" applyFont="1" applyFill="1" applyAlignment="1">
      <alignment vertical="center"/>
    </xf>
    <xf numFmtId="0" fontId="102" fillId="0" borderId="52" xfId="4" applyNumberFormat="1" applyFont="1" applyFill="1" applyBorder="1" applyAlignment="1">
      <alignment horizontal="center" vertical="center" wrapText="1"/>
    </xf>
    <xf numFmtId="0" fontId="102" fillId="0" borderId="1" xfId="4" applyNumberFormat="1" applyFont="1" applyFill="1" applyBorder="1" applyAlignment="1">
      <alignment horizontal="center" vertical="center" wrapText="1"/>
    </xf>
    <xf numFmtId="44" fontId="102" fillId="0" borderId="1" xfId="16" applyFont="1" applyFill="1" applyBorder="1" applyAlignment="1">
      <alignment horizontal="center" vertical="center" wrapText="1"/>
    </xf>
    <xf numFmtId="175" fontId="105" fillId="0" borderId="0" xfId="16" applyNumberFormat="1" applyFont="1" applyFill="1" applyAlignment="1">
      <alignment vertical="center"/>
    </xf>
    <xf numFmtId="175" fontId="0" fillId="0" borderId="0" xfId="0" applyNumberFormat="1"/>
    <xf numFmtId="0" fontId="101" fillId="0" borderId="3" xfId="4" applyNumberFormat="1" applyFont="1" applyFill="1" applyBorder="1" applyAlignment="1">
      <alignment horizontal="center" vertical="center" wrapText="1"/>
    </xf>
    <xf numFmtId="44" fontId="101" fillId="0" borderId="7" xfId="16" applyFont="1" applyFill="1" applyBorder="1" applyAlignment="1">
      <alignment horizontal="center" vertical="center" wrapText="1"/>
    </xf>
    <xf numFmtId="43" fontId="102" fillId="0" borderId="0" xfId="4" applyFont="1" applyAlignment="1">
      <alignment horizontal="center" wrapText="1"/>
    </xf>
    <xf numFmtId="0" fontId="101" fillId="2" borderId="3" xfId="0" applyFont="1" applyFill="1" applyBorder="1" applyAlignment="1">
      <alignment horizontal="center" vertical="center" wrapText="1"/>
    </xf>
    <xf numFmtId="0" fontId="100" fillId="2" borderId="3" xfId="0" applyFont="1" applyFill="1" applyBorder="1" applyAlignment="1">
      <alignment horizontal="center" vertical="center" wrapText="1"/>
    </xf>
    <xf numFmtId="0" fontId="101" fillId="2" borderId="7" xfId="0" applyFont="1" applyFill="1" applyBorder="1" applyAlignment="1">
      <alignment vertical="center" wrapText="1"/>
    </xf>
    <xf numFmtId="0" fontId="102" fillId="2" borderId="4" xfId="0" applyFont="1" applyFill="1" applyBorder="1" applyAlignment="1">
      <alignment horizontal="center" wrapText="1"/>
    </xf>
    <xf numFmtId="179" fontId="102" fillId="2" borderId="24" xfId="0" applyNumberFormat="1" applyFont="1" applyFill="1" applyBorder="1"/>
    <xf numFmtId="0" fontId="102" fillId="2" borderId="9" xfId="0" applyFont="1" applyFill="1" applyBorder="1" applyAlignment="1">
      <alignment horizontal="center"/>
    </xf>
    <xf numFmtId="0" fontId="102" fillId="0" borderId="24" xfId="0" applyFont="1" applyBorder="1"/>
    <xf numFmtId="0" fontId="102" fillId="2" borderId="24" xfId="0" applyFont="1" applyFill="1" applyBorder="1" applyAlignment="1">
      <alignment horizontal="center" wrapText="1"/>
    </xf>
    <xf numFmtId="175" fontId="101" fillId="2" borderId="7" xfId="0" applyNumberFormat="1" applyFont="1" applyFill="1" applyBorder="1" applyAlignment="1">
      <alignment horizontal="center" vertical="center" wrapText="1"/>
    </xf>
    <xf numFmtId="175" fontId="102" fillId="0" borderId="0" xfId="16" applyNumberFormat="1" applyFont="1" applyFill="1" applyAlignment="1">
      <alignment vertical="center" wrapText="1"/>
    </xf>
    <xf numFmtId="175" fontId="101" fillId="0" borderId="1" xfId="16" quotePrefix="1" applyNumberFormat="1" applyFont="1" applyFill="1" applyBorder="1" applyAlignment="1">
      <alignment horizontal="center" vertical="center" wrapText="1"/>
    </xf>
    <xf numFmtId="175" fontId="101" fillId="0" borderId="0" xfId="16" applyNumberFormat="1" applyFont="1" applyFill="1" applyAlignment="1">
      <alignment vertical="center"/>
    </xf>
    <xf numFmtId="176" fontId="102" fillId="2" borderId="0" xfId="4" applyNumberFormat="1" applyFont="1" applyFill="1"/>
    <xf numFmtId="0" fontId="101" fillId="2" borderId="4" xfId="9" applyFont="1" applyFill="1" applyBorder="1" applyAlignment="1">
      <alignment horizontal="center" vertical="center" wrapText="1"/>
    </xf>
    <xf numFmtId="0" fontId="101" fillId="2" borderId="9" xfId="0" applyFont="1" applyFill="1" applyBorder="1" applyAlignment="1">
      <alignment horizontal="center" vertical="center" wrapText="1"/>
    </xf>
    <xf numFmtId="0" fontId="101" fillId="2" borderId="24" xfId="0" applyFont="1" applyFill="1" applyBorder="1" applyAlignment="1">
      <alignment horizontal="center" vertical="center" wrapText="1"/>
    </xf>
    <xf numFmtId="0" fontId="101" fillId="2" borderId="24" xfId="0" applyFont="1" applyFill="1" applyBorder="1" applyAlignment="1">
      <alignment horizontal="left" vertical="center" wrapText="1"/>
    </xf>
    <xf numFmtId="0" fontId="101" fillId="2" borderId="0" xfId="9" applyFont="1" applyFill="1" applyAlignment="1">
      <alignment horizontal="center" vertical="center" wrapText="1"/>
    </xf>
    <xf numFmtId="0" fontId="100" fillId="2" borderId="52" xfId="4" applyNumberFormat="1" applyFont="1" applyFill="1" applyBorder="1" applyAlignment="1">
      <alignment horizontal="center" vertical="center" wrapText="1"/>
    </xf>
    <xf numFmtId="179" fontId="101" fillId="2" borderId="24" xfId="0" applyNumberFormat="1" applyFont="1" applyFill="1" applyBorder="1" applyAlignment="1">
      <alignment horizontal="center" vertical="center" wrapText="1"/>
    </xf>
    <xf numFmtId="0" fontId="102" fillId="0" borderId="1" xfId="9" applyFont="1" applyBorder="1" applyAlignment="1">
      <alignment horizontal="justify" vertical="center" wrapText="1"/>
    </xf>
    <xf numFmtId="179" fontId="101" fillId="0" borderId="1" xfId="0" applyNumberFormat="1" applyFont="1" applyBorder="1" applyAlignment="1">
      <alignment horizontal="center" vertical="center" wrapText="1"/>
    </xf>
    <xf numFmtId="0" fontId="101" fillId="0" borderId="1" xfId="15" applyFont="1" applyBorder="1" applyAlignment="1">
      <alignment horizontal="left" vertical="center" wrapText="1"/>
    </xf>
    <xf numFmtId="0" fontId="101" fillId="0" borderId="1" xfId="9" applyFont="1" applyBorder="1" applyAlignment="1">
      <alignment vertical="center" wrapText="1"/>
    </xf>
    <xf numFmtId="179" fontId="101" fillId="0" borderId="1" xfId="0" applyNumberFormat="1" applyFont="1" applyBorder="1" applyAlignment="1" applyProtection="1">
      <alignment horizontal="center" vertical="center" wrapText="1"/>
      <protection locked="0"/>
    </xf>
    <xf numFmtId="0" fontId="101" fillId="0" borderId="1" xfId="9" applyFont="1" applyBorder="1" applyAlignment="1">
      <alignment horizontal="justify" vertical="center" wrapText="1"/>
    </xf>
    <xf numFmtId="0" fontId="101" fillId="0" borderId="0" xfId="0" applyFont="1"/>
    <xf numFmtId="0" fontId="102" fillId="0" borderId="1" xfId="15" applyFont="1" applyBorder="1" applyAlignment="1">
      <alignment vertical="center" wrapText="1"/>
    </xf>
    <xf numFmtId="0" fontId="102" fillId="0" borderId="1" xfId="9" applyFont="1" applyBorder="1" applyAlignment="1">
      <alignment horizontal="center" vertical="center" wrapText="1"/>
    </xf>
    <xf numFmtId="0" fontId="102" fillId="0" borderId="1" xfId="9" applyFont="1" applyBorder="1" applyAlignment="1">
      <alignment vertical="center" wrapText="1"/>
    </xf>
    <xf numFmtId="179" fontId="102" fillId="0" borderId="1" xfId="0" applyNumberFormat="1" applyFont="1" applyBorder="1" applyAlignment="1" applyProtection="1">
      <alignment horizontal="center" vertical="center" wrapText="1"/>
      <protection locked="0"/>
    </xf>
    <xf numFmtId="1" fontId="102" fillId="0" borderId="1" xfId="0" applyNumberFormat="1" applyFont="1" applyBorder="1" applyAlignment="1">
      <alignment horizontal="center" vertical="center" wrapText="1"/>
    </xf>
    <xf numFmtId="0" fontId="105" fillId="0" borderId="0" xfId="0" applyFont="1"/>
    <xf numFmtId="0" fontId="101" fillId="0" borderId="1" xfId="9" applyFont="1" applyBorder="1" applyAlignment="1">
      <alignment horizontal="center" vertical="center"/>
    </xf>
    <xf numFmtId="0" fontId="102" fillId="0" borderId="0" xfId="0" applyFont="1" applyAlignment="1">
      <alignment horizontal="left" vertical="center"/>
    </xf>
    <xf numFmtId="14" fontId="104" fillId="0" borderId="1" xfId="0" applyNumberFormat="1" applyFont="1" applyBorder="1" applyAlignment="1">
      <alignment horizontal="center" vertical="center" wrapText="1"/>
    </xf>
    <xf numFmtId="0" fontId="102" fillId="0" borderId="1" xfId="15" applyFont="1" applyBorder="1" applyAlignment="1">
      <alignment horizontal="justify" vertical="center" wrapText="1"/>
    </xf>
    <xf numFmtId="0" fontId="101" fillId="0" borderId="7" xfId="15" applyFont="1" applyBorder="1" applyAlignment="1">
      <alignment vertical="center" wrapText="1"/>
    </xf>
    <xf numFmtId="1" fontId="101" fillId="0" borderId="7" xfId="0" applyNumberFormat="1" applyFont="1" applyBorder="1" applyAlignment="1">
      <alignment horizontal="center" vertical="center" wrapText="1"/>
    </xf>
    <xf numFmtId="0" fontId="101" fillId="0" borderId="13" xfId="0" applyFont="1" applyBorder="1" applyAlignment="1">
      <alignment horizontal="center" vertical="center" wrapText="1"/>
    </xf>
    <xf numFmtId="0" fontId="101" fillId="0" borderId="1" xfId="9" applyFont="1" applyBorder="1" applyAlignment="1">
      <alignment vertical="top" wrapText="1"/>
    </xf>
    <xf numFmtId="0" fontId="101" fillId="0" borderId="1" xfId="9" applyFont="1" applyBorder="1" applyAlignment="1">
      <alignment horizontal="left" vertical="top" wrapText="1"/>
    </xf>
    <xf numFmtId="0" fontId="101" fillId="0" borderId="1" xfId="15" applyFont="1" applyBorder="1" applyAlignment="1">
      <alignment vertical="center"/>
    </xf>
    <xf numFmtId="0" fontId="102" fillId="37" borderId="52" xfId="4" applyNumberFormat="1" applyFont="1" applyFill="1" applyBorder="1" applyAlignment="1">
      <alignment horizontal="center" vertical="center" wrapText="1"/>
    </xf>
    <xf numFmtId="0" fontId="101" fillId="37" borderId="1" xfId="4" applyNumberFormat="1" applyFont="1" applyFill="1" applyBorder="1" applyAlignment="1">
      <alignment horizontal="center" vertical="center" wrapText="1"/>
    </xf>
    <xf numFmtId="44" fontId="101" fillId="37" borderId="1" xfId="16" applyFont="1" applyFill="1" applyBorder="1" applyAlignment="1">
      <alignment horizontal="center" vertical="center" wrapText="1"/>
    </xf>
    <xf numFmtId="0" fontId="101" fillId="37" borderId="1" xfId="15" applyFont="1" applyFill="1" applyBorder="1" applyAlignment="1">
      <alignment vertical="center" wrapText="1"/>
    </xf>
    <xf numFmtId="0" fontId="101" fillId="37" borderId="1" xfId="9" applyFont="1" applyFill="1" applyBorder="1" applyAlignment="1">
      <alignment horizontal="center" vertical="center" wrapText="1"/>
    </xf>
    <xf numFmtId="0" fontId="101" fillId="37" borderId="1" xfId="9" applyFont="1" applyFill="1" applyBorder="1" applyAlignment="1">
      <alignment vertical="center" wrapText="1"/>
    </xf>
    <xf numFmtId="179" fontId="101" fillId="37" borderId="1" xfId="0" applyNumberFormat="1" applyFont="1" applyFill="1" applyBorder="1" applyAlignment="1" applyProtection="1">
      <alignment horizontal="center" vertical="center" wrapText="1"/>
      <protection locked="0"/>
    </xf>
    <xf numFmtId="0" fontId="101" fillId="37" borderId="1" xfId="0" applyFont="1" applyFill="1" applyBorder="1" applyAlignment="1">
      <alignment horizontal="center" vertical="center" wrapText="1"/>
    </xf>
    <xf numFmtId="1" fontId="101" fillId="37" borderId="1" xfId="0" applyNumberFormat="1" applyFont="1" applyFill="1" applyBorder="1" applyAlignment="1">
      <alignment horizontal="center" vertical="center" wrapText="1"/>
    </xf>
    <xf numFmtId="0" fontId="101" fillId="37" borderId="1" xfId="0" applyFont="1" applyFill="1" applyBorder="1" applyAlignment="1">
      <alignment horizontal="left" vertical="center" wrapText="1"/>
    </xf>
    <xf numFmtId="175" fontId="101" fillId="37" borderId="1" xfId="16" applyNumberFormat="1" applyFont="1" applyFill="1" applyBorder="1" applyAlignment="1">
      <alignment horizontal="center" vertical="center" wrapText="1"/>
    </xf>
    <xf numFmtId="0" fontId="102" fillId="37" borderId="1" xfId="9" applyFont="1" applyFill="1" applyBorder="1" applyAlignment="1">
      <alignment horizontal="justify" vertical="center" wrapText="1"/>
    </xf>
    <xf numFmtId="0" fontId="102" fillId="37" borderId="0" xfId="0" applyFont="1" applyFill="1" applyAlignment="1">
      <alignment vertical="center" wrapText="1"/>
    </xf>
    <xf numFmtId="0" fontId="101" fillId="37" borderId="52" xfId="4" applyNumberFormat="1" applyFont="1" applyFill="1" applyBorder="1" applyAlignment="1">
      <alignment horizontal="center" vertical="center" wrapText="1"/>
    </xf>
    <xf numFmtId="0" fontId="102" fillId="37" borderId="0" xfId="0" applyFont="1" applyFill="1"/>
    <xf numFmtId="0" fontId="101" fillId="37" borderId="1" xfId="9" applyFont="1" applyFill="1" applyBorder="1" applyAlignment="1">
      <alignment horizontal="left" vertical="center" wrapText="1"/>
    </xf>
    <xf numFmtId="0" fontId="102" fillId="37" borderId="1" xfId="4" applyNumberFormat="1" applyFont="1" applyFill="1" applyBorder="1" applyAlignment="1">
      <alignment horizontal="center" vertical="center" wrapText="1"/>
    </xf>
    <xf numFmtId="44" fontId="102" fillId="37" borderId="1" xfId="16" applyFont="1" applyFill="1" applyBorder="1" applyAlignment="1">
      <alignment horizontal="center" vertical="center" wrapText="1"/>
    </xf>
    <xf numFmtId="0" fontId="102" fillId="37" borderId="1" xfId="15" applyFont="1" applyFill="1" applyBorder="1" applyAlignment="1">
      <alignment vertical="center" wrapText="1"/>
    </xf>
    <xf numFmtId="0" fontId="102" fillId="37" borderId="1" xfId="9" applyFont="1" applyFill="1" applyBorder="1" applyAlignment="1">
      <alignment horizontal="center" vertical="center" wrapText="1"/>
    </xf>
    <xf numFmtId="0" fontId="102" fillId="37" borderId="1" xfId="9" applyFont="1" applyFill="1" applyBorder="1" applyAlignment="1">
      <alignment vertical="center" wrapText="1"/>
    </xf>
    <xf numFmtId="179" fontId="102" fillId="37" borderId="1" xfId="0" applyNumberFormat="1" applyFont="1" applyFill="1" applyBorder="1" applyAlignment="1" applyProtection="1">
      <alignment horizontal="center" vertical="center" wrapText="1"/>
      <protection locked="0"/>
    </xf>
    <xf numFmtId="0" fontId="102" fillId="37" borderId="1" xfId="0" applyFont="1" applyFill="1" applyBorder="1" applyAlignment="1">
      <alignment horizontal="center" vertical="center" wrapText="1"/>
    </xf>
    <xf numFmtId="1" fontId="102" fillId="37" borderId="1" xfId="0" applyNumberFormat="1" applyFont="1" applyFill="1" applyBorder="1" applyAlignment="1">
      <alignment horizontal="center" vertical="center" wrapText="1"/>
    </xf>
    <xf numFmtId="175" fontId="102" fillId="37" borderId="1" xfId="16" applyNumberFormat="1" applyFont="1" applyFill="1" applyBorder="1" applyAlignment="1">
      <alignment horizontal="center" vertical="center" wrapText="1"/>
    </xf>
    <xf numFmtId="0" fontId="101" fillId="37" borderId="1" xfId="9" applyFont="1" applyFill="1" applyBorder="1" applyAlignment="1">
      <alignment horizontal="justify" vertical="center" wrapText="1"/>
    </xf>
    <xf numFmtId="0" fontId="101" fillId="37" borderId="1" xfId="15" applyFont="1" applyFill="1" applyBorder="1" applyAlignment="1">
      <alignment horizontal="center" vertical="center" wrapText="1"/>
    </xf>
    <xf numFmtId="0" fontId="101" fillId="37" borderId="1" xfId="15" applyFont="1" applyFill="1" applyBorder="1" applyAlignment="1">
      <alignment horizontal="left" vertical="center" wrapText="1"/>
    </xf>
    <xf numFmtId="179" fontId="101" fillId="37" borderId="1" xfId="0" applyNumberFormat="1" applyFont="1" applyFill="1" applyBorder="1" applyAlignment="1">
      <alignment horizontal="center" vertical="center" wrapText="1"/>
    </xf>
    <xf numFmtId="0" fontId="102" fillId="37" borderId="0" xfId="0" applyFont="1" applyFill="1" applyAlignment="1">
      <alignment vertical="center"/>
    </xf>
    <xf numFmtId="0" fontId="101" fillId="37" borderId="1" xfId="0" applyFont="1" applyFill="1" applyBorder="1" applyAlignment="1">
      <alignment vertical="center" wrapText="1"/>
    </xf>
    <xf numFmtId="0" fontId="101" fillId="37" borderId="1" xfId="0" applyFont="1" applyFill="1" applyBorder="1" applyAlignment="1">
      <alignment horizontal="justify" vertical="center" wrapText="1"/>
    </xf>
    <xf numFmtId="14" fontId="101" fillId="37" borderId="1" xfId="0" applyNumberFormat="1" applyFont="1" applyFill="1" applyBorder="1" applyAlignment="1">
      <alignment horizontal="center" vertical="center" wrapText="1"/>
    </xf>
    <xf numFmtId="0" fontId="101" fillId="37" borderId="0" xfId="0" applyFont="1" applyFill="1" applyAlignment="1">
      <alignment vertical="center" wrapText="1"/>
    </xf>
    <xf numFmtId="0" fontId="101" fillId="0" borderId="7" xfId="15" applyFont="1" applyBorder="1" applyAlignment="1">
      <alignment horizontal="center" vertical="center" wrapText="1"/>
    </xf>
    <xf numFmtId="179" fontId="101" fillId="0" borderId="7" xfId="0" applyNumberFormat="1" applyFont="1" applyBorder="1" applyAlignment="1">
      <alignment horizontal="center" vertical="center" wrapText="1"/>
    </xf>
    <xf numFmtId="0" fontId="101" fillId="0" borderId="7" xfId="9" applyFont="1" applyBorder="1" applyAlignment="1">
      <alignment horizontal="left" vertical="center" wrapText="1"/>
    </xf>
    <xf numFmtId="37" fontId="100" fillId="0" borderId="0" xfId="0" applyNumberFormat="1" applyFont="1" applyAlignment="1">
      <alignment horizontal="center" vertical="center" wrapText="1"/>
    </xf>
    <xf numFmtId="0" fontId="5" fillId="2" borderId="1" xfId="0" applyFont="1" applyFill="1" applyBorder="1" applyAlignment="1">
      <alignment horizontal="center" vertical="center"/>
    </xf>
    <xf numFmtId="0" fontId="89" fillId="32" borderId="0" xfId="0" applyFont="1" applyFill="1" applyAlignment="1">
      <alignment horizontal="center"/>
    </xf>
    <xf numFmtId="37" fontId="100" fillId="0" borderId="0" xfId="0" applyNumberFormat="1" applyFont="1" applyAlignment="1">
      <alignment horizontal="center" vertical="center" wrapText="1"/>
    </xf>
    <xf numFmtId="15" fontId="100" fillId="0" borderId="0" xfId="0" applyNumberFormat="1" applyFont="1" applyAlignment="1">
      <alignment horizontal="center" vertical="center" wrapText="1"/>
    </xf>
    <xf numFmtId="37" fontId="95" fillId="0" borderId="0" xfId="0" applyNumberFormat="1" applyFont="1" applyAlignment="1">
      <alignment horizontal="left" vertical="center" wrapText="1"/>
    </xf>
    <xf numFmtId="15" fontId="94" fillId="0" borderId="0" xfId="0" applyNumberFormat="1" applyFont="1" applyAlignment="1">
      <alignment horizontal="center" vertical="center" wrapText="1"/>
    </xf>
    <xf numFmtId="37" fontId="99" fillId="0" borderId="0" xfId="0" applyNumberFormat="1" applyFont="1" applyAlignment="1">
      <alignment horizontal="center" vertical="center" wrapText="1"/>
    </xf>
    <xf numFmtId="15" fontId="101" fillId="0" borderId="0" xfId="0" applyNumberFormat="1" applyFont="1" applyAlignment="1">
      <alignment horizontal="center" vertical="center" wrapText="1"/>
    </xf>
    <xf numFmtId="0" fontId="26" fillId="0" borderId="7"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24" xfId="9" applyFont="1" applyBorder="1" applyAlignment="1">
      <alignment horizontal="center" vertical="center"/>
    </xf>
    <xf numFmtId="0" fontId="26" fillId="0" borderId="13"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wrapText="1"/>
    </xf>
    <xf numFmtId="0" fontId="25" fillId="0" borderId="1" xfId="9" applyFont="1" applyBorder="1" applyAlignment="1">
      <alignment horizontal="left"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26" xfId="9" applyFont="1" applyBorder="1" applyAlignment="1">
      <alignment horizontal="left" vertical="center" wrapText="1"/>
    </xf>
    <xf numFmtId="0" fontId="25" fillId="0" borderId="14" xfId="9" applyFont="1" applyBorder="1" applyAlignment="1">
      <alignment horizontal="left" vertical="center"/>
    </xf>
    <xf numFmtId="0" fontId="25" fillId="0" borderId="1" xfId="9" applyFont="1" applyBorder="1" applyAlignment="1">
      <alignment horizontal="left" vertical="center"/>
    </xf>
    <xf numFmtId="0" fontId="25" fillId="0" borderId="17" xfId="9" applyFont="1" applyBorder="1" applyAlignment="1">
      <alignment horizontal="left" vertical="center" wrapText="1"/>
    </xf>
    <xf numFmtId="0" fontId="26" fillId="0" borderId="42" xfId="9" applyFont="1" applyBorder="1" applyAlignment="1">
      <alignment horizontal="center" vertical="center"/>
    </xf>
    <xf numFmtId="0" fontId="26" fillId="0" borderId="42" xfId="9" applyFont="1" applyBorder="1" applyAlignment="1">
      <alignment horizontal="left" vertical="center"/>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 xfId="9" applyFont="1" applyBorder="1" applyAlignment="1">
      <alignment horizontal="center"/>
    </xf>
    <xf numFmtId="0" fontId="32" fillId="3" borderId="32" xfId="9" applyFont="1" applyFill="1" applyBorder="1" applyAlignment="1">
      <alignment horizontal="center" vertical="center" wrapText="1"/>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32" fillId="0" borderId="32" xfId="9" applyFont="1" applyBorder="1" applyAlignment="1">
      <alignment horizontal="center" vertical="center" wrapText="1"/>
    </xf>
    <xf numFmtId="0" fontId="25" fillId="0" borderId="13" xfId="9" applyFont="1" applyBorder="1" applyAlignment="1">
      <alignment horizontal="center"/>
    </xf>
    <xf numFmtId="0" fontId="25" fillId="0" borderId="13" xfId="9" applyFont="1" applyBorder="1" applyAlignment="1">
      <alignment horizontal="left" vertical="center" wrapText="1"/>
    </xf>
    <xf numFmtId="0" fontId="25" fillId="0" borderId="13" xfId="9" applyFont="1" applyBorder="1" applyAlignment="1">
      <alignment horizontal="left" vertical="center"/>
    </xf>
    <xf numFmtId="0" fontId="27" fillId="2" borderId="30" xfId="0" applyFont="1" applyFill="1" applyBorder="1" applyAlignment="1">
      <alignment horizontal="left"/>
    </xf>
    <xf numFmtId="0" fontId="27" fillId="2" borderId="0" xfId="0" applyFont="1" applyFill="1" applyAlignment="1">
      <alignment horizontal="left"/>
    </xf>
  </cellXfs>
  <cellStyles count="17">
    <cellStyle name="BodyStyle" xfId="8" xr:uid="{00000000-0005-0000-0000-000000000000}"/>
    <cellStyle name="Currency" xfId="16" xr:uid="{00000000-0005-0000-0000-000001000000}"/>
    <cellStyle name="HeaderStyle" xfId="13" xr:uid="{00000000-0005-0000-0000-000002000000}"/>
    <cellStyle name="MainTitle" xfId="12" xr:uid="{00000000-0005-0000-0000-000003000000}"/>
    <cellStyle name="Millares" xfId="4" builtinId="3"/>
    <cellStyle name="Millares [0]" xfId="2" builtinId="6"/>
    <cellStyle name="Millares [0] 2" xfId="10" xr:uid="{00000000-0005-0000-0000-000006000000}"/>
    <cellStyle name="Millares 2" xfId="7" xr:uid="{00000000-0005-0000-0000-000007000000}"/>
    <cellStyle name="Millares 3" xfId="5" xr:uid="{00000000-0005-0000-0000-000008000000}"/>
    <cellStyle name="Moneda [0]" xfId="3" builtinId="7"/>
    <cellStyle name="Moneda [0] 2" xfId="11" xr:uid="{00000000-0005-0000-0000-00000A000000}"/>
    <cellStyle name="Moneda 2" xfId="6" xr:uid="{00000000-0005-0000-0000-00000B000000}"/>
    <cellStyle name="Normal" xfId="0" builtinId="0"/>
    <cellStyle name="Normal 2" xfId="9" xr:uid="{00000000-0005-0000-0000-00000D000000}"/>
    <cellStyle name="Normal 2 10" xfId="15" xr:uid="{00000000-0005-0000-0000-00000E000000}"/>
    <cellStyle name="Normal 4 2" xfId="14" xr:uid="{00000000-0005-0000-0000-00000F000000}"/>
    <cellStyle name="Porcentaje" xfId="1" builtinId="5"/>
  </cellStyles>
  <dxfs count="45">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family val="2"/>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fill>
        <patternFill patternType="none">
          <fgColor indexed="64"/>
          <bgColor theme="0"/>
        </patternFill>
      </fill>
    </dxf>
    <dxf>
      <font>
        <b val="0"/>
        <i val="0"/>
        <strike val="0"/>
        <condense val="0"/>
        <extend val="0"/>
        <outline val="0"/>
        <shadow val="0"/>
        <u val="none"/>
        <vertAlign val="baseline"/>
        <sz val="12"/>
        <color theme="1"/>
        <name val="Tahoma"/>
        <family val="2"/>
        <scheme val="none"/>
      </font>
    </dxf>
    <dxf>
      <fill>
        <patternFill>
          <fgColor indexed="64"/>
          <bgColor theme="0"/>
        </patternFill>
      </fill>
    </dxf>
    <dxf>
      <font>
        <b val="0"/>
        <i val="0"/>
        <strike val="0"/>
        <condense val="0"/>
        <extend val="0"/>
        <outline val="0"/>
        <shadow val="0"/>
        <u val="none"/>
        <vertAlign val="baseline"/>
        <sz val="12"/>
        <color auto="1"/>
        <name val="Tahoma"/>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ahoma"/>
        <family val="2"/>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family val="2"/>
        <scheme val="none"/>
      </font>
      <border diagonalUp="0" diagonalDown="0" outline="0">
        <left style="thin">
          <color indexed="64"/>
        </left>
        <right style="thin">
          <color indexed="64"/>
        </right>
        <top/>
        <bottom/>
      </border>
    </dxf>
    <dxf>
      <fill>
        <patternFill>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bottom/>
      </border>
    </dxf>
    <dxf>
      <fill>
        <patternFill patternType="solid">
          <fgColor indexed="64"/>
          <bgColor theme="0"/>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family val="2"/>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family val="2"/>
        <scheme val="none"/>
      </font>
      <numFmt numFmtId="179" formatCode="d/mm/yyyy;@"/>
      <fill>
        <patternFill patternType="solid">
          <fgColor indexed="64"/>
          <bgColor theme="0"/>
        </patternFill>
      </fill>
      <border diagonalUp="0" diagonalDown="0" outline="0">
        <left style="thin">
          <color indexed="64"/>
        </left>
        <right style="thin">
          <color indexed="64"/>
        </right>
        <top/>
        <bottom/>
      </border>
    </dxf>
    <dxf>
      <numFmt numFmtId="179" formatCode="d/mm/yyyy;@"/>
      <fill>
        <patternFill patternType="solid">
          <fgColor indexed="64"/>
          <bgColor theme="0"/>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ill>
        <patternFill patternType="solid">
          <fgColor rgb="FFF4B084"/>
          <bgColor rgb="FF000000"/>
        </patternFill>
      </fill>
    </dxf>
    <dxf>
      <border outline="0">
        <left style="thin">
          <color rgb="FF000000"/>
        </left>
      </border>
    </dxf>
    <dxf>
      <fill>
        <patternFill>
          <fgColor indexed="64"/>
          <bgColor theme="0"/>
        </patternFill>
      </fill>
    </dxf>
    <dxf>
      <font>
        <b/>
        <i val="0"/>
        <strike val="0"/>
        <condense val="0"/>
        <extend val="0"/>
        <outline val="0"/>
        <shadow val="0"/>
        <u val="none"/>
        <vertAlign val="baseline"/>
        <sz val="12"/>
        <color auto="1"/>
        <name val="Tahoma"/>
        <scheme val="none"/>
      </font>
      <numFmt numFmtId="0" formatCode="General"/>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se alberto Abril Benal" id="{A9171924-3C36-453C-8C19-B68B6C89FD45}" userId="S::joabril@bomberosbogota.gov.co::81cdeaac-10cc-4eb5-a5ad-c1a39a02d372"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y Marcela Bonilla Rico" refreshedDate="44319.805660532409" createdVersion="7" refreshedVersion="7" minRefreshableVersion="3" recordCount="909" xr:uid="{00000000-000A-0000-FFFF-FFFF01000000}">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42">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42">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 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6" displayName="Tabla16" ref="A6:W1133" totalsRowCount="1" headerRowDxfId="44" dataDxfId="43" tableBorderDxfId="42">
  <autoFilter ref="A6:W1132" xr:uid="{00000000-0009-0000-0100-000003000000}"/>
  <sortState xmlns:xlrd2="http://schemas.microsoft.com/office/spreadsheetml/2017/richdata2" ref="A7:W1132">
    <sortCondition sortBy="cellColor" ref="B6:B1132" dxfId="41"/>
  </sortState>
  <tableColumns count="23">
    <tableColumn id="1" xr3:uid="{00000000-0010-0000-0000-000001000000}" name="ID" dataDxfId="40" totalsRowDxfId="39"/>
    <tableColumn id="2" xr3:uid="{00000000-0010-0000-0000-000002000000}" name="Rubro" dataDxfId="38" totalsRowDxfId="37"/>
    <tableColumn id="3" xr3:uid="{00000000-0010-0000-0000-000003000000}" name="Código y Nombre del Rubro" dataDxfId="36" totalsRowDxfId="35"/>
    <tableColumn id="4" xr3:uid="{00000000-0010-0000-0000-000004000000}" name="Dependencia" dataDxfId="34" totalsRowDxfId="33" dataCellStyle="Normal 2 10"/>
    <tableColumn id="5" xr3:uid="{00000000-0010-0000-0000-000005000000}" name="Código UNSPSC (cada código separado por ;)" dataDxfId="32" totalsRowDxfId="31"/>
    <tableColumn id="6" xr3:uid="{00000000-0010-0000-0000-000006000000}" name="Descripción- Objeto" dataDxfId="30" totalsRowDxfId="29" dataCellStyle="Normal 2"/>
    <tableColumn id="7" xr3:uid="{00000000-0010-0000-0000-000007000000}" name="Fecha estimada de inicio de proceso de selección (día/mes/año)" dataDxfId="28" totalsRowDxfId="27"/>
    <tableColumn id="8" xr3:uid="{00000000-0010-0000-0000-000008000000}" name="Fecha estimada de presentación de ofertas (día/mes/año)" dataDxfId="26" totalsRowDxfId="25"/>
    <tableColumn id="9" xr3:uid="{00000000-0010-0000-0000-000009000000}" name="Duración estimada del contrato  (Meses)" dataDxfId="24" totalsRowDxfId="23"/>
    <tableColumn id="10" xr3:uid="{00000000-0010-0000-0000-00000A000000}" name="Modalidad de selección " dataDxfId="22" totalsRowDxfId="21"/>
    <tableColumn id="11" xr3:uid="{00000000-0010-0000-0000-00000B000000}" name="Fuente de los recursos" dataDxfId="20" totalsRowDxfId="19"/>
    <tableColumn id="12" xr3:uid="{00000000-0010-0000-0000-00000C000000}" name="Concepto del Gasto -POSPRE(SDH)" dataDxfId="18" totalsRowDxfId="17"/>
    <tableColumn id="13" xr3:uid="{00000000-0010-0000-0000-00000D000000}" name="Valor total estimado" dataDxfId="16" totalsRowDxfId="15"/>
    <tableColumn id="14" xr3:uid="{00000000-0010-0000-0000-00000E000000}" name="Meta Proyecto de Inversión" dataDxfId="14" totalsRowDxfId="13" dataCellStyle="Normal 2"/>
    <tableColumn id="15" xr3:uid="{00000000-0010-0000-0000-00000F000000}" name="Meta Producto/Meta producto " dataDxfId="12" totalsRowDxfId="11"/>
    <tableColumn id="16" xr3:uid="{00000000-0010-0000-0000-000010000000}" name="SI SECOP/NO SECOP " dataDxfId="10" totalsRowDxfId="9"/>
    <tableColumn id="17" xr3:uid="{00000000-0010-0000-0000-000011000000}" name="Columna2" dataDxfId="8"/>
    <tableColumn id="18" xr3:uid="{00000000-0010-0000-0000-000012000000}" name="CDPS A 31 JULIO 2022" dataDxfId="7" dataCellStyle="Currency"/>
    <tableColumn id="19" xr3:uid="{00000000-0010-0000-0000-000013000000}" name="CDP" dataDxfId="6" dataCellStyle="Currency"/>
    <tableColumn id="23" xr3:uid="{00000000-0010-0000-0000-000017000000}" name="Columna1" dataDxfId="5" dataCellStyle="Currency">
      <calculatedColumnFormula>+Tabla16[[#This Row],[CDPS A 31 JULIO 2022]]-Tabla16[[#This Row],[CDP]]</calculatedColumnFormula>
    </tableColumn>
    <tableColumn id="20" xr3:uid="{00000000-0010-0000-0000-000014000000}" name="RP" dataDxfId="4" totalsRowDxfId="3" dataCellStyle="Currency"/>
    <tableColumn id="21" xr3:uid="{00000000-0010-0000-0000-000015000000}" name="GIROS" dataDxfId="2" totalsRowDxfId="1" dataCellStyle="Currency"/>
    <tableColumn id="22" xr3:uid="{00000000-0010-0000-0000-000016000000}" name="viabilidad" dataDxfId="0" dataCellStyle="Currency"/>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459" dT="2022-08-08T16:53:12.33" personId="{A9171924-3C36-453C-8C19-B68B6C89FD45}" id="{92533C56-294F-49A0-B8C2-F7C065AE26D7}">
    <text>ANULACION</text>
  </threadedComment>
  <threadedComment ref="T516" dT="2022-08-08T16:54:00.39" personId="{A9171924-3C36-453C-8C19-B68B6C89FD45}" id="{4B80BF80-1ED0-4CEB-8083-AF187859AC49}">
    <text>ANULACION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S132"/>
  <sheetViews>
    <sheetView zoomScale="70" zoomScaleNormal="70" workbookViewId="0">
      <selection activeCell="U8" sqref="U8:W96"/>
    </sheetView>
  </sheetViews>
  <sheetFormatPr baseColWidth="10" defaultColWidth="11.5703125" defaultRowHeight="15" x14ac:dyDescent="0.2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customWidth="1"/>
    <col min="8" max="8" width="19.28515625" customWidth="1"/>
    <col min="9" max="9" width="19.7109375" customWidth="1"/>
    <col min="10" max="13" width="20.28515625" customWidth="1"/>
    <col min="14" max="14" width="35.5703125" customWidth="1"/>
    <col min="15" max="15" width="33.7109375" style="1" customWidth="1"/>
    <col min="16" max="19" width="42.42578125" customWidth="1"/>
    <col min="20" max="20" width="30.42578125" customWidth="1"/>
    <col min="21" max="21" width="21.7109375" customWidth="1"/>
    <col min="22" max="22" width="22.28515625" bestFit="1" customWidth="1"/>
    <col min="23" max="23" width="23.57031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3" spans="1:29" s="1" customFormat="1" ht="35.25" customHeight="1" x14ac:dyDescent="0.3">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x14ac:dyDescent="0.25">
      <c r="F4" s="8"/>
      <c r="G4" s="8"/>
      <c r="H4" s="8"/>
      <c r="I4" s="8"/>
      <c r="J4" s="14"/>
      <c r="K4" s="8"/>
      <c r="L4" s="9"/>
      <c r="M4" s="9"/>
      <c r="N4" s="9"/>
      <c r="O4" s="10"/>
      <c r="P4" s="11"/>
      <c r="Q4" s="11"/>
      <c r="R4" s="11"/>
      <c r="S4" s="547" t="s">
        <v>2</v>
      </c>
      <c r="T4" s="10"/>
      <c r="X4" s="12"/>
      <c r="Y4" s="12"/>
      <c r="Z4" s="12"/>
      <c r="AA4" s="13"/>
    </row>
    <row r="5" spans="1:29" s="1" customFormat="1" ht="20.25" customHeight="1" x14ac:dyDescent="0.25">
      <c r="F5" s="15"/>
      <c r="G5" s="1447" t="s">
        <v>3</v>
      </c>
      <c r="H5" s="1447"/>
      <c r="I5" s="1447"/>
      <c r="J5" s="16"/>
      <c r="K5" s="16"/>
      <c r="L5" s="1447" t="s">
        <v>4</v>
      </c>
      <c r="M5" s="1447"/>
      <c r="N5" s="1447"/>
      <c r="O5" s="17"/>
      <c r="P5" s="18" t="s">
        <v>5</v>
      </c>
      <c r="Q5" s="548"/>
      <c r="R5" s="548"/>
      <c r="S5" s="329" t="s">
        <v>6</v>
      </c>
      <c r="T5" s="549" t="s">
        <v>7</v>
      </c>
      <c r="X5" s="12"/>
      <c r="Y5" s="12"/>
      <c r="Z5" s="12"/>
      <c r="AA5" s="13"/>
    </row>
    <row r="6" spans="1:29" s="1" customFormat="1" x14ac:dyDescent="0.25">
      <c r="F6" s="15"/>
      <c r="G6" s="436"/>
      <c r="H6" s="436"/>
      <c r="I6" s="436"/>
      <c r="J6" s="15"/>
      <c r="K6" s="15"/>
      <c r="L6" s="436"/>
      <c r="M6" s="436"/>
      <c r="N6" s="436"/>
      <c r="O6" s="303"/>
      <c r="P6" s="304"/>
      <c r="Q6" s="548"/>
      <c r="R6" s="548"/>
      <c r="S6" s="550" t="s">
        <v>8</v>
      </c>
      <c r="T6" s="549"/>
      <c r="X6" s="12"/>
      <c r="Y6" s="12"/>
      <c r="Z6" s="12"/>
      <c r="AA6" s="13"/>
    </row>
    <row r="7" spans="1:29" s="29" customFormat="1" ht="45" customHeight="1" x14ac:dyDescent="0.25">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x14ac:dyDescent="0.25">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x14ac:dyDescent="0.25">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x14ac:dyDescent="0.25">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x14ac:dyDescent="0.25">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x14ac:dyDescent="0.25">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x14ac:dyDescent="0.25">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x14ac:dyDescent="0.25">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x14ac:dyDescent="0.25">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x14ac:dyDescent="0.25">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x14ac:dyDescent="0.25">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x14ac:dyDescent="0.25">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x14ac:dyDescent="0.25">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x14ac:dyDescent="0.25">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x14ac:dyDescent="0.25">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x14ac:dyDescent="0.3">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349999999999994" customHeight="1" thickBot="1" x14ac:dyDescent="0.3">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349999999999994" customHeight="1" thickBot="1" x14ac:dyDescent="0.3">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79.5" thickBot="1" x14ac:dyDescent="0.3">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349999999999994" customHeight="1" thickBot="1" x14ac:dyDescent="0.3">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349999999999994" customHeight="1" thickBot="1" x14ac:dyDescent="0.3">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x14ac:dyDescent="0.3">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x14ac:dyDescent="0.3">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349999999999994" customHeight="1" thickBot="1" x14ac:dyDescent="0.3">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x14ac:dyDescent="0.3">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x14ac:dyDescent="0.3">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x14ac:dyDescent="0.3">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349999999999994" customHeight="1" thickBot="1" x14ac:dyDescent="0.3">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x14ac:dyDescent="0.3">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x14ac:dyDescent="0.3">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349999999999994" customHeight="1" thickBot="1" x14ac:dyDescent="0.3">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x14ac:dyDescent="0.25">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x14ac:dyDescent="0.25">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x14ac:dyDescent="0.25">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x14ac:dyDescent="0.25">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349999999999994" customHeight="1" x14ac:dyDescent="0.25">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349999999999994" customHeight="1" x14ac:dyDescent="0.25">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349999999999994" customHeight="1" x14ac:dyDescent="0.25">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x14ac:dyDescent="0.25">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x14ac:dyDescent="0.25">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349999999999994" customHeight="1" x14ac:dyDescent="0.25">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349999999999994" customHeight="1" x14ac:dyDescent="0.25">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349999999999994" customHeight="1" x14ac:dyDescent="0.25">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x14ac:dyDescent="0.25">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10.25" x14ac:dyDescent="0.2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10.25" x14ac:dyDescent="0.2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x14ac:dyDescent="0.25">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6" x14ac:dyDescent="0.25">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349999999999994" customHeight="1" x14ac:dyDescent="0.25">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349999999999994" customHeight="1" x14ac:dyDescent="0.25">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349999999999994" customHeight="1" x14ac:dyDescent="0.25">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349999999999994" customHeight="1" x14ac:dyDescent="0.25">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349999999999994" customHeight="1" x14ac:dyDescent="0.25">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349999999999994" customHeight="1" x14ac:dyDescent="0.25">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x14ac:dyDescent="0.25">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x14ac:dyDescent="0.25">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349999999999994" customHeight="1" x14ac:dyDescent="0.25">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349999999999994" customHeight="1" x14ac:dyDescent="0.25">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349999999999994" customHeight="1" x14ac:dyDescent="0.25">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349999999999994" customHeight="1" x14ac:dyDescent="0.25">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349999999999994" customHeight="1" x14ac:dyDescent="0.25">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x14ac:dyDescent="0.25">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x14ac:dyDescent="0.25">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349999999999994" customHeight="1" x14ac:dyDescent="0.25">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349999999999994" customHeight="1" x14ac:dyDescent="0.25">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x14ac:dyDescent="0.25">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349999999999994" customHeight="1" x14ac:dyDescent="0.25">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349999999999994" customHeight="1" x14ac:dyDescent="0.25">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349999999999994" customHeight="1" x14ac:dyDescent="0.25">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349999999999994" customHeight="1" x14ac:dyDescent="0.25">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78.5" x14ac:dyDescent="0.2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x14ac:dyDescent="0.25">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349999999999994" customHeight="1" x14ac:dyDescent="0.25">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349999999999994" customHeight="1" x14ac:dyDescent="0.25">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349999999999994" customHeight="1" x14ac:dyDescent="0.25">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x14ac:dyDescent="0.25">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349999999999994" customHeight="1" x14ac:dyDescent="0.25">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349999999999994" customHeight="1" x14ac:dyDescent="0.25">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349999999999994" customHeight="1" x14ac:dyDescent="0.25">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349999999999994" customHeight="1" x14ac:dyDescent="0.25">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349999999999994" customHeight="1" x14ac:dyDescent="0.25">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349999999999994" customHeight="1" x14ac:dyDescent="0.25">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349999999999994" customHeight="1" x14ac:dyDescent="0.25">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349999999999994" customHeight="1" x14ac:dyDescent="0.25">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x14ac:dyDescent="0.25">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349999999999994" customHeight="1" x14ac:dyDescent="0.25">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349999999999994" customHeight="1" x14ac:dyDescent="0.25">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349999999999994" customHeight="1" x14ac:dyDescent="0.25">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75" x14ac:dyDescent="0.25">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349999999999994" customHeight="1" x14ac:dyDescent="0.25">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x14ac:dyDescent="0.25">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x14ac:dyDescent="0.25">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x14ac:dyDescent="0.25">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x14ac:dyDescent="0.25">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x14ac:dyDescent="0.25">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x14ac:dyDescent="0.25">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x14ac:dyDescent="0.25">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x14ac:dyDescent="0.25">
      <c r="R106" s="3"/>
      <c r="X106" s="442"/>
      <c r="Z106" s="443"/>
      <c r="AB106" s="3"/>
    </row>
    <row r="107" spans="1:45" x14ac:dyDescent="0.25">
      <c r="R107" s="3"/>
      <c r="T107" s="4"/>
      <c r="X107" s="442"/>
      <c r="Z107" s="443"/>
      <c r="AB107" s="3"/>
    </row>
    <row r="108" spans="1:45" s="127" customFormat="1" x14ac:dyDescent="0.25">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x14ac:dyDescent="0.25">
      <c r="R109" s="3"/>
      <c r="X109" s="442"/>
      <c r="Z109" s="443"/>
    </row>
    <row r="110" spans="1:45" x14ac:dyDescent="0.25">
      <c r="R110" s="3"/>
      <c r="X110" s="442"/>
      <c r="Z110" s="443"/>
    </row>
    <row r="111" spans="1:45" x14ac:dyDescent="0.25">
      <c r="R111" s="3"/>
      <c r="X111" s="442"/>
      <c r="Z111" s="443"/>
    </row>
    <row r="112" spans="1:45" x14ac:dyDescent="0.25">
      <c r="R112" s="3"/>
      <c r="X112" s="442"/>
      <c r="Z112" s="443"/>
    </row>
    <row r="113" spans="1:45" x14ac:dyDescent="0.25">
      <c r="X113" s="442"/>
      <c r="Z113" s="443"/>
    </row>
    <row r="114" spans="1:45" x14ac:dyDescent="0.25">
      <c r="X114" s="442"/>
      <c r="Z114" s="443"/>
    </row>
    <row r="115" spans="1:45" x14ac:dyDescent="0.25">
      <c r="X115" s="442"/>
      <c r="Z115" s="443"/>
    </row>
    <row r="116" spans="1:45" s="128" customFormat="1" x14ac:dyDescent="0.25">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x14ac:dyDescent="0.25">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x14ac:dyDescent="0.25">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x14ac:dyDescent="0.25">
      <c r="X130" s="127">
        <v>32981688529</v>
      </c>
    </row>
    <row r="131" spans="24:24" x14ac:dyDescent="0.25">
      <c r="X131" s="127">
        <v>60460372</v>
      </c>
    </row>
    <row r="132" spans="24:24" x14ac:dyDescent="0.25">
      <c r="X132" s="127">
        <f>+X130+X131</f>
        <v>33042148901</v>
      </c>
    </row>
  </sheetData>
  <mergeCells count="2">
    <mergeCell ref="G5:I5"/>
    <mergeCell ref="L5:N5"/>
  </mergeCells>
  <dataValidations count="8">
    <dataValidation type="list" allowBlank="1" showInputMessage="1" showErrorMessage="1" sqref="D79 D85:D88" xr:uid="{00000000-0002-0000-0000-000000000000}">
      <formula1>$E$360:$E$371</formula1>
    </dataValidation>
    <dataValidation type="list" allowBlank="1" showInputMessage="1" showErrorMessage="1" sqref="D89 D93:D94" xr:uid="{00000000-0002-0000-0000-000001000000}">
      <formula1>$E$369:$E$380</formula1>
    </dataValidation>
    <dataValidation type="list" allowBlank="1" showInputMessage="1" showErrorMessage="1" sqref="D68:D73 D96 D76:D78 D91:D92 D81:D84" xr:uid="{00000000-0002-0000-0000-000002000000}">
      <formula1>$E$374:$E$385</formula1>
    </dataValidation>
    <dataValidation showDropDown="1" showInputMessage="1" showErrorMessage="1" sqref="D80" xr:uid="{00000000-0002-0000-0000-000003000000}"/>
    <dataValidation showInputMessage="1" showErrorMessage="1" sqref="D74:D75" xr:uid="{00000000-0002-0000-0000-000004000000}"/>
    <dataValidation type="list" allowBlank="1" showInputMessage="1" showErrorMessage="1" sqref="C40:C96" xr:uid="{00000000-0002-0000-0000-000005000000}">
      <formula1>$C$339:$C$343</formula1>
    </dataValidation>
    <dataValidation type="list" allowBlank="1" showInputMessage="1" showErrorMessage="1" sqref="B40:B96" xr:uid="{00000000-0002-0000-0000-000006000000}">
      <formula1>$B$339:$B$343</formula1>
    </dataValidation>
    <dataValidation type="list" allowBlank="1" showInputMessage="1" showErrorMessage="1" sqref="A40:A96" xr:uid="{00000000-0002-0000-0000-000007000000}">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626"/>
  <sheetViews>
    <sheetView zoomScale="70" zoomScaleNormal="70" workbookViewId="0">
      <pane ySplit="6" topLeftCell="A403" activePane="bottomLeft" state="frozen"/>
      <selection pane="bottomLeft" activeCell="D406" sqref="D406"/>
    </sheetView>
  </sheetViews>
  <sheetFormatPr baseColWidth="10" defaultColWidth="11.42578125" defaultRowHeight="15" x14ac:dyDescent="0.2"/>
  <cols>
    <col min="1" max="1" width="25.85546875" style="1298" customWidth="1"/>
    <col min="2" max="2" width="19.85546875" style="1299" bestFit="1" customWidth="1"/>
    <col min="3" max="3" width="29.42578125" style="1298" customWidth="1"/>
    <col min="4" max="4" width="18.42578125" style="1207" customWidth="1"/>
    <col min="5" max="5" width="24.7109375" style="1300" customWidth="1"/>
    <col min="6" max="6" width="67.85546875" style="1298" customWidth="1"/>
    <col min="7" max="8" width="24.5703125" style="1207" customWidth="1"/>
    <col min="9" max="9" width="19.28515625" style="1207" customWidth="1"/>
    <col min="10" max="10" width="25.5703125" style="1207" customWidth="1"/>
    <col min="11" max="11" width="22.7109375" style="1207" customWidth="1"/>
    <col min="12" max="12" width="35.85546875" style="1300" customWidth="1"/>
    <col min="13" max="13" width="21.7109375" style="1207" customWidth="1"/>
    <col min="14" max="14" width="47.28515625" style="1207" customWidth="1"/>
    <col min="15" max="15" width="49.85546875" style="1207" customWidth="1"/>
    <col min="16" max="16" width="19.42578125" style="1207" bestFit="1" customWidth="1"/>
    <col min="17" max="17" width="17.85546875" style="1207" bestFit="1" customWidth="1"/>
    <col min="18" max="18" width="14.85546875" style="1207" bestFit="1" customWidth="1"/>
    <col min="19" max="16384" width="11.42578125" style="1207"/>
  </cols>
  <sheetData>
    <row r="1" spans="1:18" s="1159" customFormat="1" x14ac:dyDescent="0.25">
      <c r="A1" s="1453" t="s">
        <v>641</v>
      </c>
      <c r="B1" s="1453"/>
      <c r="C1" s="1453"/>
      <c r="D1" s="1453"/>
      <c r="E1" s="1453"/>
      <c r="F1" s="1453"/>
      <c r="G1" s="1453"/>
      <c r="H1" s="1453"/>
      <c r="I1" s="1453"/>
      <c r="J1" s="1453"/>
      <c r="K1" s="1453"/>
      <c r="L1" s="1453"/>
      <c r="M1" s="1158"/>
      <c r="N1" s="1158"/>
      <c r="O1" s="1158"/>
    </row>
    <row r="2" spans="1:18" s="1159" customFormat="1" x14ac:dyDescent="0.25">
      <c r="A2" s="1449"/>
      <c r="B2" s="1449"/>
      <c r="C2" s="1449"/>
      <c r="D2" s="1449"/>
      <c r="E2" s="1449"/>
      <c r="F2" s="1449"/>
      <c r="G2" s="1449"/>
      <c r="H2" s="1449"/>
      <c r="I2" s="1449"/>
      <c r="J2" s="1449"/>
      <c r="K2" s="1449"/>
      <c r="L2" s="1449"/>
      <c r="M2" s="1158"/>
      <c r="N2" s="1158"/>
      <c r="O2" s="1158"/>
    </row>
    <row r="3" spans="1:18" s="1159" customFormat="1" x14ac:dyDescent="0.25">
      <c r="A3" s="1449" t="s">
        <v>1622</v>
      </c>
      <c r="B3" s="1449"/>
      <c r="C3" s="1449"/>
      <c r="D3" s="1449"/>
      <c r="E3" s="1449"/>
      <c r="F3" s="1449"/>
      <c r="G3" s="1449"/>
      <c r="H3" s="1449"/>
      <c r="I3" s="1449"/>
      <c r="J3" s="1449"/>
      <c r="K3" s="1449"/>
      <c r="L3" s="1449"/>
      <c r="M3" s="1449"/>
      <c r="N3" s="1449"/>
      <c r="O3" s="1449"/>
    </row>
    <row r="4" spans="1:18" s="1159" customFormat="1" x14ac:dyDescent="0.25">
      <c r="B4" s="1160"/>
      <c r="D4" s="1161"/>
      <c r="E4" s="1160"/>
      <c r="G4" s="1161"/>
      <c r="H4" s="1161"/>
      <c r="I4" s="1161"/>
      <c r="J4" s="1161"/>
      <c r="K4" s="1161"/>
      <c r="L4" s="1162"/>
      <c r="M4" s="1454" t="s">
        <v>1623</v>
      </c>
      <c r="N4" s="1454"/>
    </row>
    <row r="5" spans="1:18" s="1159" customFormat="1" x14ac:dyDescent="0.25">
      <c r="A5" s="1163"/>
      <c r="B5" s="1164"/>
      <c r="C5" s="1163"/>
      <c r="D5" s="1163"/>
      <c r="E5" s="1160"/>
      <c r="K5" s="1165"/>
      <c r="L5" s="1166"/>
      <c r="M5" s="1167">
        <f>+SUBTOTAL(9,M7:M625)</f>
        <v>67240064999.699997</v>
      </c>
      <c r="N5" s="1168"/>
    </row>
    <row r="6" spans="1:18" s="1159" customFormat="1" ht="90" x14ac:dyDescent="0.25">
      <c r="A6" s="1169" t="s">
        <v>648</v>
      </c>
      <c r="B6" s="1169" t="s">
        <v>644</v>
      </c>
      <c r="C6" s="1169" t="s">
        <v>649</v>
      </c>
      <c r="D6" s="1169" t="s">
        <v>650</v>
      </c>
      <c r="E6" s="1169" t="s">
        <v>651</v>
      </c>
      <c r="F6" s="1170" t="s">
        <v>1624</v>
      </c>
      <c r="G6" s="1170" t="s">
        <v>1625</v>
      </c>
      <c r="H6" s="1170" t="s">
        <v>1626</v>
      </c>
      <c r="I6" s="1169" t="s">
        <v>1627</v>
      </c>
      <c r="J6" s="1169" t="s">
        <v>656</v>
      </c>
      <c r="K6" s="1169" t="s">
        <v>657</v>
      </c>
      <c r="L6" s="1171" t="s">
        <v>658</v>
      </c>
      <c r="M6" s="1169" t="s">
        <v>659</v>
      </c>
      <c r="N6" s="1169" t="s">
        <v>660</v>
      </c>
      <c r="O6" s="1169" t="s">
        <v>1437</v>
      </c>
    </row>
    <row r="7" spans="1:18" s="1159" customFormat="1" ht="105" x14ac:dyDescent="0.25">
      <c r="A7" s="1172">
        <v>2022001</v>
      </c>
      <c r="B7" s="1172">
        <v>7637</v>
      </c>
      <c r="C7" s="1172" t="s">
        <v>645</v>
      </c>
      <c r="D7" s="1173" t="s">
        <v>673</v>
      </c>
      <c r="E7" s="1174">
        <v>80111600</v>
      </c>
      <c r="F7" s="1175" t="s">
        <v>674</v>
      </c>
      <c r="G7" s="1176" t="s">
        <v>1440</v>
      </c>
      <c r="H7" s="1176" t="s">
        <v>1440</v>
      </c>
      <c r="I7" s="1176">
        <v>11</v>
      </c>
      <c r="J7" s="1176" t="s">
        <v>1441</v>
      </c>
      <c r="K7" s="1177" t="s">
        <v>676</v>
      </c>
      <c r="L7" s="1178" t="s">
        <v>677</v>
      </c>
      <c r="M7" s="1179">
        <f>93500000-23400000</f>
        <v>70100000</v>
      </c>
      <c r="N7" s="1174" t="s">
        <v>734</v>
      </c>
      <c r="O7" s="1174" t="s">
        <v>1411</v>
      </c>
    </row>
    <row r="8" spans="1:18" s="1159" customFormat="1" ht="105" x14ac:dyDescent="0.25">
      <c r="A8" s="1172">
        <v>2022002</v>
      </c>
      <c r="B8" s="1172">
        <v>7637</v>
      </c>
      <c r="C8" s="1172" t="s">
        <v>645</v>
      </c>
      <c r="D8" s="1173" t="s">
        <v>673</v>
      </c>
      <c r="E8" s="1174">
        <v>80111600</v>
      </c>
      <c r="F8" s="1175" t="s">
        <v>683</v>
      </c>
      <c r="G8" s="1176" t="s">
        <v>1440</v>
      </c>
      <c r="H8" s="1176" t="s">
        <v>1440</v>
      </c>
      <c r="I8" s="1176">
        <v>11</v>
      </c>
      <c r="J8" s="1176" t="s">
        <v>1441</v>
      </c>
      <c r="K8" s="1177" t="s">
        <v>676</v>
      </c>
      <c r="L8" s="1178" t="s">
        <v>677</v>
      </c>
      <c r="M8" s="1179">
        <v>77000000</v>
      </c>
      <c r="N8" s="1174" t="s">
        <v>734</v>
      </c>
      <c r="O8" s="1174" t="s">
        <v>1411</v>
      </c>
    </row>
    <row r="9" spans="1:18" s="1159" customFormat="1" ht="105" x14ac:dyDescent="0.25">
      <c r="A9" s="1172">
        <v>2022003</v>
      </c>
      <c r="B9" s="1172">
        <v>7637</v>
      </c>
      <c r="C9" s="1172" t="s">
        <v>645</v>
      </c>
      <c r="D9" s="1173" t="s">
        <v>673</v>
      </c>
      <c r="E9" s="1174">
        <v>80111600</v>
      </c>
      <c r="F9" s="1175" t="s">
        <v>686</v>
      </c>
      <c r="G9" s="1176" t="s">
        <v>1440</v>
      </c>
      <c r="H9" s="1176" t="s">
        <v>1440</v>
      </c>
      <c r="I9" s="1176">
        <v>11</v>
      </c>
      <c r="J9" s="1176" t="s">
        <v>1441</v>
      </c>
      <c r="K9" s="1177" t="s">
        <v>676</v>
      </c>
      <c r="L9" s="1178" t="s">
        <v>677</v>
      </c>
      <c r="M9" s="1179">
        <v>77000000</v>
      </c>
      <c r="N9" s="1174" t="s">
        <v>740</v>
      </c>
      <c r="O9" s="1174" t="s">
        <v>1411</v>
      </c>
    </row>
    <row r="10" spans="1:18" s="1159" customFormat="1" ht="105" x14ac:dyDescent="0.25">
      <c r="A10" s="1172">
        <v>2022004</v>
      </c>
      <c r="B10" s="1172">
        <v>7637</v>
      </c>
      <c r="C10" s="1172" t="s">
        <v>645</v>
      </c>
      <c r="D10" s="1173" t="s">
        <v>673</v>
      </c>
      <c r="E10" s="1174">
        <v>80111600</v>
      </c>
      <c r="F10" s="1175" t="s">
        <v>690</v>
      </c>
      <c r="G10" s="1176" t="s">
        <v>1440</v>
      </c>
      <c r="H10" s="1176" t="s">
        <v>1440</v>
      </c>
      <c r="I10" s="1176">
        <v>11</v>
      </c>
      <c r="J10" s="1176" t="s">
        <v>1441</v>
      </c>
      <c r="K10" s="1177" t="s">
        <v>676</v>
      </c>
      <c r="L10" s="1178" t="s">
        <v>677</v>
      </c>
      <c r="M10" s="1179">
        <v>77000000</v>
      </c>
      <c r="N10" s="1174" t="s">
        <v>734</v>
      </c>
      <c r="O10" s="1174" t="s">
        <v>1411</v>
      </c>
    </row>
    <row r="11" spans="1:18" s="1159" customFormat="1" ht="105" x14ac:dyDescent="0.25">
      <c r="A11" s="1172">
        <v>2022005</v>
      </c>
      <c r="B11" s="1172">
        <v>7637</v>
      </c>
      <c r="C11" s="1172" t="s">
        <v>645</v>
      </c>
      <c r="D11" s="1173" t="s">
        <v>673</v>
      </c>
      <c r="E11" s="1174">
        <v>80111600</v>
      </c>
      <c r="F11" s="1175" t="s">
        <v>693</v>
      </c>
      <c r="G11" s="1176" t="s">
        <v>1440</v>
      </c>
      <c r="H11" s="1176" t="s">
        <v>1440</v>
      </c>
      <c r="I11" s="1176">
        <v>11</v>
      </c>
      <c r="J11" s="1176" t="s">
        <v>1441</v>
      </c>
      <c r="K11" s="1177" t="s">
        <v>676</v>
      </c>
      <c r="L11" s="1178" t="s">
        <v>677</v>
      </c>
      <c r="M11" s="1179">
        <v>77000000</v>
      </c>
      <c r="N11" s="1174" t="s">
        <v>734</v>
      </c>
      <c r="O11" s="1174" t="s">
        <v>1411</v>
      </c>
    </row>
    <row r="12" spans="1:18" s="1180" customFormat="1" ht="105" x14ac:dyDescent="0.25">
      <c r="A12" s="1172">
        <v>2022006</v>
      </c>
      <c r="B12" s="1172">
        <v>7637</v>
      </c>
      <c r="C12" s="1172" t="s">
        <v>645</v>
      </c>
      <c r="D12" s="1173" t="s">
        <v>673</v>
      </c>
      <c r="E12" s="1174">
        <v>80111600</v>
      </c>
      <c r="F12" s="1175" t="s">
        <v>696</v>
      </c>
      <c r="G12" s="1176" t="s">
        <v>1440</v>
      </c>
      <c r="H12" s="1176" t="s">
        <v>1440</v>
      </c>
      <c r="I12" s="1176">
        <v>11</v>
      </c>
      <c r="J12" s="1176" t="s">
        <v>1441</v>
      </c>
      <c r="K12" s="1177" t="s">
        <v>676</v>
      </c>
      <c r="L12" s="1178" t="s">
        <v>677</v>
      </c>
      <c r="M12" s="1179">
        <v>66000000</v>
      </c>
      <c r="N12" s="1174" t="s">
        <v>734</v>
      </c>
      <c r="O12" s="1174" t="s">
        <v>1411</v>
      </c>
      <c r="R12" s="1159"/>
    </row>
    <row r="13" spans="1:18" s="1159" customFormat="1" ht="105" x14ac:dyDescent="0.25">
      <c r="A13" s="1172">
        <v>2022007</v>
      </c>
      <c r="B13" s="1172">
        <v>7637</v>
      </c>
      <c r="C13" s="1172" t="s">
        <v>645</v>
      </c>
      <c r="D13" s="1173" t="s">
        <v>673</v>
      </c>
      <c r="E13" s="1174">
        <v>80111600</v>
      </c>
      <c r="F13" s="1175" t="s">
        <v>699</v>
      </c>
      <c r="G13" s="1176" t="s">
        <v>1440</v>
      </c>
      <c r="H13" s="1176" t="s">
        <v>1440</v>
      </c>
      <c r="I13" s="1176">
        <v>11</v>
      </c>
      <c r="J13" s="1176" t="s">
        <v>1441</v>
      </c>
      <c r="K13" s="1177" t="s">
        <v>676</v>
      </c>
      <c r="L13" s="1178" t="s">
        <v>677</v>
      </c>
      <c r="M13" s="1179">
        <v>77000000</v>
      </c>
      <c r="N13" s="1174" t="s">
        <v>734</v>
      </c>
      <c r="O13" s="1174" t="s">
        <v>1411</v>
      </c>
    </row>
    <row r="14" spans="1:18" s="1159" customFormat="1" ht="75" customHeight="1" x14ac:dyDescent="0.25">
      <c r="A14" s="1172">
        <v>2022008</v>
      </c>
      <c r="B14" s="1172">
        <v>7637</v>
      </c>
      <c r="C14" s="1172" t="s">
        <v>645</v>
      </c>
      <c r="D14" s="1173" t="s">
        <v>673</v>
      </c>
      <c r="E14" s="1174">
        <v>80111600</v>
      </c>
      <c r="F14" s="1175" t="s">
        <v>702</v>
      </c>
      <c r="G14" s="1176" t="s">
        <v>1440</v>
      </c>
      <c r="H14" s="1176" t="s">
        <v>1440</v>
      </c>
      <c r="I14" s="1176">
        <v>11</v>
      </c>
      <c r="J14" s="1176" t="s">
        <v>1441</v>
      </c>
      <c r="K14" s="1177" t="s">
        <v>676</v>
      </c>
      <c r="L14" s="1178" t="s">
        <v>677</v>
      </c>
      <c r="M14" s="1179">
        <v>77000000</v>
      </c>
      <c r="N14" s="1174" t="s">
        <v>734</v>
      </c>
      <c r="O14" s="1174" t="s">
        <v>1411</v>
      </c>
    </row>
    <row r="15" spans="1:18" s="1159" customFormat="1" ht="75" customHeight="1" x14ac:dyDescent="0.25">
      <c r="A15" s="1172">
        <v>2022009</v>
      </c>
      <c r="B15" s="1172">
        <v>7637</v>
      </c>
      <c r="C15" s="1172" t="s">
        <v>645</v>
      </c>
      <c r="D15" s="1173" t="s">
        <v>673</v>
      </c>
      <c r="E15" s="1174">
        <v>80111600</v>
      </c>
      <c r="F15" s="1175" t="s">
        <v>705</v>
      </c>
      <c r="G15" s="1176" t="s">
        <v>1440</v>
      </c>
      <c r="H15" s="1176" t="s">
        <v>1440</v>
      </c>
      <c r="I15" s="1176">
        <v>11</v>
      </c>
      <c r="J15" s="1176" t="s">
        <v>1441</v>
      </c>
      <c r="K15" s="1177" t="s">
        <v>676</v>
      </c>
      <c r="L15" s="1178" t="s">
        <v>677</v>
      </c>
      <c r="M15" s="1179">
        <v>77000000</v>
      </c>
      <c r="N15" s="1174" t="s">
        <v>738</v>
      </c>
      <c r="O15" s="1174" t="s">
        <v>1411</v>
      </c>
    </row>
    <row r="16" spans="1:18" s="1180" customFormat="1" ht="105" x14ac:dyDescent="0.25">
      <c r="A16" s="1172">
        <v>2022010</v>
      </c>
      <c r="B16" s="1172">
        <v>7637</v>
      </c>
      <c r="C16" s="1172" t="s">
        <v>645</v>
      </c>
      <c r="D16" s="1173" t="s">
        <v>673</v>
      </c>
      <c r="E16" s="1174">
        <v>80111600</v>
      </c>
      <c r="F16" s="1175" t="s">
        <v>708</v>
      </c>
      <c r="G16" s="1176" t="s">
        <v>1440</v>
      </c>
      <c r="H16" s="1176" t="s">
        <v>1440</v>
      </c>
      <c r="I16" s="1176">
        <v>11</v>
      </c>
      <c r="J16" s="1176" t="s">
        <v>1441</v>
      </c>
      <c r="K16" s="1177" t="s">
        <v>676</v>
      </c>
      <c r="L16" s="1178" t="s">
        <v>677</v>
      </c>
      <c r="M16" s="1179">
        <v>66000000</v>
      </c>
      <c r="N16" s="1174" t="s">
        <v>734</v>
      </c>
      <c r="O16" s="1174" t="s">
        <v>1411</v>
      </c>
      <c r="R16" s="1159"/>
    </row>
    <row r="17" spans="1:18" s="1159" customFormat="1" ht="135" customHeight="1" x14ac:dyDescent="0.25">
      <c r="A17" s="1172">
        <v>2022011</v>
      </c>
      <c r="B17" s="1172">
        <v>7637</v>
      </c>
      <c r="C17" s="1172" t="s">
        <v>645</v>
      </c>
      <c r="D17" s="1173" t="s">
        <v>673</v>
      </c>
      <c r="E17" s="1174">
        <v>80111600</v>
      </c>
      <c r="F17" s="1175" t="s">
        <v>710</v>
      </c>
      <c r="G17" s="1176" t="s">
        <v>1440</v>
      </c>
      <c r="H17" s="1176" t="s">
        <v>1440</v>
      </c>
      <c r="I17" s="1176">
        <v>11</v>
      </c>
      <c r="J17" s="1176" t="s">
        <v>1441</v>
      </c>
      <c r="K17" s="1177" t="s">
        <v>676</v>
      </c>
      <c r="L17" s="1178" t="s">
        <v>677</v>
      </c>
      <c r="M17" s="1179">
        <v>33000000</v>
      </c>
      <c r="N17" s="1174" t="s">
        <v>734</v>
      </c>
      <c r="O17" s="1174" t="s">
        <v>1411</v>
      </c>
    </row>
    <row r="18" spans="1:18" s="1159" customFormat="1" ht="105" x14ac:dyDescent="0.25">
      <c r="A18" s="1172">
        <v>2022012</v>
      </c>
      <c r="B18" s="1172">
        <v>7637</v>
      </c>
      <c r="C18" s="1172" t="s">
        <v>645</v>
      </c>
      <c r="D18" s="1173" t="s">
        <v>673</v>
      </c>
      <c r="E18" s="1174">
        <v>80111600</v>
      </c>
      <c r="F18" s="1175" t="s">
        <v>712</v>
      </c>
      <c r="G18" s="1176" t="s">
        <v>1440</v>
      </c>
      <c r="H18" s="1176" t="s">
        <v>1440</v>
      </c>
      <c r="I18" s="1176">
        <v>11</v>
      </c>
      <c r="J18" s="1176" t="s">
        <v>1441</v>
      </c>
      <c r="K18" s="1177" t="s">
        <v>676</v>
      </c>
      <c r="L18" s="1178" t="s">
        <v>677</v>
      </c>
      <c r="M18" s="1179">
        <v>49500000</v>
      </c>
      <c r="N18" s="1174" t="s">
        <v>734</v>
      </c>
      <c r="O18" s="1174" t="s">
        <v>1411</v>
      </c>
    </row>
    <row r="19" spans="1:18" s="1180" customFormat="1" ht="105" x14ac:dyDescent="0.25">
      <c r="A19" s="1172">
        <v>2022013</v>
      </c>
      <c r="B19" s="1172">
        <v>7637</v>
      </c>
      <c r="C19" s="1172" t="s">
        <v>645</v>
      </c>
      <c r="D19" s="1173" t="s">
        <v>673</v>
      </c>
      <c r="E19" s="1174">
        <v>80111600</v>
      </c>
      <c r="F19" s="1175" t="s">
        <v>714</v>
      </c>
      <c r="G19" s="1176" t="s">
        <v>1440</v>
      </c>
      <c r="H19" s="1176" t="s">
        <v>1440</v>
      </c>
      <c r="I19" s="1176">
        <v>11</v>
      </c>
      <c r="J19" s="1176" t="s">
        <v>1441</v>
      </c>
      <c r="K19" s="1177" t="s">
        <v>676</v>
      </c>
      <c r="L19" s="1178" t="s">
        <v>677</v>
      </c>
      <c r="M19" s="1179">
        <v>49500000</v>
      </c>
      <c r="N19" s="1174" t="s">
        <v>734</v>
      </c>
      <c r="O19" s="1174" t="s">
        <v>1411</v>
      </c>
      <c r="R19" s="1159"/>
    </row>
    <row r="20" spans="1:18" s="1159" customFormat="1" ht="105" x14ac:dyDescent="0.25">
      <c r="A20" s="1172">
        <v>2022014</v>
      </c>
      <c r="B20" s="1172">
        <v>7637</v>
      </c>
      <c r="C20" s="1172" t="s">
        <v>645</v>
      </c>
      <c r="D20" s="1173" t="s">
        <v>673</v>
      </c>
      <c r="E20" s="1174">
        <v>80111600</v>
      </c>
      <c r="F20" s="1175" t="s">
        <v>716</v>
      </c>
      <c r="G20" s="1176" t="s">
        <v>1440</v>
      </c>
      <c r="H20" s="1176" t="s">
        <v>1440</v>
      </c>
      <c r="I20" s="1176">
        <v>11</v>
      </c>
      <c r="J20" s="1176" t="s">
        <v>1441</v>
      </c>
      <c r="K20" s="1177" t="s">
        <v>676</v>
      </c>
      <c r="L20" s="1178" t="s">
        <v>677</v>
      </c>
      <c r="M20" s="1179">
        <v>77000000</v>
      </c>
      <c r="N20" s="1174" t="s">
        <v>738</v>
      </c>
      <c r="O20" s="1174" t="s">
        <v>1411</v>
      </c>
    </row>
    <row r="21" spans="1:18" s="1159" customFormat="1" ht="105" x14ac:dyDescent="0.25">
      <c r="A21" s="1172">
        <v>2022015</v>
      </c>
      <c r="B21" s="1172">
        <v>7637</v>
      </c>
      <c r="C21" s="1172" t="s">
        <v>645</v>
      </c>
      <c r="D21" s="1173" t="s">
        <v>673</v>
      </c>
      <c r="E21" s="1174">
        <v>80111600</v>
      </c>
      <c r="F21" s="1175" t="s">
        <v>718</v>
      </c>
      <c r="G21" s="1176" t="s">
        <v>1440</v>
      </c>
      <c r="H21" s="1176" t="s">
        <v>1440</v>
      </c>
      <c r="I21" s="1176">
        <v>11</v>
      </c>
      <c r="J21" s="1176" t="s">
        <v>1441</v>
      </c>
      <c r="K21" s="1177" t="s">
        <v>676</v>
      </c>
      <c r="L21" s="1178" t="s">
        <v>677</v>
      </c>
      <c r="M21" s="1179">
        <v>77000000</v>
      </c>
      <c r="N21" s="1174" t="s">
        <v>734</v>
      </c>
      <c r="O21" s="1174" t="s">
        <v>1411</v>
      </c>
    </row>
    <row r="22" spans="1:18" s="1159" customFormat="1" ht="105" x14ac:dyDescent="0.25">
      <c r="A22" s="1172">
        <v>2022016</v>
      </c>
      <c r="B22" s="1172">
        <v>7637</v>
      </c>
      <c r="C22" s="1172" t="s">
        <v>645</v>
      </c>
      <c r="D22" s="1173" t="s">
        <v>673</v>
      </c>
      <c r="E22" s="1174">
        <v>80111600</v>
      </c>
      <c r="F22" s="1175" t="s">
        <v>720</v>
      </c>
      <c r="G22" s="1176" t="s">
        <v>1440</v>
      </c>
      <c r="H22" s="1176" t="s">
        <v>1440</v>
      </c>
      <c r="I22" s="1176">
        <v>9.9</v>
      </c>
      <c r="J22" s="1176" t="s">
        <v>1441</v>
      </c>
      <c r="K22" s="1177" t="s">
        <v>676</v>
      </c>
      <c r="L22" s="1178" t="s">
        <v>677</v>
      </c>
      <c r="M22" s="1179">
        <v>49500000</v>
      </c>
      <c r="N22" s="1174" t="s">
        <v>738</v>
      </c>
      <c r="O22" s="1174" t="s">
        <v>1411</v>
      </c>
    </row>
    <row r="23" spans="1:18" s="1180" customFormat="1" ht="105" x14ac:dyDescent="0.25">
      <c r="A23" s="1172">
        <v>2022017</v>
      </c>
      <c r="B23" s="1172">
        <v>7637</v>
      </c>
      <c r="C23" s="1172" t="s">
        <v>645</v>
      </c>
      <c r="D23" s="1173" t="s">
        <v>673</v>
      </c>
      <c r="E23" s="1174">
        <v>80111600</v>
      </c>
      <c r="F23" s="1175" t="s">
        <v>721</v>
      </c>
      <c r="G23" s="1176" t="s">
        <v>1440</v>
      </c>
      <c r="H23" s="1176" t="s">
        <v>1440</v>
      </c>
      <c r="I23" s="1176">
        <v>11</v>
      </c>
      <c r="J23" s="1176" t="s">
        <v>1441</v>
      </c>
      <c r="K23" s="1177" t="s">
        <v>676</v>
      </c>
      <c r="L23" s="1178" t="s">
        <v>677</v>
      </c>
      <c r="M23" s="1179">
        <v>33000000</v>
      </c>
      <c r="N23" s="1174" t="s">
        <v>734</v>
      </c>
      <c r="O23" s="1174" t="s">
        <v>1411</v>
      </c>
      <c r="R23" s="1159"/>
    </row>
    <row r="24" spans="1:18" s="1180" customFormat="1" ht="105" x14ac:dyDescent="0.25">
      <c r="A24" s="1172">
        <v>2022018</v>
      </c>
      <c r="B24" s="1172">
        <v>7637</v>
      </c>
      <c r="C24" s="1176" t="s">
        <v>645</v>
      </c>
      <c r="D24" s="1173" t="s">
        <v>673</v>
      </c>
      <c r="E24" s="1174">
        <v>80111600</v>
      </c>
      <c r="F24" s="1175" t="s">
        <v>723</v>
      </c>
      <c r="G24" s="1176" t="s">
        <v>1440</v>
      </c>
      <c r="H24" s="1176" t="s">
        <v>1440</v>
      </c>
      <c r="I24" s="1176" t="s">
        <v>1442</v>
      </c>
      <c r="J24" s="1176" t="s">
        <v>1441</v>
      </c>
      <c r="K24" s="1176" t="s">
        <v>676</v>
      </c>
      <c r="L24" s="1176" t="s">
        <v>677</v>
      </c>
      <c r="M24" s="1179">
        <f>33000000-3500000</f>
        <v>29500000</v>
      </c>
      <c r="N24" s="1174" t="s">
        <v>734</v>
      </c>
      <c r="O24" s="1174" t="s">
        <v>1411</v>
      </c>
      <c r="R24" s="1159"/>
    </row>
    <row r="25" spans="1:18" s="1180" customFormat="1" ht="105" x14ac:dyDescent="0.25">
      <c r="A25" s="1172">
        <v>2022019</v>
      </c>
      <c r="B25" s="1172">
        <v>7637</v>
      </c>
      <c r="C25" s="1172" t="s">
        <v>645</v>
      </c>
      <c r="D25" s="1173" t="s">
        <v>673</v>
      </c>
      <c r="E25" s="1174">
        <v>80111600</v>
      </c>
      <c r="F25" s="1175" t="s">
        <v>725</v>
      </c>
      <c r="G25" s="1176" t="s">
        <v>1440</v>
      </c>
      <c r="H25" s="1176" t="s">
        <v>1440</v>
      </c>
      <c r="I25" s="1176">
        <v>11</v>
      </c>
      <c r="J25" s="1176" t="s">
        <v>1441</v>
      </c>
      <c r="K25" s="1176" t="s">
        <v>676</v>
      </c>
      <c r="L25" s="1178" t="s">
        <v>677</v>
      </c>
      <c r="M25" s="1179">
        <v>68200000</v>
      </c>
      <c r="N25" s="1174" t="s">
        <v>734</v>
      </c>
      <c r="O25" s="1174" t="s">
        <v>1411</v>
      </c>
      <c r="R25" s="1159"/>
    </row>
    <row r="26" spans="1:18" s="1180" customFormat="1" ht="105" x14ac:dyDescent="0.25">
      <c r="A26" s="1172">
        <v>2022020</v>
      </c>
      <c r="B26" s="1172">
        <v>7637</v>
      </c>
      <c r="C26" s="1172" t="s">
        <v>645</v>
      </c>
      <c r="D26" s="1173" t="s">
        <v>673</v>
      </c>
      <c r="E26" s="1174">
        <v>80111600</v>
      </c>
      <c r="F26" s="1175" t="s">
        <v>727</v>
      </c>
      <c r="G26" s="1176" t="s">
        <v>1440</v>
      </c>
      <c r="H26" s="1176" t="s">
        <v>1440</v>
      </c>
      <c r="I26" s="1176">
        <v>11</v>
      </c>
      <c r="J26" s="1176" t="s">
        <v>1441</v>
      </c>
      <c r="K26" s="1176" t="s">
        <v>676</v>
      </c>
      <c r="L26" s="1178" t="s">
        <v>677</v>
      </c>
      <c r="M26" s="1179">
        <v>49500000</v>
      </c>
      <c r="N26" s="1174" t="s">
        <v>734</v>
      </c>
      <c r="O26" s="1174" t="s">
        <v>1411</v>
      </c>
      <c r="R26" s="1159"/>
    </row>
    <row r="27" spans="1:18" s="1180" customFormat="1" ht="105" x14ac:dyDescent="0.25">
      <c r="A27" s="1172">
        <v>2022021</v>
      </c>
      <c r="B27" s="1172">
        <v>7637</v>
      </c>
      <c r="C27" s="1172" t="s">
        <v>645</v>
      </c>
      <c r="D27" s="1178" t="s">
        <v>673</v>
      </c>
      <c r="E27" s="1181" t="s">
        <v>1443</v>
      </c>
      <c r="F27" s="1175" t="s">
        <v>1444</v>
      </c>
      <c r="G27" s="1176" t="s">
        <v>1445</v>
      </c>
      <c r="H27" s="1176" t="s">
        <v>1446</v>
      </c>
      <c r="I27" s="1176">
        <v>6</v>
      </c>
      <c r="J27" s="1176" t="s">
        <v>1447</v>
      </c>
      <c r="K27" s="1176" t="s">
        <v>676</v>
      </c>
      <c r="L27" s="1178" t="s">
        <v>731</v>
      </c>
      <c r="M27" s="1179">
        <v>60000000</v>
      </c>
      <c r="N27" s="1174" t="s">
        <v>734</v>
      </c>
      <c r="O27" s="1174" t="s">
        <v>1411</v>
      </c>
      <c r="R27" s="1159"/>
    </row>
    <row r="28" spans="1:18" s="1180" customFormat="1" ht="105" x14ac:dyDescent="0.25">
      <c r="A28" s="1182">
        <v>2022022</v>
      </c>
      <c r="B28" s="1182">
        <v>7637</v>
      </c>
      <c r="C28" s="1182" t="s">
        <v>645</v>
      </c>
      <c r="D28" s="1183" t="s">
        <v>673</v>
      </c>
      <c r="E28" s="1184" t="s">
        <v>1448</v>
      </c>
      <c r="F28" s="1185" t="s">
        <v>730</v>
      </c>
      <c r="G28" s="1184" t="s">
        <v>1445</v>
      </c>
      <c r="H28" s="1184" t="s">
        <v>1542</v>
      </c>
      <c r="I28" s="1184">
        <v>1</v>
      </c>
      <c r="J28" s="1184" t="s">
        <v>1450</v>
      </c>
      <c r="K28" s="1184" t="s">
        <v>676</v>
      </c>
      <c r="L28" s="1183" t="s">
        <v>731</v>
      </c>
      <c r="M28" s="1186">
        <v>600000000</v>
      </c>
      <c r="N28" s="1187" t="s">
        <v>734</v>
      </c>
      <c r="O28" s="1187" t="s">
        <v>1411</v>
      </c>
      <c r="R28" s="1159"/>
    </row>
    <row r="29" spans="1:18" s="1180" customFormat="1" ht="105" x14ac:dyDescent="0.25">
      <c r="A29" s="1172">
        <v>2022023</v>
      </c>
      <c r="B29" s="1172">
        <v>7637</v>
      </c>
      <c r="C29" s="1172" t="s">
        <v>645</v>
      </c>
      <c r="D29" s="1178" t="s">
        <v>673</v>
      </c>
      <c r="E29" s="1176">
        <v>81112401</v>
      </c>
      <c r="F29" s="1175" t="s">
        <v>733</v>
      </c>
      <c r="G29" s="1176" t="s">
        <v>1445</v>
      </c>
      <c r="H29" s="1176" t="s">
        <v>1445</v>
      </c>
      <c r="I29" s="1176">
        <v>3</v>
      </c>
      <c r="J29" s="1176" t="s">
        <v>1450</v>
      </c>
      <c r="K29" s="1176" t="s">
        <v>676</v>
      </c>
      <c r="L29" s="1178" t="s">
        <v>731</v>
      </c>
      <c r="M29" s="1179">
        <v>195700000</v>
      </c>
      <c r="N29" s="1174" t="s">
        <v>734</v>
      </c>
      <c r="O29" s="1174" t="s">
        <v>1411</v>
      </c>
      <c r="R29" s="1159"/>
    </row>
    <row r="30" spans="1:18" s="1180" customFormat="1" ht="105" x14ac:dyDescent="0.25">
      <c r="A30" s="1182">
        <v>2022024</v>
      </c>
      <c r="B30" s="1182">
        <v>7637</v>
      </c>
      <c r="C30" s="1182" t="s">
        <v>645</v>
      </c>
      <c r="D30" s="1183" t="s">
        <v>673</v>
      </c>
      <c r="E30" s="1184">
        <v>72151605</v>
      </c>
      <c r="F30" s="1185" t="s">
        <v>1628</v>
      </c>
      <c r="G30" s="1184" t="s">
        <v>1549</v>
      </c>
      <c r="H30" s="1184" t="s">
        <v>1446</v>
      </c>
      <c r="I30" s="1184">
        <v>6</v>
      </c>
      <c r="J30" s="1184" t="s">
        <v>1462</v>
      </c>
      <c r="K30" s="1184" t="s">
        <v>676</v>
      </c>
      <c r="L30" s="1183" t="s">
        <v>677</v>
      </c>
      <c r="M30" s="1186">
        <v>114000000</v>
      </c>
      <c r="N30" s="1187" t="s">
        <v>734</v>
      </c>
      <c r="O30" s="1187" t="s">
        <v>1411</v>
      </c>
      <c r="R30" s="1159"/>
    </row>
    <row r="31" spans="1:18" s="1180" customFormat="1" ht="105" x14ac:dyDescent="0.25">
      <c r="A31" s="1172">
        <v>2022025</v>
      </c>
      <c r="B31" s="1172">
        <v>7637</v>
      </c>
      <c r="C31" s="1172" t="s">
        <v>645</v>
      </c>
      <c r="D31" s="1178" t="s">
        <v>673</v>
      </c>
      <c r="E31" s="1176">
        <v>81112217</v>
      </c>
      <c r="F31" s="1175" t="s">
        <v>739</v>
      </c>
      <c r="G31" s="1176" t="s">
        <v>1453</v>
      </c>
      <c r="H31" s="1176" t="s">
        <v>1454</v>
      </c>
      <c r="I31" s="1176">
        <v>12</v>
      </c>
      <c r="J31" s="1176" t="s">
        <v>1450</v>
      </c>
      <c r="K31" s="1176" t="s">
        <v>676</v>
      </c>
      <c r="L31" s="1178" t="s">
        <v>737</v>
      </c>
      <c r="M31" s="1179">
        <v>50000000</v>
      </c>
      <c r="N31" s="1174" t="s">
        <v>740</v>
      </c>
      <c r="O31" s="1174" t="s">
        <v>1411</v>
      </c>
      <c r="R31" s="1159"/>
    </row>
    <row r="32" spans="1:18" s="1180" customFormat="1" ht="105" x14ac:dyDescent="0.25">
      <c r="A32" s="1172">
        <v>2022026</v>
      </c>
      <c r="B32" s="1172">
        <v>7637</v>
      </c>
      <c r="C32" s="1172" t="s">
        <v>645</v>
      </c>
      <c r="D32" s="1178" t="s">
        <v>673</v>
      </c>
      <c r="E32" s="1176" t="s">
        <v>1455</v>
      </c>
      <c r="F32" s="1175" t="s">
        <v>742</v>
      </c>
      <c r="G32" s="1176" t="s">
        <v>1453</v>
      </c>
      <c r="H32" s="1176" t="s">
        <v>1454</v>
      </c>
      <c r="I32" s="1176">
        <v>12</v>
      </c>
      <c r="J32" s="1176" t="s">
        <v>1450</v>
      </c>
      <c r="K32" s="1176" t="s">
        <v>676</v>
      </c>
      <c r="L32" s="1178" t="s">
        <v>737</v>
      </c>
      <c r="M32" s="1179">
        <v>150000000</v>
      </c>
      <c r="N32" s="1174" t="s">
        <v>734</v>
      </c>
      <c r="O32" s="1174" t="s">
        <v>1411</v>
      </c>
      <c r="R32" s="1159"/>
    </row>
    <row r="33" spans="1:18" s="1180" customFormat="1" ht="105" x14ac:dyDescent="0.25">
      <c r="A33" s="1172">
        <v>2022027</v>
      </c>
      <c r="B33" s="1172">
        <v>7637</v>
      </c>
      <c r="C33" s="1172" t="s">
        <v>645</v>
      </c>
      <c r="D33" s="1178" t="s">
        <v>673</v>
      </c>
      <c r="E33" s="1176">
        <v>81161712</v>
      </c>
      <c r="F33" s="1175" t="s">
        <v>744</v>
      </c>
      <c r="G33" s="1176" t="s">
        <v>1446</v>
      </c>
      <c r="H33" s="1176" t="s">
        <v>1453</v>
      </c>
      <c r="I33" s="1176">
        <v>1</v>
      </c>
      <c r="J33" s="1176" t="s">
        <v>1456</v>
      </c>
      <c r="K33" s="1176" t="s">
        <v>676</v>
      </c>
      <c r="L33" s="1178" t="s">
        <v>745</v>
      </c>
      <c r="M33" s="1179">
        <v>10000000</v>
      </c>
      <c r="N33" s="1174" t="s">
        <v>734</v>
      </c>
      <c r="O33" s="1174" t="s">
        <v>1411</v>
      </c>
      <c r="R33" s="1159"/>
    </row>
    <row r="34" spans="1:18" s="1180" customFormat="1" ht="105" x14ac:dyDescent="0.25">
      <c r="A34" s="1172">
        <v>2022028</v>
      </c>
      <c r="B34" s="1172">
        <v>7637</v>
      </c>
      <c r="C34" s="1172" t="s">
        <v>645</v>
      </c>
      <c r="D34" s="1178" t="s">
        <v>673</v>
      </c>
      <c r="E34" s="1176" t="s">
        <v>1457</v>
      </c>
      <c r="F34" s="1175" t="s">
        <v>748</v>
      </c>
      <c r="G34" s="1176" t="s">
        <v>1445</v>
      </c>
      <c r="H34" s="1176" t="s">
        <v>1445</v>
      </c>
      <c r="I34" s="1176">
        <v>5</v>
      </c>
      <c r="J34" s="1173"/>
      <c r="K34" s="1176" t="s">
        <v>676</v>
      </c>
      <c r="L34" s="1178" t="s">
        <v>749</v>
      </c>
      <c r="M34" s="1179">
        <v>81000000</v>
      </c>
      <c r="N34" s="1174" t="s">
        <v>734</v>
      </c>
      <c r="O34" s="1174" t="s">
        <v>1411</v>
      </c>
      <c r="R34" s="1159"/>
    </row>
    <row r="35" spans="1:18" s="1180" customFormat="1" ht="105" x14ac:dyDescent="0.25">
      <c r="A35" s="1172">
        <v>2022029</v>
      </c>
      <c r="B35" s="1172">
        <v>7637</v>
      </c>
      <c r="C35" s="1172" t="s">
        <v>645</v>
      </c>
      <c r="D35" s="1178" t="s">
        <v>673</v>
      </c>
      <c r="E35" s="1176" t="s">
        <v>1457</v>
      </c>
      <c r="F35" s="1175" t="s">
        <v>753</v>
      </c>
      <c r="G35" s="1176" t="s">
        <v>1454</v>
      </c>
      <c r="H35" s="1176" t="s">
        <v>1458</v>
      </c>
      <c r="I35" s="1176">
        <v>4</v>
      </c>
      <c r="J35" s="1176" t="s">
        <v>1459</v>
      </c>
      <c r="K35" s="1176" t="s">
        <v>676</v>
      </c>
      <c r="L35" s="1178" t="s">
        <v>749</v>
      </c>
      <c r="M35" s="1179">
        <v>80000000</v>
      </c>
      <c r="N35" s="1174" t="s">
        <v>734</v>
      </c>
      <c r="O35" s="1174" t="s">
        <v>1411</v>
      </c>
      <c r="R35" s="1159"/>
    </row>
    <row r="36" spans="1:18" s="1180" customFormat="1" ht="105" x14ac:dyDescent="0.25">
      <c r="A36" s="1172">
        <v>2022030</v>
      </c>
      <c r="B36" s="1172">
        <v>7637</v>
      </c>
      <c r="C36" s="1172" t="s">
        <v>645</v>
      </c>
      <c r="D36" s="1178" t="s">
        <v>673</v>
      </c>
      <c r="E36" s="1176">
        <v>81111700</v>
      </c>
      <c r="F36" s="1175" t="s">
        <v>1460</v>
      </c>
      <c r="G36" s="1176" t="s">
        <v>1449</v>
      </c>
      <c r="H36" s="1176" t="s">
        <v>1449</v>
      </c>
      <c r="I36" s="1176">
        <v>10</v>
      </c>
      <c r="J36" s="1176" t="s">
        <v>1450</v>
      </c>
      <c r="K36" s="1176" t="s">
        <v>676</v>
      </c>
      <c r="L36" s="1178" t="s">
        <v>677</v>
      </c>
      <c r="M36" s="1179">
        <v>20000000</v>
      </c>
      <c r="N36" s="1174" t="s">
        <v>734</v>
      </c>
      <c r="O36" s="1174" t="s">
        <v>1411</v>
      </c>
      <c r="R36" s="1159"/>
    </row>
    <row r="37" spans="1:18" s="1180" customFormat="1" ht="105" x14ac:dyDescent="0.25">
      <c r="A37" s="1172">
        <v>2022031</v>
      </c>
      <c r="B37" s="1172">
        <v>7637</v>
      </c>
      <c r="C37" s="1172" t="s">
        <v>645</v>
      </c>
      <c r="D37" s="1178" t="s">
        <v>673</v>
      </c>
      <c r="E37" s="1181" t="s">
        <v>1461</v>
      </c>
      <c r="F37" s="1175" t="s">
        <v>756</v>
      </c>
      <c r="G37" s="1176" t="s">
        <v>1440</v>
      </c>
      <c r="H37" s="1176" t="s">
        <v>1449</v>
      </c>
      <c r="I37" s="1176">
        <v>1</v>
      </c>
      <c r="J37" s="1176" t="s">
        <v>1462</v>
      </c>
      <c r="K37" s="1176" t="s">
        <v>676</v>
      </c>
      <c r="L37" s="1178" t="s">
        <v>677</v>
      </c>
      <c r="M37" s="1179">
        <v>72100000</v>
      </c>
      <c r="N37" s="1174" t="s">
        <v>738</v>
      </c>
      <c r="O37" s="1174" t="s">
        <v>1411</v>
      </c>
      <c r="R37" s="1159"/>
    </row>
    <row r="38" spans="1:18" s="1180" customFormat="1" ht="105" x14ac:dyDescent="0.25">
      <c r="A38" s="1172">
        <v>2022032</v>
      </c>
      <c r="B38" s="1172">
        <v>7637</v>
      </c>
      <c r="C38" s="1172" t="s">
        <v>645</v>
      </c>
      <c r="D38" s="1178" t="s">
        <v>673</v>
      </c>
      <c r="E38" s="1176">
        <v>81112222</v>
      </c>
      <c r="F38" s="1175" t="s">
        <v>1463</v>
      </c>
      <c r="G38" s="1176" t="s">
        <v>1458</v>
      </c>
      <c r="H38" s="1176" t="s">
        <v>1464</v>
      </c>
      <c r="I38" s="1176">
        <v>12</v>
      </c>
      <c r="J38" s="1176" t="s">
        <v>1459</v>
      </c>
      <c r="K38" s="1176" t="s">
        <v>676</v>
      </c>
      <c r="L38" s="1178" t="s">
        <v>677</v>
      </c>
      <c r="M38" s="1179">
        <v>120000000</v>
      </c>
      <c r="N38" s="1174" t="s">
        <v>734</v>
      </c>
      <c r="O38" s="1174" t="s">
        <v>1411</v>
      </c>
      <c r="R38" s="1159"/>
    </row>
    <row r="39" spans="1:18" s="1180" customFormat="1" ht="105" x14ac:dyDescent="0.25">
      <c r="A39" s="1172">
        <v>2022033</v>
      </c>
      <c r="B39" s="1172">
        <v>7637</v>
      </c>
      <c r="C39" s="1172" t="s">
        <v>645</v>
      </c>
      <c r="D39" s="1178" t="s">
        <v>673</v>
      </c>
      <c r="E39" s="1176" t="s">
        <v>1465</v>
      </c>
      <c r="F39" s="1175" t="s">
        <v>1466</v>
      </c>
      <c r="G39" s="1176" t="s">
        <v>1453</v>
      </c>
      <c r="H39" s="1176" t="s">
        <v>1454</v>
      </c>
      <c r="I39" s="1176">
        <v>3</v>
      </c>
      <c r="J39" s="1176" t="s">
        <v>1459</v>
      </c>
      <c r="K39" s="1176" t="s">
        <v>676</v>
      </c>
      <c r="L39" s="1178" t="s">
        <v>737</v>
      </c>
      <c r="M39" s="1179">
        <v>50000000</v>
      </c>
      <c r="N39" s="1174" t="s">
        <v>734</v>
      </c>
      <c r="O39" s="1174" t="s">
        <v>1411</v>
      </c>
      <c r="R39" s="1159"/>
    </row>
    <row r="40" spans="1:18" s="1180" customFormat="1" ht="105" x14ac:dyDescent="0.25">
      <c r="A40" s="1172">
        <v>2022034</v>
      </c>
      <c r="B40" s="1172">
        <v>7637</v>
      </c>
      <c r="C40" s="1172" t="s">
        <v>645</v>
      </c>
      <c r="D40" s="1178" t="s">
        <v>673</v>
      </c>
      <c r="E40" s="1176">
        <v>81112217</v>
      </c>
      <c r="F40" s="1175" t="s">
        <v>1467</v>
      </c>
      <c r="G40" s="1176" t="s">
        <v>1468</v>
      </c>
      <c r="H40" s="1176" t="s">
        <v>1469</v>
      </c>
      <c r="I40" s="1176">
        <v>1</v>
      </c>
      <c r="J40" s="1176" t="s">
        <v>1462</v>
      </c>
      <c r="K40" s="1176" t="s">
        <v>676</v>
      </c>
      <c r="L40" s="1178" t="s">
        <v>677</v>
      </c>
      <c r="M40" s="1179">
        <v>35077000</v>
      </c>
      <c r="N40" s="1173" t="s">
        <v>738</v>
      </c>
      <c r="O40" s="1174" t="s">
        <v>1411</v>
      </c>
      <c r="R40" s="1159"/>
    </row>
    <row r="41" spans="1:18" s="1180" customFormat="1" ht="105" x14ac:dyDescent="0.25">
      <c r="A41" s="1172">
        <v>2022035</v>
      </c>
      <c r="B41" s="1172">
        <v>7637</v>
      </c>
      <c r="C41" s="1172" t="s">
        <v>645</v>
      </c>
      <c r="D41" s="1178" t="s">
        <v>673</v>
      </c>
      <c r="E41" s="1176" t="s">
        <v>1306</v>
      </c>
      <c r="F41" s="1175" t="s">
        <v>1470</v>
      </c>
      <c r="G41" s="1176" t="s">
        <v>1446</v>
      </c>
      <c r="H41" s="1176" t="s">
        <v>1453</v>
      </c>
      <c r="I41" s="1176">
        <v>8</v>
      </c>
      <c r="J41" s="1176" t="s">
        <v>1462</v>
      </c>
      <c r="K41" s="1176" t="s">
        <v>676</v>
      </c>
      <c r="L41" s="1178" t="s">
        <v>677</v>
      </c>
      <c r="M41" s="1179">
        <v>70000000</v>
      </c>
      <c r="N41" s="1174" t="s">
        <v>734</v>
      </c>
      <c r="O41" s="1174" t="s">
        <v>1411</v>
      </c>
      <c r="R41" s="1159"/>
    </row>
    <row r="42" spans="1:18" s="1180" customFormat="1" ht="105" x14ac:dyDescent="0.25">
      <c r="A42" s="1182">
        <v>2022036</v>
      </c>
      <c r="B42" s="1182">
        <v>7637</v>
      </c>
      <c r="C42" s="1182" t="s">
        <v>645</v>
      </c>
      <c r="D42" s="1183" t="s">
        <v>673</v>
      </c>
      <c r="E42" s="1184" t="s">
        <v>1471</v>
      </c>
      <c r="F42" s="1183" t="s">
        <v>763</v>
      </c>
      <c r="G42" s="1184" t="s">
        <v>1440</v>
      </c>
      <c r="H42" s="1184" t="s">
        <v>1440</v>
      </c>
      <c r="I42" s="1184">
        <v>11</v>
      </c>
      <c r="J42" s="1184" t="s">
        <v>1459</v>
      </c>
      <c r="K42" s="1184" t="s">
        <v>676</v>
      </c>
      <c r="L42" s="1183" t="s">
        <v>737</v>
      </c>
      <c r="M42" s="1188">
        <f>487640000-55735449-8000000</f>
        <v>423904551</v>
      </c>
      <c r="N42" s="1187" t="s">
        <v>734</v>
      </c>
      <c r="O42" s="1187" t="s">
        <v>1411</v>
      </c>
      <c r="R42" s="1159"/>
    </row>
    <row r="43" spans="1:18" s="1180" customFormat="1" ht="105" x14ac:dyDescent="0.25">
      <c r="A43" s="1182">
        <v>2022037</v>
      </c>
      <c r="B43" s="1182">
        <v>7637</v>
      </c>
      <c r="C43" s="1182" t="s">
        <v>645</v>
      </c>
      <c r="D43" s="1183" t="s">
        <v>673</v>
      </c>
      <c r="E43" s="1184" t="s">
        <v>1472</v>
      </c>
      <c r="F43" s="1185" t="s">
        <v>765</v>
      </c>
      <c r="G43" s="1184" t="s">
        <v>1440</v>
      </c>
      <c r="H43" s="1184" t="s">
        <v>1440</v>
      </c>
      <c r="I43" s="1184">
        <v>12</v>
      </c>
      <c r="J43" s="1184" t="s">
        <v>1558</v>
      </c>
      <c r="K43" s="1184" t="s">
        <v>676</v>
      </c>
      <c r="L43" s="1183" t="s">
        <v>731</v>
      </c>
      <c r="M43" s="1186">
        <v>104794000</v>
      </c>
      <c r="N43" s="1187" t="s">
        <v>734</v>
      </c>
      <c r="O43" s="1187" t="s">
        <v>1411</v>
      </c>
      <c r="R43" s="1159"/>
    </row>
    <row r="44" spans="1:18" s="1180" customFormat="1" ht="105" x14ac:dyDescent="0.25">
      <c r="A44" s="1182">
        <v>2022038</v>
      </c>
      <c r="B44" s="1182">
        <v>7637</v>
      </c>
      <c r="C44" s="1182" t="s">
        <v>645</v>
      </c>
      <c r="D44" s="1183" t="s">
        <v>673</v>
      </c>
      <c r="E44" s="1187">
        <v>43221500</v>
      </c>
      <c r="F44" s="1185" t="s">
        <v>1473</v>
      </c>
      <c r="G44" s="1184" t="s">
        <v>1564</v>
      </c>
      <c r="H44" s="1184" t="s">
        <v>1559</v>
      </c>
      <c r="I44" s="1184">
        <v>6</v>
      </c>
      <c r="J44" s="1184" t="s">
        <v>1462</v>
      </c>
      <c r="K44" s="1184" t="s">
        <v>676</v>
      </c>
      <c r="L44" s="1183" t="s">
        <v>677</v>
      </c>
      <c r="M44" s="1186">
        <v>38500000</v>
      </c>
      <c r="N44" s="1187" t="s">
        <v>734</v>
      </c>
      <c r="O44" s="1187" t="s">
        <v>1411</v>
      </c>
      <c r="R44" s="1159"/>
    </row>
    <row r="45" spans="1:18" s="1180" customFormat="1" ht="105" x14ac:dyDescent="0.25">
      <c r="A45" s="1172">
        <v>2022039</v>
      </c>
      <c r="B45" s="1172">
        <v>7637</v>
      </c>
      <c r="C45" s="1172" t="s">
        <v>645</v>
      </c>
      <c r="D45" s="1178" t="s">
        <v>673</v>
      </c>
      <c r="E45" s="1176">
        <v>43233200</v>
      </c>
      <c r="F45" s="1175" t="s">
        <v>1474</v>
      </c>
      <c r="G45" s="1176" t="s">
        <v>1453</v>
      </c>
      <c r="H45" s="1176" t="s">
        <v>1453</v>
      </c>
      <c r="I45" s="1176">
        <v>3</v>
      </c>
      <c r="J45" s="1176" t="s">
        <v>1450</v>
      </c>
      <c r="K45" s="1176" t="s">
        <v>772</v>
      </c>
      <c r="L45" s="1178" t="s">
        <v>737</v>
      </c>
      <c r="M45" s="1179">
        <v>170000000</v>
      </c>
      <c r="N45" s="1175" t="s">
        <v>738</v>
      </c>
      <c r="O45" s="1174" t="s">
        <v>1411</v>
      </c>
      <c r="R45" s="1159"/>
    </row>
    <row r="46" spans="1:18" s="1180" customFormat="1" ht="105" x14ac:dyDescent="0.25">
      <c r="A46" s="1182">
        <v>2022040</v>
      </c>
      <c r="B46" s="1182">
        <v>7637</v>
      </c>
      <c r="C46" s="1182" t="s">
        <v>645</v>
      </c>
      <c r="D46" s="1183" t="s">
        <v>673</v>
      </c>
      <c r="E46" s="1184">
        <v>43222600</v>
      </c>
      <c r="F46" s="1185" t="s">
        <v>1475</v>
      </c>
      <c r="G46" s="1184" t="s">
        <v>1446</v>
      </c>
      <c r="H46" s="1184" t="s">
        <v>1446</v>
      </c>
      <c r="I46" s="1184">
        <v>6</v>
      </c>
      <c r="J46" s="1184" t="s">
        <v>1462</v>
      </c>
      <c r="K46" s="1184" t="s">
        <v>772</v>
      </c>
      <c r="L46" s="1183" t="s">
        <v>737</v>
      </c>
      <c r="M46" s="1186">
        <v>600000000</v>
      </c>
      <c r="N46" s="1187" t="s">
        <v>734</v>
      </c>
      <c r="O46" s="1187" t="s">
        <v>1411</v>
      </c>
      <c r="R46" s="1159"/>
    </row>
    <row r="47" spans="1:18" s="1180" customFormat="1" ht="105" x14ac:dyDescent="0.25">
      <c r="A47" s="1172">
        <v>2022041</v>
      </c>
      <c r="B47" s="1172">
        <v>7637</v>
      </c>
      <c r="C47" s="1172" t="s">
        <v>645</v>
      </c>
      <c r="D47" s="1178" t="s">
        <v>673</v>
      </c>
      <c r="E47" s="1176" t="s">
        <v>1476</v>
      </c>
      <c r="F47" s="1175" t="s">
        <v>1477</v>
      </c>
      <c r="G47" s="1176" t="s">
        <v>1446</v>
      </c>
      <c r="H47" s="1176" t="s">
        <v>1453</v>
      </c>
      <c r="I47" s="1176">
        <v>3</v>
      </c>
      <c r="J47" s="1176" t="s">
        <v>1462</v>
      </c>
      <c r="K47" s="1176" t="s">
        <v>772</v>
      </c>
      <c r="L47" s="1178" t="s">
        <v>737</v>
      </c>
      <c r="M47" s="1179">
        <v>600000000</v>
      </c>
      <c r="N47" s="1174" t="s">
        <v>734</v>
      </c>
      <c r="O47" s="1174" t="s">
        <v>1411</v>
      </c>
      <c r="R47" s="1159"/>
    </row>
    <row r="48" spans="1:18" s="1180" customFormat="1" ht="105" x14ac:dyDescent="0.25">
      <c r="A48" s="1172">
        <v>2022042</v>
      </c>
      <c r="B48" s="1172">
        <v>7637</v>
      </c>
      <c r="C48" s="1172" t="s">
        <v>645</v>
      </c>
      <c r="D48" s="1178" t="s">
        <v>673</v>
      </c>
      <c r="E48" s="1174"/>
      <c r="F48" s="1175" t="s">
        <v>779</v>
      </c>
      <c r="G48" s="1176"/>
      <c r="H48" s="1176"/>
      <c r="I48" s="1176"/>
      <c r="J48" s="1176"/>
      <c r="K48" s="1176" t="s">
        <v>676</v>
      </c>
      <c r="L48" s="1178" t="s">
        <v>677</v>
      </c>
      <c r="M48" s="1179">
        <v>22500000</v>
      </c>
      <c r="N48" s="1189" t="s">
        <v>734</v>
      </c>
      <c r="O48" s="1189" t="s">
        <v>1411</v>
      </c>
      <c r="R48" s="1159"/>
    </row>
    <row r="49" spans="1:15" s="1159" customFormat="1" ht="75" x14ac:dyDescent="0.25">
      <c r="A49" s="1172">
        <v>2022043</v>
      </c>
      <c r="B49" s="1172">
        <v>7655</v>
      </c>
      <c r="C49" s="1172" t="s">
        <v>670</v>
      </c>
      <c r="D49" s="1190" t="s">
        <v>691</v>
      </c>
      <c r="E49" s="1191" t="s">
        <v>782</v>
      </c>
      <c r="F49" s="1192" t="s">
        <v>783</v>
      </c>
      <c r="G49" s="1193">
        <v>44575</v>
      </c>
      <c r="H49" s="1193">
        <v>44575</v>
      </c>
      <c r="I49" s="1194" t="s">
        <v>1478</v>
      </c>
      <c r="J49" s="1195" t="s">
        <v>1479</v>
      </c>
      <c r="K49" s="1176" t="s">
        <v>676</v>
      </c>
      <c r="L49" s="1178" t="s">
        <v>784</v>
      </c>
      <c r="M49" s="1196">
        <v>92000000</v>
      </c>
      <c r="N49" s="1197" t="s">
        <v>732</v>
      </c>
      <c r="O49" s="1197" t="s">
        <v>1480</v>
      </c>
    </row>
    <row r="50" spans="1:15" s="1159" customFormat="1" ht="60" x14ac:dyDescent="0.25">
      <c r="A50" s="1172">
        <v>2022044</v>
      </c>
      <c r="B50" s="1172">
        <v>7655</v>
      </c>
      <c r="C50" s="1172" t="s">
        <v>670</v>
      </c>
      <c r="D50" s="1190" t="s">
        <v>691</v>
      </c>
      <c r="E50" s="1191" t="s">
        <v>782</v>
      </c>
      <c r="F50" s="1198" t="s">
        <v>787</v>
      </c>
      <c r="G50" s="1193">
        <v>44575</v>
      </c>
      <c r="H50" s="1193">
        <v>44575</v>
      </c>
      <c r="I50" s="1194" t="s">
        <v>1478</v>
      </c>
      <c r="J50" s="1195" t="s">
        <v>1479</v>
      </c>
      <c r="K50" s="1176" t="s">
        <v>676</v>
      </c>
      <c r="L50" s="1178" t="s">
        <v>784</v>
      </c>
      <c r="M50" s="1196">
        <v>103500000</v>
      </c>
      <c r="N50" s="1197" t="s">
        <v>732</v>
      </c>
      <c r="O50" s="1197" t="s">
        <v>1480</v>
      </c>
    </row>
    <row r="51" spans="1:15" s="1159" customFormat="1" ht="60" x14ac:dyDescent="0.25">
      <c r="A51" s="1172">
        <v>2022045</v>
      </c>
      <c r="B51" s="1172">
        <v>7655</v>
      </c>
      <c r="C51" s="1172" t="s">
        <v>670</v>
      </c>
      <c r="D51" s="1190" t="s">
        <v>691</v>
      </c>
      <c r="E51" s="1191" t="s">
        <v>782</v>
      </c>
      <c r="F51" s="1198" t="s">
        <v>789</v>
      </c>
      <c r="G51" s="1193">
        <v>44575</v>
      </c>
      <c r="H51" s="1193">
        <v>44575</v>
      </c>
      <c r="I51" s="1194" t="s">
        <v>1478</v>
      </c>
      <c r="J51" s="1195" t="s">
        <v>1479</v>
      </c>
      <c r="K51" s="1176" t="s">
        <v>676</v>
      </c>
      <c r="L51" s="1178" t="s">
        <v>677</v>
      </c>
      <c r="M51" s="1196">
        <v>57500000</v>
      </c>
      <c r="N51" s="1197" t="s">
        <v>732</v>
      </c>
      <c r="O51" s="1197" t="s">
        <v>1480</v>
      </c>
    </row>
    <row r="52" spans="1:15" s="1159" customFormat="1" ht="60" x14ac:dyDescent="0.25">
      <c r="A52" s="1172">
        <v>2022046</v>
      </c>
      <c r="B52" s="1172">
        <v>7655</v>
      </c>
      <c r="C52" s="1172" t="s">
        <v>670</v>
      </c>
      <c r="D52" s="1190" t="s">
        <v>691</v>
      </c>
      <c r="E52" s="1191" t="s">
        <v>782</v>
      </c>
      <c r="F52" s="1192" t="s">
        <v>791</v>
      </c>
      <c r="G52" s="1193">
        <v>44575</v>
      </c>
      <c r="H52" s="1193">
        <v>44575</v>
      </c>
      <c r="I52" s="1194" t="s">
        <v>1478</v>
      </c>
      <c r="J52" s="1195" t="s">
        <v>1479</v>
      </c>
      <c r="K52" s="1176" t="s">
        <v>676</v>
      </c>
      <c r="L52" s="1178" t="s">
        <v>677</v>
      </c>
      <c r="M52" s="1196">
        <v>78200000</v>
      </c>
      <c r="N52" s="1197" t="s">
        <v>732</v>
      </c>
      <c r="O52" s="1197" t="s">
        <v>1480</v>
      </c>
    </row>
    <row r="53" spans="1:15" s="1159" customFormat="1" ht="60" x14ac:dyDescent="0.25">
      <c r="A53" s="1172">
        <v>2022047</v>
      </c>
      <c r="B53" s="1172">
        <v>7655</v>
      </c>
      <c r="C53" s="1172" t="s">
        <v>670</v>
      </c>
      <c r="D53" s="1190" t="s">
        <v>691</v>
      </c>
      <c r="E53" s="1191" t="s">
        <v>782</v>
      </c>
      <c r="F53" s="1198" t="s">
        <v>793</v>
      </c>
      <c r="G53" s="1193">
        <v>44575</v>
      </c>
      <c r="H53" s="1193">
        <v>44575</v>
      </c>
      <c r="I53" s="1194" t="s">
        <v>1478</v>
      </c>
      <c r="J53" s="1195" t="s">
        <v>1479</v>
      </c>
      <c r="K53" s="1176" t="s">
        <v>676</v>
      </c>
      <c r="L53" s="1178" t="s">
        <v>677</v>
      </c>
      <c r="M53" s="1196">
        <v>38525000</v>
      </c>
      <c r="N53" s="1197" t="s">
        <v>732</v>
      </c>
      <c r="O53" s="1197" t="s">
        <v>1480</v>
      </c>
    </row>
    <row r="54" spans="1:15" s="1159" customFormat="1" ht="60" x14ac:dyDescent="0.25">
      <c r="A54" s="1172">
        <v>2022048</v>
      </c>
      <c r="B54" s="1172">
        <v>7655</v>
      </c>
      <c r="C54" s="1172" t="s">
        <v>670</v>
      </c>
      <c r="D54" s="1190" t="s">
        <v>691</v>
      </c>
      <c r="E54" s="1191" t="s">
        <v>782</v>
      </c>
      <c r="F54" s="1198" t="s">
        <v>794</v>
      </c>
      <c r="G54" s="1193">
        <v>44575</v>
      </c>
      <c r="H54" s="1193">
        <v>44575</v>
      </c>
      <c r="I54" s="1194" t="s">
        <v>1478</v>
      </c>
      <c r="J54" s="1195" t="s">
        <v>1479</v>
      </c>
      <c r="K54" s="1176" t="s">
        <v>676</v>
      </c>
      <c r="L54" s="1178" t="s">
        <v>784</v>
      </c>
      <c r="M54" s="1196">
        <v>92000000</v>
      </c>
      <c r="N54" s="1197" t="s">
        <v>732</v>
      </c>
      <c r="O54" s="1197" t="s">
        <v>1480</v>
      </c>
    </row>
    <row r="55" spans="1:15" s="1159" customFormat="1" ht="60" x14ac:dyDescent="0.25">
      <c r="A55" s="1172">
        <v>2022049</v>
      </c>
      <c r="B55" s="1172">
        <v>7655</v>
      </c>
      <c r="C55" s="1172" t="s">
        <v>670</v>
      </c>
      <c r="D55" s="1190" t="s">
        <v>691</v>
      </c>
      <c r="E55" s="1191" t="s">
        <v>782</v>
      </c>
      <c r="F55" s="1198" t="s">
        <v>1333</v>
      </c>
      <c r="G55" s="1193">
        <v>44575</v>
      </c>
      <c r="H55" s="1193">
        <v>44575</v>
      </c>
      <c r="I55" s="1194" t="s">
        <v>1481</v>
      </c>
      <c r="J55" s="1195" t="s">
        <v>1479</v>
      </c>
      <c r="K55" s="1176" t="s">
        <v>676</v>
      </c>
      <c r="L55" s="1178" t="s">
        <v>677</v>
      </c>
      <c r="M55" s="1196">
        <v>16800000</v>
      </c>
      <c r="N55" s="1197" t="s">
        <v>732</v>
      </c>
      <c r="O55" s="1197" t="s">
        <v>1480</v>
      </c>
    </row>
    <row r="56" spans="1:15" s="1159" customFormat="1" ht="60" x14ac:dyDescent="0.25">
      <c r="A56" s="1172">
        <v>2022050</v>
      </c>
      <c r="B56" s="1172">
        <v>7655</v>
      </c>
      <c r="C56" s="1172" t="s">
        <v>670</v>
      </c>
      <c r="D56" s="1190" t="s">
        <v>691</v>
      </c>
      <c r="E56" s="1191" t="s">
        <v>782</v>
      </c>
      <c r="F56" s="1198" t="s">
        <v>795</v>
      </c>
      <c r="G56" s="1193">
        <v>44575</v>
      </c>
      <c r="H56" s="1193">
        <v>44575</v>
      </c>
      <c r="I56" s="1194" t="s">
        <v>1482</v>
      </c>
      <c r="J56" s="1195" t="s">
        <v>1479</v>
      </c>
      <c r="K56" s="1176" t="s">
        <v>676</v>
      </c>
      <c r="L56" s="1178" t="s">
        <v>677</v>
      </c>
      <c r="M56" s="1196">
        <v>38500000</v>
      </c>
      <c r="N56" s="1197" t="s">
        <v>732</v>
      </c>
      <c r="O56" s="1197" t="s">
        <v>1480</v>
      </c>
    </row>
    <row r="57" spans="1:15" s="1159" customFormat="1" ht="60" x14ac:dyDescent="0.25">
      <c r="A57" s="1172">
        <v>2022051</v>
      </c>
      <c r="B57" s="1172">
        <v>7655</v>
      </c>
      <c r="C57" s="1172" t="s">
        <v>670</v>
      </c>
      <c r="D57" s="1190" t="s">
        <v>691</v>
      </c>
      <c r="E57" s="1191" t="s">
        <v>782</v>
      </c>
      <c r="F57" s="1198" t="s">
        <v>796</v>
      </c>
      <c r="G57" s="1193">
        <v>44575</v>
      </c>
      <c r="H57" s="1193">
        <v>44575</v>
      </c>
      <c r="I57" s="1194" t="s">
        <v>1478</v>
      </c>
      <c r="J57" s="1195" t="s">
        <v>1479</v>
      </c>
      <c r="K57" s="1176" t="s">
        <v>676</v>
      </c>
      <c r="L57" s="1178" t="s">
        <v>677</v>
      </c>
      <c r="M57" s="1196">
        <v>20700000</v>
      </c>
      <c r="N57" s="1197" t="s">
        <v>732</v>
      </c>
      <c r="O57" s="1197" t="s">
        <v>1480</v>
      </c>
    </row>
    <row r="58" spans="1:15" s="1159" customFormat="1" ht="60" x14ac:dyDescent="0.25">
      <c r="A58" s="1172">
        <v>2022052</v>
      </c>
      <c r="B58" s="1172">
        <v>7655</v>
      </c>
      <c r="C58" s="1172" t="s">
        <v>670</v>
      </c>
      <c r="D58" s="1190" t="s">
        <v>691</v>
      </c>
      <c r="E58" s="1191" t="s">
        <v>782</v>
      </c>
      <c r="F58" s="1198" t="s">
        <v>797</v>
      </c>
      <c r="G58" s="1193">
        <v>44575</v>
      </c>
      <c r="H58" s="1193">
        <v>44575</v>
      </c>
      <c r="I58" s="1194" t="s">
        <v>1478</v>
      </c>
      <c r="J58" s="1195" t="s">
        <v>1479</v>
      </c>
      <c r="K58" s="1176" t="s">
        <v>676</v>
      </c>
      <c r="L58" s="1178" t="s">
        <v>677</v>
      </c>
      <c r="M58" s="1196">
        <v>83950000</v>
      </c>
      <c r="N58" s="1197" t="s">
        <v>732</v>
      </c>
      <c r="O58" s="1197" t="s">
        <v>1480</v>
      </c>
    </row>
    <row r="59" spans="1:15" s="1159" customFormat="1" ht="60" x14ac:dyDescent="0.25">
      <c r="A59" s="1172">
        <v>2022053</v>
      </c>
      <c r="B59" s="1172">
        <v>7655</v>
      </c>
      <c r="C59" s="1172" t="s">
        <v>670</v>
      </c>
      <c r="D59" s="1190" t="s">
        <v>691</v>
      </c>
      <c r="E59" s="1191" t="s">
        <v>782</v>
      </c>
      <c r="F59" s="1198" t="s">
        <v>798</v>
      </c>
      <c r="G59" s="1193">
        <v>44575</v>
      </c>
      <c r="H59" s="1193">
        <v>44575</v>
      </c>
      <c r="I59" s="1194" t="s">
        <v>1478</v>
      </c>
      <c r="J59" s="1195" t="s">
        <v>1479</v>
      </c>
      <c r="K59" s="1176" t="s">
        <v>676</v>
      </c>
      <c r="L59" s="1178" t="s">
        <v>677</v>
      </c>
      <c r="M59" s="1196">
        <v>38525000</v>
      </c>
      <c r="N59" s="1197" t="s">
        <v>732</v>
      </c>
      <c r="O59" s="1197" t="s">
        <v>1480</v>
      </c>
    </row>
    <row r="60" spans="1:15" s="1159" customFormat="1" ht="60" x14ac:dyDescent="0.25">
      <c r="A60" s="1172">
        <v>2022054</v>
      </c>
      <c r="B60" s="1172">
        <v>7655</v>
      </c>
      <c r="C60" s="1172" t="s">
        <v>670</v>
      </c>
      <c r="D60" s="1190" t="s">
        <v>691</v>
      </c>
      <c r="E60" s="1172" t="s">
        <v>782</v>
      </c>
      <c r="F60" s="1175" t="s">
        <v>799</v>
      </c>
      <c r="G60" s="1193">
        <v>44575</v>
      </c>
      <c r="H60" s="1193">
        <v>44575</v>
      </c>
      <c r="I60" s="1194" t="s">
        <v>1481</v>
      </c>
      <c r="J60" s="1195" t="s">
        <v>1479</v>
      </c>
      <c r="K60" s="1176" t="s">
        <v>676</v>
      </c>
      <c r="L60" s="1178" t="s">
        <v>677</v>
      </c>
      <c r="M60" s="1196">
        <v>27000000</v>
      </c>
      <c r="N60" s="1197" t="s">
        <v>732</v>
      </c>
      <c r="O60" s="1197" t="s">
        <v>1480</v>
      </c>
    </row>
    <row r="61" spans="1:15" s="1159" customFormat="1" ht="60" x14ac:dyDescent="0.25">
      <c r="A61" s="1172">
        <v>2022055</v>
      </c>
      <c r="B61" s="1172">
        <v>7655</v>
      </c>
      <c r="C61" s="1172" t="s">
        <v>670</v>
      </c>
      <c r="D61" s="1190" t="s">
        <v>691</v>
      </c>
      <c r="E61" s="1172" t="s">
        <v>782</v>
      </c>
      <c r="F61" s="1192" t="s">
        <v>800</v>
      </c>
      <c r="G61" s="1193">
        <v>44575</v>
      </c>
      <c r="H61" s="1193">
        <v>44575</v>
      </c>
      <c r="I61" s="1194" t="s">
        <v>1478</v>
      </c>
      <c r="J61" s="1195" t="s">
        <v>1479</v>
      </c>
      <c r="K61" s="1176" t="s">
        <v>676</v>
      </c>
      <c r="L61" s="1178" t="s">
        <v>677</v>
      </c>
      <c r="M61" s="1196">
        <v>51750000</v>
      </c>
      <c r="N61" s="1197" t="s">
        <v>732</v>
      </c>
      <c r="O61" s="1197" t="s">
        <v>1480</v>
      </c>
    </row>
    <row r="62" spans="1:15" s="1159" customFormat="1" ht="60" x14ac:dyDescent="0.25">
      <c r="A62" s="1172">
        <v>2022056</v>
      </c>
      <c r="B62" s="1172">
        <v>7655</v>
      </c>
      <c r="C62" s="1172" t="s">
        <v>670</v>
      </c>
      <c r="D62" s="1190" t="s">
        <v>691</v>
      </c>
      <c r="E62" s="1191">
        <v>80111600</v>
      </c>
      <c r="F62" s="1192" t="s">
        <v>801</v>
      </c>
      <c r="G62" s="1193">
        <v>44575</v>
      </c>
      <c r="H62" s="1193">
        <v>44575</v>
      </c>
      <c r="I62" s="1194" t="s">
        <v>1478</v>
      </c>
      <c r="J62" s="1195" t="s">
        <v>1479</v>
      </c>
      <c r="K62" s="1176" t="s">
        <v>676</v>
      </c>
      <c r="L62" s="1176" t="s">
        <v>677</v>
      </c>
      <c r="M62" s="1196">
        <v>0</v>
      </c>
      <c r="N62" s="1197" t="s">
        <v>732</v>
      </c>
      <c r="O62" s="1197" t="s">
        <v>1480</v>
      </c>
    </row>
    <row r="63" spans="1:15" s="1159" customFormat="1" ht="60" x14ac:dyDescent="0.25">
      <c r="A63" s="1172">
        <v>2022057</v>
      </c>
      <c r="B63" s="1172">
        <v>7655</v>
      </c>
      <c r="C63" s="1172" t="s">
        <v>670</v>
      </c>
      <c r="D63" s="1190" t="s">
        <v>691</v>
      </c>
      <c r="E63" s="1191" t="s">
        <v>782</v>
      </c>
      <c r="F63" s="1192" t="s">
        <v>802</v>
      </c>
      <c r="G63" s="1193">
        <v>44575</v>
      </c>
      <c r="H63" s="1193">
        <v>44575</v>
      </c>
      <c r="I63" s="1194" t="s">
        <v>1478</v>
      </c>
      <c r="J63" s="1195" t="s">
        <v>1479</v>
      </c>
      <c r="K63" s="1176" t="s">
        <v>676</v>
      </c>
      <c r="L63" s="1178" t="s">
        <v>677</v>
      </c>
      <c r="M63" s="1196">
        <v>38525000</v>
      </c>
      <c r="N63" s="1197" t="s">
        <v>732</v>
      </c>
      <c r="O63" s="1197" t="s">
        <v>1480</v>
      </c>
    </row>
    <row r="64" spans="1:15" s="1159" customFormat="1" ht="60" x14ac:dyDescent="0.25">
      <c r="A64" s="1172">
        <v>2022058</v>
      </c>
      <c r="B64" s="1172">
        <v>7655</v>
      </c>
      <c r="C64" s="1172" t="s">
        <v>670</v>
      </c>
      <c r="D64" s="1190" t="s">
        <v>691</v>
      </c>
      <c r="E64" s="1172" t="s">
        <v>782</v>
      </c>
      <c r="F64" s="1192" t="s">
        <v>803</v>
      </c>
      <c r="G64" s="1193">
        <v>44575</v>
      </c>
      <c r="H64" s="1193">
        <v>44575</v>
      </c>
      <c r="I64" s="1194" t="s">
        <v>1478</v>
      </c>
      <c r="J64" s="1195" t="s">
        <v>1479</v>
      </c>
      <c r="K64" s="1176" t="s">
        <v>676</v>
      </c>
      <c r="L64" s="1178" t="s">
        <v>677</v>
      </c>
      <c r="M64" s="1196">
        <v>28175000</v>
      </c>
      <c r="N64" s="1197" t="s">
        <v>732</v>
      </c>
      <c r="O64" s="1197" t="s">
        <v>1480</v>
      </c>
    </row>
    <row r="65" spans="1:15" s="1159" customFormat="1" ht="60" x14ac:dyDescent="0.25">
      <c r="A65" s="1172">
        <v>2022059</v>
      </c>
      <c r="B65" s="1172">
        <v>7655</v>
      </c>
      <c r="C65" s="1172" t="s">
        <v>670</v>
      </c>
      <c r="D65" s="1190" t="s">
        <v>691</v>
      </c>
      <c r="E65" s="1191" t="s">
        <v>782</v>
      </c>
      <c r="F65" s="1198" t="s">
        <v>804</v>
      </c>
      <c r="G65" s="1193">
        <v>44575</v>
      </c>
      <c r="H65" s="1193">
        <v>44575</v>
      </c>
      <c r="I65" s="1194" t="s">
        <v>1478</v>
      </c>
      <c r="J65" s="1195" t="s">
        <v>1479</v>
      </c>
      <c r="K65" s="1176" t="s">
        <v>676</v>
      </c>
      <c r="L65" s="1178" t="s">
        <v>677</v>
      </c>
      <c r="M65" s="1196">
        <v>44275000</v>
      </c>
      <c r="N65" s="1197" t="s">
        <v>732</v>
      </c>
      <c r="O65" s="1197" t="s">
        <v>1480</v>
      </c>
    </row>
    <row r="66" spans="1:15" s="1159" customFormat="1" ht="60" x14ac:dyDescent="0.25">
      <c r="A66" s="1172">
        <v>2022060</v>
      </c>
      <c r="B66" s="1172">
        <v>7655</v>
      </c>
      <c r="C66" s="1172" t="s">
        <v>670</v>
      </c>
      <c r="D66" s="1190" t="s">
        <v>691</v>
      </c>
      <c r="E66" s="1191" t="s">
        <v>782</v>
      </c>
      <c r="F66" s="1198" t="s">
        <v>804</v>
      </c>
      <c r="G66" s="1193">
        <v>44575</v>
      </c>
      <c r="H66" s="1193">
        <v>44575</v>
      </c>
      <c r="I66" s="1194" t="s">
        <v>1478</v>
      </c>
      <c r="J66" s="1195" t="s">
        <v>1479</v>
      </c>
      <c r="K66" s="1176" t="s">
        <v>676</v>
      </c>
      <c r="L66" s="1178" t="s">
        <v>677</v>
      </c>
      <c r="M66" s="1196">
        <v>44275000</v>
      </c>
      <c r="N66" s="1197" t="s">
        <v>732</v>
      </c>
      <c r="O66" s="1197" t="s">
        <v>1480</v>
      </c>
    </row>
    <row r="67" spans="1:15" s="1159" customFormat="1" ht="75" x14ac:dyDescent="0.25">
      <c r="A67" s="1172">
        <v>2022061</v>
      </c>
      <c r="B67" s="1172">
        <v>7655</v>
      </c>
      <c r="C67" s="1172" t="s">
        <v>670</v>
      </c>
      <c r="D67" s="1190" t="s">
        <v>691</v>
      </c>
      <c r="E67" s="1191" t="s">
        <v>782</v>
      </c>
      <c r="F67" s="1198" t="s">
        <v>805</v>
      </c>
      <c r="G67" s="1193">
        <v>44575</v>
      </c>
      <c r="H67" s="1193">
        <v>44575</v>
      </c>
      <c r="I67" s="1194" t="s">
        <v>1478</v>
      </c>
      <c r="J67" s="1195" t="s">
        <v>1479</v>
      </c>
      <c r="K67" s="1176" t="s">
        <v>676</v>
      </c>
      <c r="L67" s="1178" t="s">
        <v>677</v>
      </c>
      <c r="M67" s="1196">
        <v>51750000</v>
      </c>
      <c r="N67" s="1197" t="s">
        <v>732</v>
      </c>
      <c r="O67" s="1197" t="s">
        <v>1480</v>
      </c>
    </row>
    <row r="68" spans="1:15" s="1159" customFormat="1" ht="75" x14ac:dyDescent="0.25">
      <c r="A68" s="1172">
        <v>2022062</v>
      </c>
      <c r="B68" s="1172">
        <v>7655</v>
      </c>
      <c r="C68" s="1172" t="s">
        <v>670</v>
      </c>
      <c r="D68" s="1190" t="s">
        <v>691</v>
      </c>
      <c r="E68" s="1191" t="s">
        <v>782</v>
      </c>
      <c r="F68" s="1198" t="s">
        <v>806</v>
      </c>
      <c r="G68" s="1193">
        <v>44575</v>
      </c>
      <c r="H68" s="1193">
        <v>44575</v>
      </c>
      <c r="I68" s="1194" t="s">
        <v>1482</v>
      </c>
      <c r="J68" s="1195" t="s">
        <v>1479</v>
      </c>
      <c r="K68" s="1176" t="s">
        <v>676</v>
      </c>
      <c r="L68" s="1178" t="s">
        <v>677</v>
      </c>
      <c r="M68" s="1196">
        <v>51100000</v>
      </c>
      <c r="N68" s="1197" t="s">
        <v>732</v>
      </c>
      <c r="O68" s="1197" t="s">
        <v>1480</v>
      </c>
    </row>
    <row r="69" spans="1:15" s="1159" customFormat="1" ht="60" x14ac:dyDescent="0.25">
      <c r="A69" s="1172">
        <v>2022063</v>
      </c>
      <c r="B69" s="1172">
        <v>7655</v>
      </c>
      <c r="C69" s="1172" t="s">
        <v>670</v>
      </c>
      <c r="D69" s="1190" t="s">
        <v>691</v>
      </c>
      <c r="E69" s="1191" t="s">
        <v>807</v>
      </c>
      <c r="F69" s="1198" t="s">
        <v>808</v>
      </c>
      <c r="G69" s="1193">
        <v>44630</v>
      </c>
      <c r="H69" s="1193">
        <v>44630</v>
      </c>
      <c r="I69" s="1194" t="s">
        <v>1483</v>
      </c>
      <c r="J69" s="1195" t="s">
        <v>1456</v>
      </c>
      <c r="K69" s="1176" t="s">
        <v>676</v>
      </c>
      <c r="L69" s="1178" t="s">
        <v>809</v>
      </c>
      <c r="M69" s="1196">
        <v>20000000</v>
      </c>
      <c r="N69" s="1197" t="s">
        <v>732</v>
      </c>
      <c r="O69" s="1197" t="s">
        <v>1480</v>
      </c>
    </row>
    <row r="70" spans="1:15" s="1159" customFormat="1" ht="60" x14ac:dyDescent="0.25">
      <c r="A70" s="1172">
        <v>2022064</v>
      </c>
      <c r="B70" s="1172">
        <v>7655</v>
      </c>
      <c r="C70" s="1172" t="s">
        <v>670</v>
      </c>
      <c r="D70" s="1190" t="s">
        <v>691</v>
      </c>
      <c r="E70" s="1172" t="s">
        <v>810</v>
      </c>
      <c r="F70" s="1198" t="s">
        <v>811</v>
      </c>
      <c r="G70" s="1193">
        <v>44576</v>
      </c>
      <c r="H70" s="1193">
        <v>44576</v>
      </c>
      <c r="I70" s="1194" t="s">
        <v>97</v>
      </c>
      <c r="J70" s="1195" t="s">
        <v>1447</v>
      </c>
      <c r="K70" s="1176" t="s">
        <v>676</v>
      </c>
      <c r="L70" s="1178" t="s">
        <v>677</v>
      </c>
      <c r="M70" s="1196">
        <v>20000000</v>
      </c>
      <c r="N70" s="1197" t="s">
        <v>732</v>
      </c>
      <c r="O70" s="1197" t="s">
        <v>1480</v>
      </c>
    </row>
    <row r="71" spans="1:15" s="1159" customFormat="1" ht="60" x14ac:dyDescent="0.25">
      <c r="A71" s="1172">
        <v>2022065</v>
      </c>
      <c r="B71" s="1172">
        <v>7655</v>
      </c>
      <c r="C71" s="1172" t="s">
        <v>670</v>
      </c>
      <c r="D71" s="1190" t="s">
        <v>691</v>
      </c>
      <c r="E71" s="1172" t="s">
        <v>810</v>
      </c>
      <c r="F71" s="1198" t="s">
        <v>812</v>
      </c>
      <c r="G71" s="1193">
        <v>44607</v>
      </c>
      <c r="H71" s="1193">
        <v>44607</v>
      </c>
      <c r="I71" s="1194" t="s">
        <v>1484</v>
      </c>
      <c r="J71" s="1195" t="s">
        <v>1447</v>
      </c>
      <c r="K71" s="1176" t="s">
        <v>676</v>
      </c>
      <c r="L71" s="1178" t="s">
        <v>677</v>
      </c>
      <c r="M71" s="1196">
        <v>140000000</v>
      </c>
      <c r="N71" s="1197" t="s">
        <v>732</v>
      </c>
      <c r="O71" s="1197" t="s">
        <v>1480</v>
      </c>
    </row>
    <row r="72" spans="1:15" s="1159" customFormat="1" ht="60" x14ac:dyDescent="0.25">
      <c r="A72" s="1172">
        <v>2022066</v>
      </c>
      <c r="B72" s="1172">
        <v>7655</v>
      </c>
      <c r="C72" s="1172" t="s">
        <v>670</v>
      </c>
      <c r="D72" s="1190" t="s">
        <v>691</v>
      </c>
      <c r="E72" s="1172">
        <v>76121900</v>
      </c>
      <c r="F72" s="1192" t="s">
        <v>813</v>
      </c>
      <c r="G72" s="1193">
        <v>44635</v>
      </c>
      <c r="H72" s="1193">
        <v>44635</v>
      </c>
      <c r="I72" s="1194" t="s">
        <v>1485</v>
      </c>
      <c r="J72" s="1195" t="s">
        <v>1456</v>
      </c>
      <c r="K72" s="1176" t="s">
        <v>676</v>
      </c>
      <c r="L72" s="1178" t="s">
        <v>677</v>
      </c>
      <c r="M72" s="1196">
        <v>2060000</v>
      </c>
      <c r="N72" s="1197" t="s">
        <v>732</v>
      </c>
      <c r="O72" s="1197" t="s">
        <v>1480</v>
      </c>
    </row>
    <row r="73" spans="1:15" s="1159" customFormat="1" ht="60" x14ac:dyDescent="0.25">
      <c r="A73" s="1172">
        <v>2022067</v>
      </c>
      <c r="B73" s="1172">
        <v>7655</v>
      </c>
      <c r="C73" s="1172" t="s">
        <v>670</v>
      </c>
      <c r="D73" s="1190" t="s">
        <v>691</v>
      </c>
      <c r="E73" s="1172" t="s">
        <v>814</v>
      </c>
      <c r="F73" s="1192" t="s">
        <v>815</v>
      </c>
      <c r="G73" s="1193">
        <v>44635</v>
      </c>
      <c r="H73" s="1193">
        <v>44635</v>
      </c>
      <c r="I73" s="1195" t="s">
        <v>816</v>
      </c>
      <c r="J73" s="1195" t="s">
        <v>816</v>
      </c>
      <c r="K73" s="1176" t="s">
        <v>676</v>
      </c>
      <c r="L73" s="1178" t="s">
        <v>677</v>
      </c>
      <c r="M73" s="1196">
        <v>1110000</v>
      </c>
      <c r="N73" s="1197" t="s">
        <v>732</v>
      </c>
      <c r="O73" s="1197" t="s">
        <v>1480</v>
      </c>
    </row>
    <row r="74" spans="1:15" s="1159" customFormat="1" ht="60" x14ac:dyDescent="0.25">
      <c r="A74" s="1172">
        <v>2022068</v>
      </c>
      <c r="B74" s="1172">
        <v>7655</v>
      </c>
      <c r="C74" s="1172" t="s">
        <v>670</v>
      </c>
      <c r="D74" s="1190" t="s">
        <v>691</v>
      </c>
      <c r="E74" s="1191" t="s">
        <v>782</v>
      </c>
      <c r="F74" s="1198" t="s">
        <v>817</v>
      </c>
      <c r="G74" s="1193">
        <v>44575</v>
      </c>
      <c r="H74" s="1193">
        <v>44575</v>
      </c>
      <c r="I74" s="1194" t="s">
        <v>1478</v>
      </c>
      <c r="J74" s="1195" t="s">
        <v>1479</v>
      </c>
      <c r="K74" s="1176" t="s">
        <v>676</v>
      </c>
      <c r="L74" s="1178" t="s">
        <v>677</v>
      </c>
      <c r="M74" s="1196">
        <v>44275000</v>
      </c>
      <c r="N74" s="1197" t="s">
        <v>732</v>
      </c>
      <c r="O74" s="1197" t="s">
        <v>1480</v>
      </c>
    </row>
    <row r="75" spans="1:15" s="1159" customFormat="1" ht="60" x14ac:dyDescent="0.25">
      <c r="A75" s="1172">
        <v>2022069</v>
      </c>
      <c r="B75" s="1172">
        <v>7655</v>
      </c>
      <c r="C75" s="1172" t="s">
        <v>670</v>
      </c>
      <c r="D75" s="1190" t="s">
        <v>691</v>
      </c>
      <c r="E75" s="1191" t="s">
        <v>782</v>
      </c>
      <c r="F75" s="1198" t="s">
        <v>818</v>
      </c>
      <c r="G75" s="1193">
        <v>44575</v>
      </c>
      <c r="H75" s="1193">
        <v>44575</v>
      </c>
      <c r="I75" s="1194" t="s">
        <v>1478</v>
      </c>
      <c r="J75" s="1195" t="s">
        <v>1479</v>
      </c>
      <c r="K75" s="1176" t="s">
        <v>676</v>
      </c>
      <c r="L75" s="1178" t="s">
        <v>784</v>
      </c>
      <c r="M75" s="1196">
        <v>47150000</v>
      </c>
      <c r="N75" s="1197" t="s">
        <v>732</v>
      </c>
      <c r="O75" s="1197" t="s">
        <v>1480</v>
      </c>
    </row>
    <row r="76" spans="1:15" s="1159" customFormat="1" ht="60" x14ac:dyDescent="0.25">
      <c r="A76" s="1172">
        <v>2022070</v>
      </c>
      <c r="B76" s="1172">
        <v>7655</v>
      </c>
      <c r="C76" s="1172" t="s">
        <v>670</v>
      </c>
      <c r="D76" s="1190" t="s">
        <v>691</v>
      </c>
      <c r="E76" s="1191" t="s">
        <v>782</v>
      </c>
      <c r="F76" s="1192" t="s">
        <v>818</v>
      </c>
      <c r="G76" s="1193">
        <v>44575</v>
      </c>
      <c r="H76" s="1193">
        <v>44575</v>
      </c>
      <c r="I76" s="1194" t="s">
        <v>1478</v>
      </c>
      <c r="J76" s="1195" t="s">
        <v>1479</v>
      </c>
      <c r="K76" s="1176" t="s">
        <v>676</v>
      </c>
      <c r="L76" s="1178" t="s">
        <v>677</v>
      </c>
      <c r="M76" s="1196">
        <v>63250000</v>
      </c>
      <c r="N76" s="1197" t="s">
        <v>732</v>
      </c>
      <c r="O76" s="1197" t="s">
        <v>1480</v>
      </c>
    </row>
    <row r="77" spans="1:15" s="1159" customFormat="1" ht="60" x14ac:dyDescent="0.25">
      <c r="A77" s="1172">
        <v>2022071</v>
      </c>
      <c r="B77" s="1172">
        <v>7655</v>
      </c>
      <c r="C77" s="1172" t="s">
        <v>670</v>
      </c>
      <c r="D77" s="1190" t="s">
        <v>691</v>
      </c>
      <c r="E77" s="1191" t="s">
        <v>782</v>
      </c>
      <c r="F77" s="1198" t="s">
        <v>818</v>
      </c>
      <c r="G77" s="1193">
        <v>44575</v>
      </c>
      <c r="H77" s="1193">
        <v>44575</v>
      </c>
      <c r="I77" s="1194" t="s">
        <v>1478</v>
      </c>
      <c r="J77" s="1195" t="s">
        <v>1479</v>
      </c>
      <c r="K77" s="1176" t="s">
        <v>676</v>
      </c>
      <c r="L77" s="1178" t="s">
        <v>677</v>
      </c>
      <c r="M77" s="1196">
        <v>63250000</v>
      </c>
      <c r="N77" s="1197" t="s">
        <v>732</v>
      </c>
      <c r="O77" s="1197" t="s">
        <v>1480</v>
      </c>
    </row>
    <row r="78" spans="1:15" s="1159" customFormat="1" ht="60" x14ac:dyDescent="0.25">
      <c r="A78" s="1172">
        <v>2022072</v>
      </c>
      <c r="B78" s="1172">
        <v>7655</v>
      </c>
      <c r="C78" s="1172" t="s">
        <v>670</v>
      </c>
      <c r="D78" s="1190" t="s">
        <v>691</v>
      </c>
      <c r="E78" s="1191" t="s">
        <v>782</v>
      </c>
      <c r="F78" s="1192" t="s">
        <v>819</v>
      </c>
      <c r="G78" s="1193">
        <v>44575</v>
      </c>
      <c r="H78" s="1193">
        <v>44575</v>
      </c>
      <c r="I78" s="1194" t="s">
        <v>1481</v>
      </c>
      <c r="J78" s="1195" t="s">
        <v>1479</v>
      </c>
      <c r="K78" s="1176" t="s">
        <v>676</v>
      </c>
      <c r="L78" s="1178" t="s">
        <v>677</v>
      </c>
      <c r="M78" s="1196">
        <v>16500000</v>
      </c>
      <c r="N78" s="1197" t="s">
        <v>732</v>
      </c>
      <c r="O78" s="1197" t="s">
        <v>1480</v>
      </c>
    </row>
    <row r="79" spans="1:15" s="1159" customFormat="1" ht="60" x14ac:dyDescent="0.25">
      <c r="A79" s="1172">
        <v>2022073</v>
      </c>
      <c r="B79" s="1172">
        <v>7655</v>
      </c>
      <c r="C79" s="1172" t="s">
        <v>670</v>
      </c>
      <c r="D79" s="1190" t="s">
        <v>691</v>
      </c>
      <c r="E79" s="1191" t="s">
        <v>782</v>
      </c>
      <c r="F79" s="1192" t="s">
        <v>818</v>
      </c>
      <c r="G79" s="1193">
        <v>44575</v>
      </c>
      <c r="H79" s="1193">
        <v>44575</v>
      </c>
      <c r="I79" s="1194" t="s">
        <v>1478</v>
      </c>
      <c r="J79" s="1195" t="s">
        <v>1479</v>
      </c>
      <c r="K79" s="1176" t="s">
        <v>676</v>
      </c>
      <c r="L79" s="1178" t="s">
        <v>677</v>
      </c>
      <c r="M79" s="1196">
        <v>63250000</v>
      </c>
      <c r="N79" s="1197" t="s">
        <v>732</v>
      </c>
      <c r="O79" s="1197" t="s">
        <v>1480</v>
      </c>
    </row>
    <row r="80" spans="1:15" s="1159" customFormat="1" ht="60" x14ac:dyDescent="0.25">
      <c r="A80" s="1172">
        <v>2022074</v>
      </c>
      <c r="B80" s="1172">
        <v>7655</v>
      </c>
      <c r="C80" s="1172" t="s">
        <v>670</v>
      </c>
      <c r="D80" s="1190" t="s">
        <v>691</v>
      </c>
      <c r="E80" s="1191" t="s">
        <v>782</v>
      </c>
      <c r="F80" s="1198" t="s">
        <v>818</v>
      </c>
      <c r="G80" s="1193">
        <v>44575</v>
      </c>
      <c r="H80" s="1193">
        <v>44575</v>
      </c>
      <c r="I80" s="1194" t="s">
        <v>1478</v>
      </c>
      <c r="J80" s="1195" t="s">
        <v>1479</v>
      </c>
      <c r="K80" s="1176" t="s">
        <v>676</v>
      </c>
      <c r="L80" s="1178" t="s">
        <v>677</v>
      </c>
      <c r="M80" s="1196">
        <v>58650000</v>
      </c>
      <c r="N80" s="1197" t="s">
        <v>732</v>
      </c>
      <c r="O80" s="1197" t="s">
        <v>1480</v>
      </c>
    </row>
    <row r="81" spans="1:15" s="1159" customFormat="1" ht="60" x14ac:dyDescent="0.25">
      <c r="A81" s="1172">
        <v>2022075</v>
      </c>
      <c r="B81" s="1172">
        <v>7655</v>
      </c>
      <c r="C81" s="1172" t="s">
        <v>670</v>
      </c>
      <c r="D81" s="1190" t="s">
        <v>691</v>
      </c>
      <c r="E81" s="1191" t="s">
        <v>782</v>
      </c>
      <c r="F81" s="1192" t="s">
        <v>819</v>
      </c>
      <c r="G81" s="1193">
        <v>44575</v>
      </c>
      <c r="H81" s="1193">
        <v>44575</v>
      </c>
      <c r="I81" s="1194" t="s">
        <v>1478</v>
      </c>
      <c r="J81" s="1195" t="s">
        <v>1479</v>
      </c>
      <c r="K81" s="1176" t="s">
        <v>676</v>
      </c>
      <c r="L81" s="1178" t="s">
        <v>677</v>
      </c>
      <c r="M81" s="1196">
        <v>31625000</v>
      </c>
      <c r="N81" s="1197" t="s">
        <v>732</v>
      </c>
      <c r="O81" s="1197" t="s">
        <v>1480</v>
      </c>
    </row>
    <row r="82" spans="1:15" s="1159" customFormat="1" ht="60" x14ac:dyDescent="0.25">
      <c r="A82" s="1172">
        <v>2022076</v>
      </c>
      <c r="B82" s="1172">
        <v>7655</v>
      </c>
      <c r="C82" s="1172" t="s">
        <v>670</v>
      </c>
      <c r="D82" s="1190" t="s">
        <v>691</v>
      </c>
      <c r="E82" s="1191" t="s">
        <v>782</v>
      </c>
      <c r="F82" s="1192" t="s">
        <v>820</v>
      </c>
      <c r="G82" s="1193">
        <v>44575</v>
      </c>
      <c r="H82" s="1193">
        <v>44575</v>
      </c>
      <c r="I82" s="1194" t="s">
        <v>1478</v>
      </c>
      <c r="J82" s="1195" t="s">
        <v>1479</v>
      </c>
      <c r="K82" s="1176" t="s">
        <v>676</v>
      </c>
      <c r="L82" s="1178" t="s">
        <v>677</v>
      </c>
      <c r="M82" s="1196">
        <v>28175000</v>
      </c>
      <c r="N82" s="1197" t="s">
        <v>732</v>
      </c>
      <c r="O82" s="1197" t="s">
        <v>1480</v>
      </c>
    </row>
    <row r="83" spans="1:15" s="1159" customFormat="1" ht="60" x14ac:dyDescent="0.25">
      <c r="A83" s="1172">
        <v>2022077</v>
      </c>
      <c r="B83" s="1172">
        <v>7655</v>
      </c>
      <c r="C83" s="1172" t="s">
        <v>670</v>
      </c>
      <c r="D83" s="1190" t="s">
        <v>691</v>
      </c>
      <c r="E83" s="1191" t="s">
        <v>782</v>
      </c>
      <c r="F83" s="1192" t="s">
        <v>820</v>
      </c>
      <c r="G83" s="1193">
        <v>44575</v>
      </c>
      <c r="H83" s="1193">
        <v>44575</v>
      </c>
      <c r="I83" s="1194" t="s">
        <v>1478</v>
      </c>
      <c r="J83" s="1195" t="s">
        <v>1479</v>
      </c>
      <c r="K83" s="1176" t="s">
        <v>676</v>
      </c>
      <c r="L83" s="1178" t="s">
        <v>677</v>
      </c>
      <c r="M83" s="1196">
        <v>28175000</v>
      </c>
      <c r="N83" s="1197" t="s">
        <v>732</v>
      </c>
      <c r="O83" s="1197" t="s">
        <v>1480</v>
      </c>
    </row>
    <row r="84" spans="1:15" s="1159" customFormat="1" ht="60" x14ac:dyDescent="0.25">
      <c r="A84" s="1172">
        <v>2022078</v>
      </c>
      <c r="B84" s="1172">
        <v>7655</v>
      </c>
      <c r="C84" s="1172" t="s">
        <v>670</v>
      </c>
      <c r="D84" s="1190" t="s">
        <v>691</v>
      </c>
      <c r="E84" s="1191" t="s">
        <v>782</v>
      </c>
      <c r="F84" s="1198" t="s">
        <v>821</v>
      </c>
      <c r="G84" s="1193">
        <v>44575</v>
      </c>
      <c r="H84" s="1193">
        <v>44575</v>
      </c>
      <c r="I84" s="1194" t="s">
        <v>1478</v>
      </c>
      <c r="J84" s="1195" t="s">
        <v>1479</v>
      </c>
      <c r="K84" s="1176" t="s">
        <v>676</v>
      </c>
      <c r="L84" s="1178" t="s">
        <v>677</v>
      </c>
      <c r="M84" s="1196">
        <v>24150000</v>
      </c>
      <c r="N84" s="1197" t="s">
        <v>732</v>
      </c>
      <c r="O84" s="1197" t="s">
        <v>1480</v>
      </c>
    </row>
    <row r="85" spans="1:15" s="1159" customFormat="1" ht="60" x14ac:dyDescent="0.25">
      <c r="A85" s="1172">
        <v>2022079</v>
      </c>
      <c r="B85" s="1172">
        <v>7655</v>
      </c>
      <c r="C85" s="1172" t="s">
        <v>670</v>
      </c>
      <c r="D85" s="1190" t="s">
        <v>691</v>
      </c>
      <c r="E85" s="1191" t="s">
        <v>782</v>
      </c>
      <c r="F85" s="1198" t="s">
        <v>822</v>
      </c>
      <c r="G85" s="1193">
        <v>44575</v>
      </c>
      <c r="H85" s="1193">
        <v>44575</v>
      </c>
      <c r="I85" s="1194" t="s">
        <v>1478</v>
      </c>
      <c r="J85" s="1195" t="s">
        <v>1479</v>
      </c>
      <c r="K85" s="1176" t="s">
        <v>676</v>
      </c>
      <c r="L85" s="1178" t="s">
        <v>677</v>
      </c>
      <c r="M85" s="1196">
        <v>57500000</v>
      </c>
      <c r="N85" s="1197" t="s">
        <v>732</v>
      </c>
      <c r="O85" s="1197" t="s">
        <v>1480</v>
      </c>
    </row>
    <row r="86" spans="1:15" s="1159" customFormat="1" ht="60" x14ac:dyDescent="0.25">
      <c r="A86" s="1172">
        <v>2022080</v>
      </c>
      <c r="B86" s="1172">
        <v>7655</v>
      </c>
      <c r="C86" s="1172" t="s">
        <v>670</v>
      </c>
      <c r="D86" s="1190" t="s">
        <v>691</v>
      </c>
      <c r="E86" s="1191" t="s">
        <v>782</v>
      </c>
      <c r="F86" s="1198" t="s">
        <v>823</v>
      </c>
      <c r="G86" s="1193">
        <v>44575</v>
      </c>
      <c r="H86" s="1193">
        <v>44575</v>
      </c>
      <c r="I86" s="1194" t="s">
        <v>1478</v>
      </c>
      <c r="J86" s="1195" t="s">
        <v>1479</v>
      </c>
      <c r="K86" s="1176" t="s">
        <v>676</v>
      </c>
      <c r="L86" s="1178" t="s">
        <v>677</v>
      </c>
      <c r="M86" s="1196">
        <v>83950000</v>
      </c>
      <c r="N86" s="1197" t="s">
        <v>732</v>
      </c>
      <c r="O86" s="1197" t="s">
        <v>1480</v>
      </c>
    </row>
    <row r="87" spans="1:15" s="1159" customFormat="1" ht="60" x14ac:dyDescent="0.25">
      <c r="A87" s="1172">
        <v>2022081</v>
      </c>
      <c r="B87" s="1172">
        <v>7655</v>
      </c>
      <c r="C87" s="1172" t="s">
        <v>670</v>
      </c>
      <c r="D87" s="1190" t="s">
        <v>691</v>
      </c>
      <c r="E87" s="1191" t="s">
        <v>782</v>
      </c>
      <c r="F87" s="1198" t="s">
        <v>824</v>
      </c>
      <c r="G87" s="1193">
        <v>44575</v>
      </c>
      <c r="H87" s="1193">
        <v>44575</v>
      </c>
      <c r="I87" s="1194" t="s">
        <v>1478</v>
      </c>
      <c r="J87" s="1195" t="s">
        <v>1479</v>
      </c>
      <c r="K87" s="1176" t="s">
        <v>676</v>
      </c>
      <c r="L87" s="1178" t="s">
        <v>677</v>
      </c>
      <c r="M87" s="1196">
        <v>28175000</v>
      </c>
      <c r="N87" s="1197" t="s">
        <v>732</v>
      </c>
      <c r="O87" s="1197" t="s">
        <v>1480</v>
      </c>
    </row>
    <row r="88" spans="1:15" s="1159" customFormat="1" ht="60" x14ac:dyDescent="0.25">
      <c r="A88" s="1172">
        <v>2022082</v>
      </c>
      <c r="B88" s="1172">
        <v>7655</v>
      </c>
      <c r="C88" s="1172" t="s">
        <v>670</v>
      </c>
      <c r="D88" s="1190" t="s">
        <v>691</v>
      </c>
      <c r="E88" s="1191" t="s">
        <v>782</v>
      </c>
      <c r="F88" s="1198" t="s">
        <v>820</v>
      </c>
      <c r="G88" s="1193">
        <v>44575</v>
      </c>
      <c r="H88" s="1193">
        <v>44575</v>
      </c>
      <c r="I88" s="1194" t="s">
        <v>1478</v>
      </c>
      <c r="J88" s="1195" t="s">
        <v>1479</v>
      </c>
      <c r="K88" s="1176" t="s">
        <v>676</v>
      </c>
      <c r="L88" s="1178" t="s">
        <v>677</v>
      </c>
      <c r="M88" s="1196">
        <v>28175000</v>
      </c>
      <c r="N88" s="1197" t="s">
        <v>732</v>
      </c>
      <c r="O88" s="1197" t="s">
        <v>1480</v>
      </c>
    </row>
    <row r="89" spans="1:15" s="1159" customFormat="1" ht="60" x14ac:dyDescent="0.25">
      <c r="A89" s="1172">
        <v>2022083</v>
      </c>
      <c r="B89" s="1172">
        <v>7655</v>
      </c>
      <c r="C89" s="1172" t="s">
        <v>670</v>
      </c>
      <c r="D89" s="1190" t="s">
        <v>691</v>
      </c>
      <c r="E89" s="1172" t="s">
        <v>782</v>
      </c>
      <c r="F89" s="1198" t="s">
        <v>820</v>
      </c>
      <c r="G89" s="1193">
        <v>44575</v>
      </c>
      <c r="H89" s="1193">
        <v>44575</v>
      </c>
      <c r="I89" s="1194" t="s">
        <v>1478</v>
      </c>
      <c r="J89" s="1195" t="s">
        <v>1479</v>
      </c>
      <c r="K89" s="1176" t="s">
        <v>676</v>
      </c>
      <c r="L89" s="1178" t="s">
        <v>677</v>
      </c>
      <c r="M89" s="1196">
        <v>28175000</v>
      </c>
      <c r="N89" s="1197" t="s">
        <v>732</v>
      </c>
      <c r="O89" s="1197" t="s">
        <v>1480</v>
      </c>
    </row>
    <row r="90" spans="1:15" s="1159" customFormat="1" ht="60" x14ac:dyDescent="0.25">
      <c r="A90" s="1172">
        <v>2022084</v>
      </c>
      <c r="B90" s="1172">
        <v>7655</v>
      </c>
      <c r="C90" s="1172" t="s">
        <v>670</v>
      </c>
      <c r="D90" s="1190" t="s">
        <v>691</v>
      </c>
      <c r="E90" s="1172" t="s">
        <v>782</v>
      </c>
      <c r="F90" s="1198" t="s">
        <v>820</v>
      </c>
      <c r="G90" s="1193">
        <v>44575</v>
      </c>
      <c r="H90" s="1193">
        <v>44575</v>
      </c>
      <c r="I90" s="1194" t="s">
        <v>1478</v>
      </c>
      <c r="J90" s="1195" t="s">
        <v>1479</v>
      </c>
      <c r="K90" s="1176" t="s">
        <v>676</v>
      </c>
      <c r="L90" s="1178" t="s">
        <v>677</v>
      </c>
      <c r="M90" s="1196">
        <v>28175000</v>
      </c>
      <c r="N90" s="1197" t="s">
        <v>732</v>
      </c>
      <c r="O90" s="1197" t="s">
        <v>1480</v>
      </c>
    </row>
    <row r="91" spans="1:15" s="1159" customFormat="1" ht="60" x14ac:dyDescent="0.25">
      <c r="A91" s="1172">
        <v>2022085</v>
      </c>
      <c r="B91" s="1172">
        <v>7655</v>
      </c>
      <c r="C91" s="1172" t="s">
        <v>670</v>
      </c>
      <c r="D91" s="1190" t="s">
        <v>691</v>
      </c>
      <c r="E91" s="1191" t="s">
        <v>782</v>
      </c>
      <c r="F91" s="1198" t="s">
        <v>825</v>
      </c>
      <c r="G91" s="1193">
        <v>44575</v>
      </c>
      <c r="H91" s="1193">
        <v>44575</v>
      </c>
      <c r="I91" s="1194" t="s">
        <v>1478</v>
      </c>
      <c r="J91" s="1195" t="s">
        <v>1479</v>
      </c>
      <c r="K91" s="1176" t="s">
        <v>676</v>
      </c>
      <c r="L91" s="1178" t="s">
        <v>677</v>
      </c>
      <c r="M91" s="1196">
        <v>78200000</v>
      </c>
      <c r="N91" s="1197" t="s">
        <v>732</v>
      </c>
      <c r="O91" s="1197" t="s">
        <v>1480</v>
      </c>
    </row>
    <row r="92" spans="1:15" s="1159" customFormat="1" ht="60" x14ac:dyDescent="0.25">
      <c r="A92" s="1172">
        <v>2022086</v>
      </c>
      <c r="B92" s="1172">
        <v>7655</v>
      </c>
      <c r="C92" s="1172" t="s">
        <v>670</v>
      </c>
      <c r="D92" s="1190" t="s">
        <v>691</v>
      </c>
      <c r="E92" s="1191" t="s">
        <v>782</v>
      </c>
      <c r="F92" s="1175" t="s">
        <v>826</v>
      </c>
      <c r="G92" s="1193">
        <v>44575</v>
      </c>
      <c r="H92" s="1193">
        <v>44575</v>
      </c>
      <c r="I92" s="1194" t="s">
        <v>1478</v>
      </c>
      <c r="J92" s="1195" t="s">
        <v>1479</v>
      </c>
      <c r="K92" s="1176" t="s">
        <v>676</v>
      </c>
      <c r="L92" s="1178" t="s">
        <v>677</v>
      </c>
      <c r="M92" s="1196">
        <v>36800000</v>
      </c>
      <c r="N92" s="1197" t="s">
        <v>732</v>
      </c>
      <c r="O92" s="1197" t="s">
        <v>1480</v>
      </c>
    </row>
    <row r="93" spans="1:15" s="1159" customFormat="1" ht="75" x14ac:dyDescent="0.25">
      <c r="A93" s="1172">
        <v>2022087</v>
      </c>
      <c r="B93" s="1172">
        <v>7655</v>
      </c>
      <c r="C93" s="1172" t="s">
        <v>670</v>
      </c>
      <c r="D93" s="1190" t="s">
        <v>691</v>
      </c>
      <c r="E93" s="1191" t="s">
        <v>782</v>
      </c>
      <c r="F93" s="1199" t="s">
        <v>827</v>
      </c>
      <c r="G93" s="1193">
        <v>44575</v>
      </c>
      <c r="H93" s="1193">
        <v>44575</v>
      </c>
      <c r="I93" s="1194" t="s">
        <v>1478</v>
      </c>
      <c r="J93" s="1195" t="s">
        <v>1479</v>
      </c>
      <c r="K93" s="1176" t="s">
        <v>676</v>
      </c>
      <c r="L93" s="1178" t="s">
        <v>677</v>
      </c>
      <c r="M93" s="1196">
        <v>58650000</v>
      </c>
      <c r="N93" s="1197" t="s">
        <v>732</v>
      </c>
      <c r="O93" s="1197" t="s">
        <v>1480</v>
      </c>
    </row>
    <row r="94" spans="1:15" s="1159" customFormat="1" ht="60" x14ac:dyDescent="0.25">
      <c r="A94" s="1172">
        <v>2022088</v>
      </c>
      <c r="B94" s="1172">
        <v>7655</v>
      </c>
      <c r="C94" s="1172" t="s">
        <v>670</v>
      </c>
      <c r="D94" s="1190" t="s">
        <v>691</v>
      </c>
      <c r="E94" s="1191" t="s">
        <v>782</v>
      </c>
      <c r="F94" s="1198" t="s">
        <v>828</v>
      </c>
      <c r="G94" s="1193">
        <v>44575</v>
      </c>
      <c r="H94" s="1193">
        <v>44575</v>
      </c>
      <c r="I94" s="1194" t="s">
        <v>1478</v>
      </c>
      <c r="J94" s="1195" t="s">
        <v>1479</v>
      </c>
      <c r="K94" s="1176" t="s">
        <v>676</v>
      </c>
      <c r="L94" s="1178" t="s">
        <v>677</v>
      </c>
      <c r="M94" s="1196">
        <v>38525000</v>
      </c>
      <c r="N94" s="1197" t="s">
        <v>732</v>
      </c>
      <c r="O94" s="1197" t="s">
        <v>1480</v>
      </c>
    </row>
    <row r="95" spans="1:15" s="1159" customFormat="1" ht="60" x14ac:dyDescent="0.25">
      <c r="A95" s="1172">
        <v>2022089</v>
      </c>
      <c r="B95" s="1172">
        <v>7655</v>
      </c>
      <c r="C95" s="1172" t="s">
        <v>670</v>
      </c>
      <c r="D95" s="1190" t="s">
        <v>691</v>
      </c>
      <c r="E95" s="1191" t="s">
        <v>782</v>
      </c>
      <c r="F95" s="1198" t="s">
        <v>829</v>
      </c>
      <c r="G95" s="1193">
        <v>44575</v>
      </c>
      <c r="H95" s="1193">
        <v>44575</v>
      </c>
      <c r="I95" s="1194" t="s">
        <v>1478</v>
      </c>
      <c r="J95" s="1195" t="s">
        <v>1479</v>
      </c>
      <c r="K95" s="1176" t="s">
        <v>676</v>
      </c>
      <c r="L95" s="1178" t="s">
        <v>677</v>
      </c>
      <c r="M95" s="1196">
        <v>48300000</v>
      </c>
      <c r="N95" s="1197" t="s">
        <v>732</v>
      </c>
      <c r="O95" s="1197" t="s">
        <v>1480</v>
      </c>
    </row>
    <row r="96" spans="1:15" s="1159" customFormat="1" ht="60" x14ac:dyDescent="0.25">
      <c r="A96" s="1172">
        <v>2022090</v>
      </c>
      <c r="B96" s="1172">
        <v>7655</v>
      </c>
      <c r="C96" s="1172" t="s">
        <v>670</v>
      </c>
      <c r="D96" s="1190" t="s">
        <v>691</v>
      </c>
      <c r="E96" s="1191" t="s">
        <v>782</v>
      </c>
      <c r="F96" s="1198" t="s">
        <v>830</v>
      </c>
      <c r="G96" s="1193">
        <v>44575</v>
      </c>
      <c r="H96" s="1193">
        <v>44575</v>
      </c>
      <c r="I96" s="1194" t="s">
        <v>1481</v>
      </c>
      <c r="J96" s="1195" t="s">
        <v>1479</v>
      </c>
      <c r="K96" s="1176" t="s">
        <v>676</v>
      </c>
      <c r="L96" s="1178" t="s">
        <v>677</v>
      </c>
      <c r="M96" s="1196">
        <v>36000000</v>
      </c>
      <c r="N96" s="1197" t="s">
        <v>732</v>
      </c>
      <c r="O96" s="1197" t="s">
        <v>1480</v>
      </c>
    </row>
    <row r="97" spans="1:18" s="1159" customFormat="1" ht="60" x14ac:dyDescent="0.25">
      <c r="A97" s="1172">
        <v>2022091</v>
      </c>
      <c r="B97" s="1172">
        <v>7655</v>
      </c>
      <c r="C97" s="1172" t="s">
        <v>670</v>
      </c>
      <c r="D97" s="1190" t="s">
        <v>691</v>
      </c>
      <c r="E97" s="1172" t="s">
        <v>782</v>
      </c>
      <c r="F97" s="1192" t="s">
        <v>831</v>
      </c>
      <c r="G97" s="1193">
        <v>44575</v>
      </c>
      <c r="H97" s="1193">
        <v>44575</v>
      </c>
      <c r="I97" s="1194" t="s">
        <v>1478</v>
      </c>
      <c r="J97" s="1195" t="s">
        <v>1479</v>
      </c>
      <c r="K97" s="1176" t="s">
        <v>676</v>
      </c>
      <c r="L97" s="1178" t="s">
        <v>677</v>
      </c>
      <c r="M97" s="1196">
        <v>80500000</v>
      </c>
      <c r="N97" s="1197" t="s">
        <v>732</v>
      </c>
      <c r="O97" s="1197" t="s">
        <v>1480</v>
      </c>
    </row>
    <row r="98" spans="1:18" s="1159" customFormat="1" ht="60" x14ac:dyDescent="0.25">
      <c r="A98" s="1172">
        <v>2022092</v>
      </c>
      <c r="B98" s="1172">
        <v>7655</v>
      </c>
      <c r="C98" s="1172" t="s">
        <v>670</v>
      </c>
      <c r="D98" s="1190" t="s">
        <v>691</v>
      </c>
      <c r="E98" s="1191" t="s">
        <v>782</v>
      </c>
      <c r="F98" s="1198" t="s">
        <v>832</v>
      </c>
      <c r="G98" s="1193">
        <v>44575</v>
      </c>
      <c r="H98" s="1193">
        <v>44575</v>
      </c>
      <c r="I98" s="1194" t="s">
        <v>1478</v>
      </c>
      <c r="J98" s="1195" t="s">
        <v>1479</v>
      </c>
      <c r="K98" s="1176" t="s">
        <v>676</v>
      </c>
      <c r="L98" s="1178" t="s">
        <v>677</v>
      </c>
      <c r="M98" s="1196">
        <v>28175000</v>
      </c>
      <c r="N98" s="1197" t="s">
        <v>732</v>
      </c>
      <c r="O98" s="1197" t="s">
        <v>1480</v>
      </c>
      <c r="R98" s="1200"/>
    </row>
    <row r="99" spans="1:18" s="1159" customFormat="1" ht="60" x14ac:dyDescent="0.25">
      <c r="A99" s="1172">
        <v>2022093</v>
      </c>
      <c r="B99" s="1172">
        <v>7655</v>
      </c>
      <c r="C99" s="1172" t="s">
        <v>670</v>
      </c>
      <c r="D99" s="1190" t="s">
        <v>691</v>
      </c>
      <c r="E99" s="1191" t="s">
        <v>782</v>
      </c>
      <c r="F99" s="1198" t="s">
        <v>833</v>
      </c>
      <c r="G99" s="1193">
        <v>44575</v>
      </c>
      <c r="H99" s="1193">
        <v>44575</v>
      </c>
      <c r="I99" s="1194" t="s">
        <v>1478</v>
      </c>
      <c r="J99" s="1195" t="s">
        <v>1479</v>
      </c>
      <c r="K99" s="1176" t="s">
        <v>676</v>
      </c>
      <c r="L99" s="1178" t="s">
        <v>677</v>
      </c>
      <c r="M99" s="1196">
        <v>48300000</v>
      </c>
      <c r="N99" s="1197" t="s">
        <v>732</v>
      </c>
      <c r="O99" s="1197" t="s">
        <v>1480</v>
      </c>
    </row>
    <row r="100" spans="1:18" s="1159" customFormat="1" ht="60" x14ac:dyDescent="0.25">
      <c r="A100" s="1172">
        <v>2022094</v>
      </c>
      <c r="B100" s="1172">
        <v>7655</v>
      </c>
      <c r="C100" s="1172" t="s">
        <v>670</v>
      </c>
      <c r="D100" s="1190" t="s">
        <v>691</v>
      </c>
      <c r="E100" s="1172" t="s">
        <v>782</v>
      </c>
      <c r="F100" s="1192" t="s">
        <v>832</v>
      </c>
      <c r="G100" s="1193">
        <v>44575</v>
      </c>
      <c r="H100" s="1193">
        <v>44575</v>
      </c>
      <c r="I100" s="1194" t="s">
        <v>1478</v>
      </c>
      <c r="J100" s="1195" t="s">
        <v>1479</v>
      </c>
      <c r="K100" s="1176" t="s">
        <v>676</v>
      </c>
      <c r="L100" s="1178" t="s">
        <v>677</v>
      </c>
      <c r="M100" s="1196">
        <v>28175000</v>
      </c>
      <c r="N100" s="1197" t="s">
        <v>732</v>
      </c>
      <c r="O100" s="1197" t="s">
        <v>1480</v>
      </c>
    </row>
    <row r="101" spans="1:18" s="1159" customFormat="1" ht="60" x14ac:dyDescent="0.25">
      <c r="A101" s="1172">
        <v>2022095</v>
      </c>
      <c r="B101" s="1172">
        <v>7655</v>
      </c>
      <c r="C101" s="1172" t="s">
        <v>670</v>
      </c>
      <c r="D101" s="1190" t="s">
        <v>691</v>
      </c>
      <c r="E101" s="1172" t="s">
        <v>782</v>
      </c>
      <c r="F101" s="1192" t="s">
        <v>834</v>
      </c>
      <c r="G101" s="1193">
        <v>44575</v>
      </c>
      <c r="H101" s="1193">
        <v>44575</v>
      </c>
      <c r="I101" s="1194" t="s">
        <v>1478</v>
      </c>
      <c r="J101" s="1195" t="s">
        <v>1479</v>
      </c>
      <c r="K101" s="1176" t="s">
        <v>676</v>
      </c>
      <c r="L101" s="1178" t="s">
        <v>677</v>
      </c>
      <c r="M101" s="1196">
        <v>31625000</v>
      </c>
      <c r="N101" s="1197" t="s">
        <v>732</v>
      </c>
      <c r="O101" s="1197" t="s">
        <v>1480</v>
      </c>
    </row>
    <row r="102" spans="1:18" s="1159" customFormat="1" ht="60" x14ac:dyDescent="0.25">
      <c r="A102" s="1172">
        <v>2022096</v>
      </c>
      <c r="B102" s="1172">
        <v>7655</v>
      </c>
      <c r="C102" s="1172" t="s">
        <v>670</v>
      </c>
      <c r="D102" s="1190" t="s">
        <v>691</v>
      </c>
      <c r="E102" s="1172" t="s">
        <v>782</v>
      </c>
      <c r="F102" s="1192" t="s">
        <v>835</v>
      </c>
      <c r="G102" s="1193">
        <v>44575</v>
      </c>
      <c r="H102" s="1193">
        <v>44575</v>
      </c>
      <c r="I102" s="1194" t="s">
        <v>1478</v>
      </c>
      <c r="J102" s="1195" t="s">
        <v>1479</v>
      </c>
      <c r="K102" s="1176" t="s">
        <v>676</v>
      </c>
      <c r="L102" s="1178" t="s">
        <v>677</v>
      </c>
      <c r="M102" s="1196">
        <v>69000000</v>
      </c>
      <c r="N102" s="1197" t="s">
        <v>732</v>
      </c>
      <c r="O102" s="1197" t="s">
        <v>1480</v>
      </c>
    </row>
    <row r="103" spans="1:18" s="1159" customFormat="1" ht="60" x14ac:dyDescent="0.25">
      <c r="A103" s="1172">
        <v>2022097</v>
      </c>
      <c r="B103" s="1172">
        <v>7655</v>
      </c>
      <c r="C103" s="1172" t="s">
        <v>670</v>
      </c>
      <c r="D103" s="1190" t="s">
        <v>691</v>
      </c>
      <c r="E103" s="1172" t="s">
        <v>782</v>
      </c>
      <c r="F103" s="1192" t="s">
        <v>832</v>
      </c>
      <c r="G103" s="1193">
        <v>44575</v>
      </c>
      <c r="H103" s="1193">
        <v>44575</v>
      </c>
      <c r="I103" s="1194" t="s">
        <v>1478</v>
      </c>
      <c r="J103" s="1195" t="s">
        <v>1479</v>
      </c>
      <c r="K103" s="1176" t="s">
        <v>676</v>
      </c>
      <c r="L103" s="1178" t="s">
        <v>677</v>
      </c>
      <c r="M103" s="1196">
        <v>24150000</v>
      </c>
      <c r="N103" s="1197" t="s">
        <v>732</v>
      </c>
      <c r="O103" s="1197" t="s">
        <v>1480</v>
      </c>
    </row>
    <row r="104" spans="1:18" s="1159" customFormat="1" ht="60" x14ac:dyDescent="0.25">
      <c r="A104" s="1172">
        <v>2022098</v>
      </c>
      <c r="B104" s="1172">
        <v>7655</v>
      </c>
      <c r="C104" s="1172" t="s">
        <v>670</v>
      </c>
      <c r="D104" s="1190" t="s">
        <v>691</v>
      </c>
      <c r="E104" s="1172" t="s">
        <v>782</v>
      </c>
      <c r="F104" s="1192" t="s">
        <v>832</v>
      </c>
      <c r="G104" s="1193">
        <v>44575</v>
      </c>
      <c r="H104" s="1193">
        <v>44575</v>
      </c>
      <c r="I104" s="1194" t="s">
        <v>1478</v>
      </c>
      <c r="J104" s="1195" t="s">
        <v>1479</v>
      </c>
      <c r="K104" s="1176" t="s">
        <v>676</v>
      </c>
      <c r="L104" s="1178" t="s">
        <v>677</v>
      </c>
      <c r="M104" s="1196">
        <v>28175000</v>
      </c>
      <c r="N104" s="1197" t="s">
        <v>732</v>
      </c>
      <c r="O104" s="1197" t="s">
        <v>1480</v>
      </c>
    </row>
    <row r="105" spans="1:18" s="1159" customFormat="1" ht="60" x14ac:dyDescent="0.25">
      <c r="A105" s="1172">
        <v>2022099</v>
      </c>
      <c r="B105" s="1172">
        <v>7655</v>
      </c>
      <c r="C105" s="1172" t="s">
        <v>670</v>
      </c>
      <c r="D105" s="1190" t="s">
        <v>691</v>
      </c>
      <c r="E105" s="1172" t="s">
        <v>782</v>
      </c>
      <c r="F105" s="1192" t="s">
        <v>832</v>
      </c>
      <c r="G105" s="1193">
        <v>44575</v>
      </c>
      <c r="H105" s="1193">
        <v>44575</v>
      </c>
      <c r="I105" s="1194" t="s">
        <v>1478</v>
      </c>
      <c r="J105" s="1195" t="s">
        <v>1479</v>
      </c>
      <c r="K105" s="1176" t="s">
        <v>676</v>
      </c>
      <c r="L105" s="1178" t="s">
        <v>677</v>
      </c>
      <c r="M105" s="1196">
        <v>28175000</v>
      </c>
      <c r="N105" s="1197" t="s">
        <v>732</v>
      </c>
      <c r="O105" s="1197" t="s">
        <v>1480</v>
      </c>
    </row>
    <row r="106" spans="1:18" s="1159" customFormat="1" ht="75" x14ac:dyDescent="0.25">
      <c r="A106" s="1172">
        <v>2022100</v>
      </c>
      <c r="B106" s="1172">
        <v>7655</v>
      </c>
      <c r="C106" s="1172" t="s">
        <v>670</v>
      </c>
      <c r="D106" s="1190" t="s">
        <v>691</v>
      </c>
      <c r="E106" s="1191" t="s">
        <v>782</v>
      </c>
      <c r="F106" s="1192" t="s">
        <v>836</v>
      </c>
      <c r="G106" s="1193">
        <v>44575</v>
      </c>
      <c r="H106" s="1193">
        <v>44575</v>
      </c>
      <c r="I106" s="1194" t="s">
        <v>1478</v>
      </c>
      <c r="J106" s="1195" t="s">
        <v>1479</v>
      </c>
      <c r="K106" s="1176" t="s">
        <v>676</v>
      </c>
      <c r="L106" s="1178" t="s">
        <v>784</v>
      </c>
      <c r="M106" s="1196">
        <v>63250000</v>
      </c>
      <c r="N106" s="1197" t="s">
        <v>732</v>
      </c>
      <c r="O106" s="1197" t="s">
        <v>1480</v>
      </c>
    </row>
    <row r="107" spans="1:18" s="1159" customFormat="1" ht="75" x14ac:dyDescent="0.25">
      <c r="A107" s="1172">
        <v>2022101</v>
      </c>
      <c r="B107" s="1172">
        <v>7655</v>
      </c>
      <c r="C107" s="1172" t="s">
        <v>670</v>
      </c>
      <c r="D107" s="1190" t="s">
        <v>691</v>
      </c>
      <c r="E107" s="1191" t="s">
        <v>782</v>
      </c>
      <c r="F107" s="1192" t="s">
        <v>837</v>
      </c>
      <c r="G107" s="1193">
        <v>44575</v>
      </c>
      <c r="H107" s="1193">
        <v>44575</v>
      </c>
      <c r="I107" s="1194" t="s">
        <v>1478</v>
      </c>
      <c r="J107" s="1195" t="s">
        <v>1479</v>
      </c>
      <c r="K107" s="1176" t="s">
        <v>676</v>
      </c>
      <c r="L107" s="1178" t="s">
        <v>784</v>
      </c>
      <c r="M107" s="1196">
        <v>63250000</v>
      </c>
      <c r="N107" s="1197" t="s">
        <v>732</v>
      </c>
      <c r="O107" s="1197" t="s">
        <v>1480</v>
      </c>
    </row>
    <row r="108" spans="1:18" s="1159" customFormat="1" ht="60" x14ac:dyDescent="0.25">
      <c r="A108" s="1172">
        <v>2022102</v>
      </c>
      <c r="B108" s="1172">
        <v>7655</v>
      </c>
      <c r="C108" s="1172" t="s">
        <v>670</v>
      </c>
      <c r="D108" s="1190" t="s">
        <v>691</v>
      </c>
      <c r="E108" s="1191" t="s">
        <v>97</v>
      </c>
      <c r="F108" s="1201" t="s">
        <v>838</v>
      </c>
      <c r="G108" s="1193" t="s">
        <v>97</v>
      </c>
      <c r="H108" s="1193" t="s">
        <v>97</v>
      </c>
      <c r="I108" s="1193" t="s">
        <v>97</v>
      </c>
      <c r="J108" s="1195" t="s">
        <v>1479</v>
      </c>
      <c r="K108" s="1176" t="s">
        <v>676</v>
      </c>
      <c r="L108" s="1178" t="s">
        <v>677</v>
      </c>
      <c r="M108" s="1196">
        <v>138627500</v>
      </c>
      <c r="N108" s="1197" t="s">
        <v>732</v>
      </c>
      <c r="O108" s="1197" t="s">
        <v>1480</v>
      </c>
    </row>
    <row r="109" spans="1:18" s="1159" customFormat="1" ht="60" x14ac:dyDescent="0.25">
      <c r="A109" s="1172">
        <v>2022103</v>
      </c>
      <c r="B109" s="1172">
        <v>7655</v>
      </c>
      <c r="C109" s="1172" t="s">
        <v>670</v>
      </c>
      <c r="D109" s="1190" t="s">
        <v>691</v>
      </c>
      <c r="E109" s="1172" t="s">
        <v>782</v>
      </c>
      <c r="F109" s="1198" t="s">
        <v>839</v>
      </c>
      <c r="G109" s="1193">
        <v>44575</v>
      </c>
      <c r="H109" s="1193">
        <v>44575</v>
      </c>
      <c r="I109" s="1194" t="s">
        <v>1482</v>
      </c>
      <c r="J109" s="1195" t="s">
        <v>1479</v>
      </c>
      <c r="K109" s="1176" t="s">
        <v>676</v>
      </c>
      <c r="L109" s="1178" t="s">
        <v>677</v>
      </c>
      <c r="M109" s="1179">
        <v>31500000</v>
      </c>
      <c r="N109" s="1197" t="s">
        <v>732</v>
      </c>
      <c r="O109" s="1197" t="s">
        <v>1480</v>
      </c>
    </row>
    <row r="110" spans="1:18" s="1159" customFormat="1" ht="60" x14ac:dyDescent="0.25">
      <c r="A110" s="1172">
        <v>2022104</v>
      </c>
      <c r="B110" s="1172">
        <v>7655</v>
      </c>
      <c r="C110" s="1172" t="s">
        <v>670</v>
      </c>
      <c r="D110" s="1190" t="s">
        <v>691</v>
      </c>
      <c r="E110" s="1172" t="s">
        <v>782</v>
      </c>
      <c r="F110" s="1198" t="s">
        <v>840</v>
      </c>
      <c r="G110" s="1193">
        <v>44575</v>
      </c>
      <c r="H110" s="1193">
        <v>44575</v>
      </c>
      <c r="I110" s="1194" t="s">
        <v>1478</v>
      </c>
      <c r="J110" s="1195" t="s">
        <v>1479</v>
      </c>
      <c r="K110" s="1176" t="s">
        <v>676</v>
      </c>
      <c r="L110" s="1178" t="s">
        <v>677</v>
      </c>
      <c r="M110" s="1179">
        <v>38525000</v>
      </c>
      <c r="N110" s="1197" t="s">
        <v>732</v>
      </c>
      <c r="O110" s="1197" t="s">
        <v>1480</v>
      </c>
    </row>
    <row r="111" spans="1:18" s="1159" customFormat="1" ht="60" x14ac:dyDescent="0.25">
      <c r="A111" s="1172">
        <v>2022105</v>
      </c>
      <c r="B111" s="1172">
        <v>7655</v>
      </c>
      <c r="C111" s="1172" t="s">
        <v>670</v>
      </c>
      <c r="D111" s="1190" t="s">
        <v>691</v>
      </c>
      <c r="E111" s="1172" t="s">
        <v>782</v>
      </c>
      <c r="F111" s="1198" t="s">
        <v>840</v>
      </c>
      <c r="G111" s="1193">
        <v>44575</v>
      </c>
      <c r="H111" s="1193">
        <v>44575</v>
      </c>
      <c r="I111" s="1194" t="s">
        <v>1478</v>
      </c>
      <c r="J111" s="1195" t="s">
        <v>1479</v>
      </c>
      <c r="K111" s="1176" t="s">
        <v>676</v>
      </c>
      <c r="L111" s="1178" t="s">
        <v>677</v>
      </c>
      <c r="M111" s="1179">
        <v>28175000</v>
      </c>
      <c r="N111" s="1197" t="s">
        <v>732</v>
      </c>
      <c r="O111" s="1197" t="s">
        <v>1480</v>
      </c>
    </row>
    <row r="112" spans="1:18" s="1159" customFormat="1" ht="60" x14ac:dyDescent="0.25">
      <c r="A112" s="1172">
        <v>2022106</v>
      </c>
      <c r="B112" s="1172">
        <v>7655</v>
      </c>
      <c r="C112" s="1172" t="s">
        <v>670</v>
      </c>
      <c r="D112" s="1190" t="s">
        <v>691</v>
      </c>
      <c r="E112" s="1172" t="s">
        <v>782</v>
      </c>
      <c r="F112" s="1198" t="s">
        <v>841</v>
      </c>
      <c r="G112" s="1193">
        <v>44575</v>
      </c>
      <c r="H112" s="1193">
        <v>44575</v>
      </c>
      <c r="I112" s="1194" t="s">
        <v>1478</v>
      </c>
      <c r="J112" s="1195" t="s">
        <v>1479</v>
      </c>
      <c r="K112" s="1176" t="s">
        <v>676</v>
      </c>
      <c r="L112" s="1178" t="s">
        <v>677</v>
      </c>
      <c r="M112" s="1179">
        <v>44275000</v>
      </c>
      <c r="N112" s="1197" t="s">
        <v>732</v>
      </c>
      <c r="O112" s="1197" t="s">
        <v>1480</v>
      </c>
    </row>
    <row r="113" spans="1:15" s="1159" customFormat="1" ht="75" x14ac:dyDescent="0.25">
      <c r="A113" s="1172">
        <v>2022107</v>
      </c>
      <c r="B113" s="1172">
        <v>7655</v>
      </c>
      <c r="C113" s="1172" t="s">
        <v>670</v>
      </c>
      <c r="D113" s="1190" t="s">
        <v>691</v>
      </c>
      <c r="E113" s="1172" t="s">
        <v>782</v>
      </c>
      <c r="F113" s="1192" t="s">
        <v>842</v>
      </c>
      <c r="G113" s="1193">
        <v>44575</v>
      </c>
      <c r="H113" s="1193">
        <v>44575</v>
      </c>
      <c r="I113" s="1194" t="s">
        <v>1482</v>
      </c>
      <c r="J113" s="1195" t="s">
        <v>1479</v>
      </c>
      <c r="K113" s="1176" t="s">
        <v>676</v>
      </c>
      <c r="L113" s="1178" t="s">
        <v>677</v>
      </c>
      <c r="M113" s="1179">
        <v>31500000</v>
      </c>
      <c r="N113" s="1197" t="s">
        <v>732</v>
      </c>
      <c r="O113" s="1197" t="s">
        <v>1480</v>
      </c>
    </row>
    <row r="114" spans="1:15" s="1159" customFormat="1" ht="60" x14ac:dyDescent="0.25">
      <c r="A114" s="1172">
        <v>2022108</v>
      </c>
      <c r="B114" s="1172">
        <v>7655</v>
      </c>
      <c r="C114" s="1172" t="s">
        <v>670</v>
      </c>
      <c r="D114" s="1190" t="s">
        <v>691</v>
      </c>
      <c r="E114" s="1191" t="s">
        <v>782</v>
      </c>
      <c r="F114" s="1198" t="s">
        <v>843</v>
      </c>
      <c r="G114" s="1193">
        <v>44575</v>
      </c>
      <c r="H114" s="1193">
        <v>44575</v>
      </c>
      <c r="I114" s="1194" t="s">
        <v>1485</v>
      </c>
      <c r="J114" s="1195" t="s">
        <v>1479</v>
      </c>
      <c r="K114" s="1176" t="s">
        <v>676</v>
      </c>
      <c r="L114" s="1178" t="s">
        <v>677</v>
      </c>
      <c r="M114" s="1196">
        <v>29400000</v>
      </c>
      <c r="N114" s="1197" t="s">
        <v>732</v>
      </c>
      <c r="O114" s="1197" t="s">
        <v>1480</v>
      </c>
    </row>
    <row r="115" spans="1:15" s="1159" customFormat="1" ht="60" x14ac:dyDescent="0.25">
      <c r="A115" s="1172">
        <v>2022109</v>
      </c>
      <c r="B115" s="1172">
        <v>7655</v>
      </c>
      <c r="C115" s="1172" t="s">
        <v>670</v>
      </c>
      <c r="D115" s="1190" t="s">
        <v>691</v>
      </c>
      <c r="E115" s="1191" t="s">
        <v>782</v>
      </c>
      <c r="F115" s="1198" t="s">
        <v>844</v>
      </c>
      <c r="G115" s="1193">
        <v>44575</v>
      </c>
      <c r="H115" s="1193">
        <v>44575</v>
      </c>
      <c r="I115" s="1194" t="s">
        <v>1485</v>
      </c>
      <c r="J115" s="1195" t="s">
        <v>1479</v>
      </c>
      <c r="K115" s="1176" t="s">
        <v>676</v>
      </c>
      <c r="L115" s="1178" t="s">
        <v>677</v>
      </c>
      <c r="M115" s="1196">
        <v>84000000</v>
      </c>
      <c r="N115" s="1197" t="s">
        <v>732</v>
      </c>
      <c r="O115" s="1197" t="s">
        <v>1480</v>
      </c>
    </row>
    <row r="116" spans="1:15" s="1159" customFormat="1" ht="60" x14ac:dyDescent="0.25">
      <c r="A116" s="1172">
        <v>2022110</v>
      </c>
      <c r="B116" s="1172">
        <v>7655</v>
      </c>
      <c r="C116" s="1172" t="s">
        <v>670</v>
      </c>
      <c r="D116" s="1190" t="s">
        <v>691</v>
      </c>
      <c r="E116" s="1191" t="s">
        <v>782</v>
      </c>
      <c r="F116" s="1198" t="s">
        <v>845</v>
      </c>
      <c r="G116" s="1193">
        <v>44575</v>
      </c>
      <c r="H116" s="1193">
        <v>44575</v>
      </c>
      <c r="I116" s="1194" t="s">
        <v>1485</v>
      </c>
      <c r="J116" s="1195" t="s">
        <v>1479</v>
      </c>
      <c r="K116" s="1176" t="s">
        <v>676</v>
      </c>
      <c r="L116" s="1178" t="s">
        <v>677</v>
      </c>
      <c r="M116" s="1196">
        <v>40200000</v>
      </c>
      <c r="N116" s="1197" t="s">
        <v>732</v>
      </c>
      <c r="O116" s="1197" t="s">
        <v>1480</v>
      </c>
    </row>
    <row r="117" spans="1:15" s="1159" customFormat="1" ht="60" x14ac:dyDescent="0.25">
      <c r="A117" s="1172">
        <v>2022111</v>
      </c>
      <c r="B117" s="1172">
        <v>7655</v>
      </c>
      <c r="C117" s="1172" t="s">
        <v>670</v>
      </c>
      <c r="D117" s="1190" t="s">
        <v>691</v>
      </c>
      <c r="E117" s="1191" t="s">
        <v>782</v>
      </c>
      <c r="F117" s="1198" t="s">
        <v>843</v>
      </c>
      <c r="G117" s="1193">
        <v>44575</v>
      </c>
      <c r="H117" s="1193">
        <v>44575</v>
      </c>
      <c r="I117" s="1194" t="s">
        <v>1485</v>
      </c>
      <c r="J117" s="1195" t="s">
        <v>1479</v>
      </c>
      <c r="K117" s="1176" t="s">
        <v>676</v>
      </c>
      <c r="L117" s="1178" t="s">
        <v>677</v>
      </c>
      <c r="M117" s="1196">
        <v>29400000</v>
      </c>
      <c r="N117" s="1197" t="s">
        <v>732</v>
      </c>
      <c r="O117" s="1197" t="s">
        <v>1480</v>
      </c>
    </row>
    <row r="118" spans="1:15" s="1159" customFormat="1" ht="60" x14ac:dyDescent="0.25">
      <c r="A118" s="1172">
        <v>2022112</v>
      </c>
      <c r="B118" s="1172">
        <v>7655</v>
      </c>
      <c r="C118" s="1172" t="s">
        <v>670</v>
      </c>
      <c r="D118" s="1190" t="s">
        <v>691</v>
      </c>
      <c r="E118" s="1191" t="s">
        <v>782</v>
      </c>
      <c r="F118" s="1198" t="s">
        <v>846</v>
      </c>
      <c r="G118" s="1193">
        <v>44575</v>
      </c>
      <c r="H118" s="1193">
        <v>44575</v>
      </c>
      <c r="I118" s="1194" t="s">
        <v>1485</v>
      </c>
      <c r="J118" s="1195" t="s">
        <v>1479</v>
      </c>
      <c r="K118" s="1176" t="s">
        <v>676</v>
      </c>
      <c r="L118" s="1178" t="s">
        <v>677</v>
      </c>
      <c r="M118" s="1196">
        <v>29400000</v>
      </c>
      <c r="N118" s="1197" t="s">
        <v>732</v>
      </c>
      <c r="O118" s="1197" t="s">
        <v>1480</v>
      </c>
    </row>
    <row r="119" spans="1:15" s="1159" customFormat="1" ht="60" x14ac:dyDescent="0.25">
      <c r="A119" s="1172">
        <v>2022113</v>
      </c>
      <c r="B119" s="1172">
        <v>7655</v>
      </c>
      <c r="C119" s="1172" t="s">
        <v>670</v>
      </c>
      <c r="D119" s="1190" t="s">
        <v>691</v>
      </c>
      <c r="E119" s="1191" t="s">
        <v>782</v>
      </c>
      <c r="F119" s="1198" t="s">
        <v>846</v>
      </c>
      <c r="G119" s="1193">
        <v>44575</v>
      </c>
      <c r="H119" s="1193">
        <v>44575</v>
      </c>
      <c r="I119" s="1194" t="s">
        <v>1485</v>
      </c>
      <c r="J119" s="1195" t="s">
        <v>1479</v>
      </c>
      <c r="K119" s="1176" t="s">
        <v>676</v>
      </c>
      <c r="L119" s="1178" t="s">
        <v>677</v>
      </c>
      <c r="M119" s="1196">
        <v>29400000</v>
      </c>
      <c r="N119" s="1197" t="s">
        <v>732</v>
      </c>
      <c r="O119" s="1197" t="s">
        <v>1480</v>
      </c>
    </row>
    <row r="120" spans="1:15" s="1159" customFormat="1" ht="60" x14ac:dyDescent="0.25">
      <c r="A120" s="1172">
        <v>2022114</v>
      </c>
      <c r="B120" s="1172">
        <v>7655</v>
      </c>
      <c r="C120" s="1172" t="s">
        <v>670</v>
      </c>
      <c r="D120" s="1190" t="s">
        <v>691</v>
      </c>
      <c r="E120" s="1191" t="s">
        <v>782</v>
      </c>
      <c r="F120" s="1198" t="s">
        <v>847</v>
      </c>
      <c r="G120" s="1193">
        <v>44575</v>
      </c>
      <c r="H120" s="1193">
        <v>44575</v>
      </c>
      <c r="I120" s="1194" t="s">
        <v>1485</v>
      </c>
      <c r="J120" s="1195" t="s">
        <v>1479</v>
      </c>
      <c r="K120" s="1176" t="s">
        <v>676</v>
      </c>
      <c r="L120" s="1178" t="s">
        <v>677</v>
      </c>
      <c r="M120" s="1196">
        <v>29400000</v>
      </c>
      <c r="N120" s="1197" t="s">
        <v>732</v>
      </c>
      <c r="O120" s="1197" t="s">
        <v>1480</v>
      </c>
    </row>
    <row r="121" spans="1:15" s="1159" customFormat="1" ht="60" x14ac:dyDescent="0.25">
      <c r="A121" s="1172">
        <v>2022115</v>
      </c>
      <c r="B121" s="1172">
        <v>7655</v>
      </c>
      <c r="C121" s="1172" t="s">
        <v>670</v>
      </c>
      <c r="D121" s="1190" t="s">
        <v>691</v>
      </c>
      <c r="E121" s="1191" t="s">
        <v>782</v>
      </c>
      <c r="F121" s="1198" t="s">
        <v>846</v>
      </c>
      <c r="G121" s="1193">
        <v>44575</v>
      </c>
      <c r="H121" s="1193">
        <v>44575</v>
      </c>
      <c r="I121" s="1194" t="s">
        <v>1485</v>
      </c>
      <c r="J121" s="1195" t="s">
        <v>1479</v>
      </c>
      <c r="K121" s="1176" t="s">
        <v>676</v>
      </c>
      <c r="L121" s="1178" t="s">
        <v>677</v>
      </c>
      <c r="M121" s="1196">
        <v>29400000</v>
      </c>
      <c r="N121" s="1197" t="s">
        <v>732</v>
      </c>
      <c r="O121" s="1197" t="s">
        <v>1480</v>
      </c>
    </row>
    <row r="122" spans="1:15" s="1159" customFormat="1" ht="60" x14ac:dyDescent="0.25">
      <c r="A122" s="1172">
        <v>2022116</v>
      </c>
      <c r="B122" s="1172">
        <v>7655</v>
      </c>
      <c r="C122" s="1172" t="s">
        <v>670</v>
      </c>
      <c r="D122" s="1190" t="s">
        <v>691</v>
      </c>
      <c r="E122" s="1191" t="s">
        <v>782</v>
      </c>
      <c r="F122" s="1198" t="s">
        <v>846</v>
      </c>
      <c r="G122" s="1193">
        <v>44575</v>
      </c>
      <c r="H122" s="1193">
        <v>44575</v>
      </c>
      <c r="I122" s="1194" t="s">
        <v>1485</v>
      </c>
      <c r="J122" s="1195" t="s">
        <v>1479</v>
      </c>
      <c r="K122" s="1176" t="s">
        <v>676</v>
      </c>
      <c r="L122" s="1178" t="s">
        <v>677</v>
      </c>
      <c r="M122" s="1196">
        <v>29400000</v>
      </c>
      <c r="N122" s="1197" t="s">
        <v>732</v>
      </c>
      <c r="O122" s="1197" t="s">
        <v>1480</v>
      </c>
    </row>
    <row r="123" spans="1:15" s="1159" customFormat="1" ht="60" x14ac:dyDescent="0.25">
      <c r="A123" s="1172">
        <v>2022117</v>
      </c>
      <c r="B123" s="1172">
        <v>7655</v>
      </c>
      <c r="C123" s="1172" t="s">
        <v>670</v>
      </c>
      <c r="D123" s="1190" t="s">
        <v>691</v>
      </c>
      <c r="E123" s="1191" t="s">
        <v>782</v>
      </c>
      <c r="F123" s="1198" t="s">
        <v>846</v>
      </c>
      <c r="G123" s="1193">
        <v>44575</v>
      </c>
      <c r="H123" s="1193">
        <v>44575</v>
      </c>
      <c r="I123" s="1194" t="s">
        <v>1485</v>
      </c>
      <c r="J123" s="1195" t="s">
        <v>1479</v>
      </c>
      <c r="K123" s="1176" t="s">
        <v>676</v>
      </c>
      <c r="L123" s="1178" t="s">
        <v>677</v>
      </c>
      <c r="M123" s="1196">
        <v>29400000</v>
      </c>
      <c r="N123" s="1197" t="s">
        <v>732</v>
      </c>
      <c r="O123" s="1197" t="s">
        <v>1480</v>
      </c>
    </row>
    <row r="124" spans="1:15" s="1159" customFormat="1" ht="60" x14ac:dyDescent="0.25">
      <c r="A124" s="1172">
        <v>2022118</v>
      </c>
      <c r="B124" s="1172">
        <v>7655</v>
      </c>
      <c r="C124" s="1172" t="s">
        <v>670</v>
      </c>
      <c r="D124" s="1190" t="s">
        <v>691</v>
      </c>
      <c r="E124" s="1191" t="s">
        <v>782</v>
      </c>
      <c r="F124" s="1198" t="s">
        <v>846</v>
      </c>
      <c r="G124" s="1193">
        <v>44575</v>
      </c>
      <c r="H124" s="1193">
        <v>44575</v>
      </c>
      <c r="I124" s="1194" t="s">
        <v>1485</v>
      </c>
      <c r="J124" s="1195" t="s">
        <v>1479</v>
      </c>
      <c r="K124" s="1176" t="s">
        <v>676</v>
      </c>
      <c r="L124" s="1178" t="s">
        <v>677</v>
      </c>
      <c r="M124" s="1196">
        <v>29400000</v>
      </c>
      <c r="N124" s="1197" t="s">
        <v>732</v>
      </c>
      <c r="O124" s="1197" t="s">
        <v>1480</v>
      </c>
    </row>
    <row r="125" spans="1:15" s="1159" customFormat="1" ht="60" x14ac:dyDescent="0.25">
      <c r="A125" s="1172">
        <v>2022119</v>
      </c>
      <c r="B125" s="1172">
        <v>7655</v>
      </c>
      <c r="C125" s="1172" t="s">
        <v>670</v>
      </c>
      <c r="D125" s="1190" t="s">
        <v>691</v>
      </c>
      <c r="E125" s="1191" t="s">
        <v>782</v>
      </c>
      <c r="F125" s="1198" t="s">
        <v>846</v>
      </c>
      <c r="G125" s="1193">
        <v>44575</v>
      </c>
      <c r="H125" s="1193">
        <v>44575</v>
      </c>
      <c r="I125" s="1194" t="s">
        <v>1485</v>
      </c>
      <c r="J125" s="1195" t="s">
        <v>1479</v>
      </c>
      <c r="K125" s="1176" t="s">
        <v>676</v>
      </c>
      <c r="L125" s="1178" t="s">
        <v>677</v>
      </c>
      <c r="M125" s="1196">
        <v>29400000</v>
      </c>
      <c r="N125" s="1197" t="s">
        <v>732</v>
      </c>
      <c r="O125" s="1197" t="s">
        <v>1480</v>
      </c>
    </row>
    <row r="126" spans="1:15" s="1159" customFormat="1" ht="60" x14ac:dyDescent="0.25">
      <c r="A126" s="1172">
        <v>2022120</v>
      </c>
      <c r="B126" s="1172">
        <v>7655</v>
      </c>
      <c r="C126" s="1172" t="s">
        <v>670</v>
      </c>
      <c r="D126" s="1190" t="s">
        <v>691</v>
      </c>
      <c r="E126" s="1191" t="s">
        <v>782</v>
      </c>
      <c r="F126" s="1198" t="s">
        <v>843</v>
      </c>
      <c r="G126" s="1193">
        <v>44575</v>
      </c>
      <c r="H126" s="1193">
        <v>44575</v>
      </c>
      <c r="I126" s="1194" t="s">
        <v>1485</v>
      </c>
      <c r="J126" s="1195" t="s">
        <v>1479</v>
      </c>
      <c r="K126" s="1176" t="s">
        <v>676</v>
      </c>
      <c r="L126" s="1178" t="s">
        <v>677</v>
      </c>
      <c r="M126" s="1196">
        <v>29400000</v>
      </c>
      <c r="N126" s="1197" t="s">
        <v>732</v>
      </c>
      <c r="O126" s="1197" t="s">
        <v>1480</v>
      </c>
    </row>
    <row r="127" spans="1:15" s="1159" customFormat="1" ht="60" x14ac:dyDescent="0.25">
      <c r="A127" s="1172">
        <v>2022121</v>
      </c>
      <c r="B127" s="1172">
        <v>7655</v>
      </c>
      <c r="C127" s="1172" t="s">
        <v>670</v>
      </c>
      <c r="D127" s="1190" t="s">
        <v>691</v>
      </c>
      <c r="E127" s="1191" t="s">
        <v>782</v>
      </c>
      <c r="F127" s="1198" t="s">
        <v>843</v>
      </c>
      <c r="G127" s="1193">
        <v>44575</v>
      </c>
      <c r="H127" s="1193">
        <v>44575</v>
      </c>
      <c r="I127" s="1194" t="s">
        <v>1485</v>
      </c>
      <c r="J127" s="1195" t="s">
        <v>1479</v>
      </c>
      <c r="K127" s="1176" t="s">
        <v>676</v>
      </c>
      <c r="L127" s="1178" t="s">
        <v>677</v>
      </c>
      <c r="M127" s="1196">
        <v>29400000</v>
      </c>
      <c r="N127" s="1197" t="s">
        <v>732</v>
      </c>
      <c r="O127" s="1197" t="s">
        <v>1480</v>
      </c>
    </row>
    <row r="128" spans="1:15" s="1159" customFormat="1" ht="60" x14ac:dyDescent="0.25">
      <c r="A128" s="1172">
        <v>2022122</v>
      </c>
      <c r="B128" s="1172">
        <v>7655</v>
      </c>
      <c r="C128" s="1172" t="s">
        <v>670</v>
      </c>
      <c r="D128" s="1190" t="s">
        <v>691</v>
      </c>
      <c r="E128" s="1191" t="s">
        <v>782</v>
      </c>
      <c r="F128" s="1198" t="s">
        <v>843</v>
      </c>
      <c r="G128" s="1193">
        <v>44575</v>
      </c>
      <c r="H128" s="1193">
        <v>44575</v>
      </c>
      <c r="I128" s="1194" t="s">
        <v>1485</v>
      </c>
      <c r="J128" s="1195" t="s">
        <v>1479</v>
      </c>
      <c r="K128" s="1176" t="s">
        <v>676</v>
      </c>
      <c r="L128" s="1178" t="s">
        <v>677</v>
      </c>
      <c r="M128" s="1196">
        <v>29400000</v>
      </c>
      <c r="N128" s="1197" t="s">
        <v>732</v>
      </c>
      <c r="O128" s="1197" t="s">
        <v>1480</v>
      </c>
    </row>
    <row r="129" spans="1:15" s="1159" customFormat="1" ht="60" x14ac:dyDescent="0.25">
      <c r="A129" s="1172">
        <v>2022123</v>
      </c>
      <c r="B129" s="1172">
        <v>7655</v>
      </c>
      <c r="C129" s="1172" t="s">
        <v>670</v>
      </c>
      <c r="D129" s="1190" t="s">
        <v>691</v>
      </c>
      <c r="E129" s="1191" t="s">
        <v>782</v>
      </c>
      <c r="F129" s="1198" t="s">
        <v>843</v>
      </c>
      <c r="G129" s="1193">
        <v>44575</v>
      </c>
      <c r="H129" s="1193">
        <v>44575</v>
      </c>
      <c r="I129" s="1194" t="s">
        <v>1485</v>
      </c>
      <c r="J129" s="1195" t="s">
        <v>1479</v>
      </c>
      <c r="K129" s="1176" t="s">
        <v>676</v>
      </c>
      <c r="L129" s="1178" t="s">
        <v>677</v>
      </c>
      <c r="M129" s="1196">
        <v>29400000</v>
      </c>
      <c r="N129" s="1197" t="s">
        <v>732</v>
      </c>
      <c r="O129" s="1197" t="s">
        <v>1480</v>
      </c>
    </row>
    <row r="130" spans="1:15" s="1159" customFormat="1" ht="60" x14ac:dyDescent="0.25">
      <c r="A130" s="1172">
        <v>2022124</v>
      </c>
      <c r="B130" s="1172">
        <v>7655</v>
      </c>
      <c r="C130" s="1172" t="s">
        <v>670</v>
      </c>
      <c r="D130" s="1190" t="s">
        <v>691</v>
      </c>
      <c r="E130" s="1191" t="s">
        <v>782</v>
      </c>
      <c r="F130" s="1192" t="s">
        <v>846</v>
      </c>
      <c r="G130" s="1193">
        <v>44575</v>
      </c>
      <c r="H130" s="1193">
        <v>44575</v>
      </c>
      <c r="I130" s="1194" t="s">
        <v>1485</v>
      </c>
      <c r="J130" s="1195" t="s">
        <v>1479</v>
      </c>
      <c r="K130" s="1176" t="s">
        <v>676</v>
      </c>
      <c r="L130" s="1178" t="s">
        <v>677</v>
      </c>
      <c r="M130" s="1196">
        <v>29400000</v>
      </c>
      <c r="N130" s="1197" t="s">
        <v>732</v>
      </c>
      <c r="O130" s="1197" t="s">
        <v>1480</v>
      </c>
    </row>
    <row r="131" spans="1:15" s="1159" customFormat="1" ht="60" x14ac:dyDescent="0.25">
      <c r="A131" s="1172">
        <v>2022125</v>
      </c>
      <c r="B131" s="1172">
        <v>7655</v>
      </c>
      <c r="C131" s="1172" t="s">
        <v>670</v>
      </c>
      <c r="D131" s="1190" t="s">
        <v>691</v>
      </c>
      <c r="E131" s="1191" t="s">
        <v>782</v>
      </c>
      <c r="F131" s="1192" t="s">
        <v>843</v>
      </c>
      <c r="G131" s="1193">
        <v>44575</v>
      </c>
      <c r="H131" s="1193">
        <v>44575</v>
      </c>
      <c r="I131" s="1194" t="s">
        <v>1485</v>
      </c>
      <c r="J131" s="1195" t="s">
        <v>1479</v>
      </c>
      <c r="K131" s="1176" t="s">
        <v>676</v>
      </c>
      <c r="L131" s="1178" t="s">
        <v>677</v>
      </c>
      <c r="M131" s="1196">
        <v>29400000</v>
      </c>
      <c r="N131" s="1197" t="s">
        <v>732</v>
      </c>
      <c r="O131" s="1197" t="s">
        <v>1480</v>
      </c>
    </row>
    <row r="132" spans="1:15" s="1159" customFormat="1" ht="60" x14ac:dyDescent="0.25">
      <c r="A132" s="1172">
        <v>2022126</v>
      </c>
      <c r="B132" s="1172">
        <v>7655</v>
      </c>
      <c r="C132" s="1172" t="s">
        <v>670</v>
      </c>
      <c r="D132" s="1190" t="s">
        <v>691</v>
      </c>
      <c r="E132" s="1191" t="s">
        <v>782</v>
      </c>
      <c r="F132" s="1192" t="s">
        <v>846</v>
      </c>
      <c r="G132" s="1193">
        <v>44575</v>
      </c>
      <c r="H132" s="1193">
        <v>44575</v>
      </c>
      <c r="I132" s="1194" t="s">
        <v>1485</v>
      </c>
      <c r="J132" s="1195" t="s">
        <v>1479</v>
      </c>
      <c r="K132" s="1176" t="s">
        <v>676</v>
      </c>
      <c r="L132" s="1178" t="s">
        <v>677</v>
      </c>
      <c r="M132" s="1196">
        <v>29400000</v>
      </c>
      <c r="N132" s="1197" t="s">
        <v>732</v>
      </c>
      <c r="O132" s="1197" t="s">
        <v>1480</v>
      </c>
    </row>
    <row r="133" spans="1:15" s="1159" customFormat="1" ht="60" x14ac:dyDescent="0.25">
      <c r="A133" s="1172">
        <v>2022127</v>
      </c>
      <c r="B133" s="1172">
        <v>7655</v>
      </c>
      <c r="C133" s="1172" t="s">
        <v>670</v>
      </c>
      <c r="D133" s="1190" t="s">
        <v>691</v>
      </c>
      <c r="E133" s="1191" t="s">
        <v>782</v>
      </c>
      <c r="F133" s="1192" t="s">
        <v>843</v>
      </c>
      <c r="G133" s="1193">
        <v>44575</v>
      </c>
      <c r="H133" s="1193">
        <v>44575</v>
      </c>
      <c r="I133" s="1194" t="s">
        <v>1485</v>
      </c>
      <c r="J133" s="1195" t="s">
        <v>1479</v>
      </c>
      <c r="K133" s="1176" t="s">
        <v>676</v>
      </c>
      <c r="L133" s="1178" t="s">
        <v>677</v>
      </c>
      <c r="M133" s="1196">
        <v>29400000</v>
      </c>
      <c r="N133" s="1197" t="s">
        <v>732</v>
      </c>
      <c r="O133" s="1197" t="s">
        <v>1480</v>
      </c>
    </row>
    <row r="134" spans="1:15" s="1159" customFormat="1" ht="60" x14ac:dyDescent="0.25">
      <c r="A134" s="1172">
        <v>2022128</v>
      </c>
      <c r="B134" s="1172">
        <v>7655</v>
      </c>
      <c r="C134" s="1172" t="s">
        <v>670</v>
      </c>
      <c r="D134" s="1190" t="s">
        <v>691</v>
      </c>
      <c r="E134" s="1191" t="s">
        <v>782</v>
      </c>
      <c r="F134" s="1192" t="s">
        <v>843</v>
      </c>
      <c r="G134" s="1193">
        <v>44575</v>
      </c>
      <c r="H134" s="1193">
        <v>44575</v>
      </c>
      <c r="I134" s="1194" t="s">
        <v>1485</v>
      </c>
      <c r="J134" s="1195" t="s">
        <v>1479</v>
      </c>
      <c r="K134" s="1176" t="s">
        <v>676</v>
      </c>
      <c r="L134" s="1178" t="s">
        <v>677</v>
      </c>
      <c r="M134" s="1196">
        <v>29400000</v>
      </c>
      <c r="N134" s="1197" t="s">
        <v>732</v>
      </c>
      <c r="O134" s="1197" t="s">
        <v>1480</v>
      </c>
    </row>
    <row r="135" spans="1:15" s="1159" customFormat="1" ht="60" x14ac:dyDescent="0.25">
      <c r="A135" s="1172">
        <v>2022129</v>
      </c>
      <c r="B135" s="1172">
        <v>7655</v>
      </c>
      <c r="C135" s="1172" t="s">
        <v>670</v>
      </c>
      <c r="D135" s="1190" t="s">
        <v>691</v>
      </c>
      <c r="E135" s="1191" t="s">
        <v>782</v>
      </c>
      <c r="F135" s="1192" t="s">
        <v>843</v>
      </c>
      <c r="G135" s="1193">
        <v>44575</v>
      </c>
      <c r="H135" s="1193">
        <v>44575</v>
      </c>
      <c r="I135" s="1194" t="s">
        <v>1485</v>
      </c>
      <c r="J135" s="1195" t="s">
        <v>1479</v>
      </c>
      <c r="K135" s="1176" t="s">
        <v>676</v>
      </c>
      <c r="L135" s="1178" t="s">
        <v>677</v>
      </c>
      <c r="M135" s="1196">
        <v>29400000</v>
      </c>
      <c r="N135" s="1197" t="s">
        <v>732</v>
      </c>
      <c r="O135" s="1197" t="s">
        <v>1480</v>
      </c>
    </row>
    <row r="136" spans="1:15" s="1159" customFormat="1" ht="60" x14ac:dyDescent="0.25">
      <c r="A136" s="1172">
        <v>2022130</v>
      </c>
      <c r="B136" s="1172">
        <v>7655</v>
      </c>
      <c r="C136" s="1172" t="s">
        <v>670</v>
      </c>
      <c r="D136" s="1190" t="s">
        <v>691</v>
      </c>
      <c r="E136" s="1191" t="s">
        <v>782</v>
      </c>
      <c r="F136" s="1192" t="s">
        <v>843</v>
      </c>
      <c r="G136" s="1193">
        <v>44575</v>
      </c>
      <c r="H136" s="1193">
        <v>44575</v>
      </c>
      <c r="I136" s="1194" t="s">
        <v>1485</v>
      </c>
      <c r="J136" s="1195" t="s">
        <v>1479</v>
      </c>
      <c r="K136" s="1176" t="s">
        <v>676</v>
      </c>
      <c r="L136" s="1178" t="s">
        <v>677</v>
      </c>
      <c r="M136" s="1196">
        <v>29400000</v>
      </c>
      <c r="N136" s="1197" t="s">
        <v>732</v>
      </c>
      <c r="O136" s="1197" t="s">
        <v>1480</v>
      </c>
    </row>
    <row r="137" spans="1:15" s="1159" customFormat="1" ht="60" x14ac:dyDescent="0.25">
      <c r="A137" s="1172">
        <v>2022131</v>
      </c>
      <c r="B137" s="1172">
        <v>7655</v>
      </c>
      <c r="C137" s="1172" t="s">
        <v>670</v>
      </c>
      <c r="D137" s="1190" t="s">
        <v>691</v>
      </c>
      <c r="E137" s="1191" t="s">
        <v>782</v>
      </c>
      <c r="F137" s="1192" t="s">
        <v>843</v>
      </c>
      <c r="G137" s="1193">
        <v>44575</v>
      </c>
      <c r="H137" s="1193">
        <v>44575</v>
      </c>
      <c r="I137" s="1194" t="s">
        <v>1485</v>
      </c>
      <c r="J137" s="1195" t="s">
        <v>1479</v>
      </c>
      <c r="K137" s="1176" t="s">
        <v>676</v>
      </c>
      <c r="L137" s="1178" t="s">
        <v>677</v>
      </c>
      <c r="M137" s="1196">
        <v>29400000</v>
      </c>
      <c r="N137" s="1197" t="s">
        <v>732</v>
      </c>
      <c r="O137" s="1197" t="s">
        <v>1480</v>
      </c>
    </row>
    <row r="138" spans="1:15" s="1159" customFormat="1" ht="60" x14ac:dyDescent="0.25">
      <c r="A138" s="1172">
        <v>2022132</v>
      </c>
      <c r="B138" s="1172">
        <v>7655</v>
      </c>
      <c r="C138" s="1172" t="s">
        <v>670</v>
      </c>
      <c r="D138" s="1190" t="s">
        <v>691</v>
      </c>
      <c r="E138" s="1172" t="s">
        <v>782</v>
      </c>
      <c r="F138" s="1192" t="s">
        <v>848</v>
      </c>
      <c r="G138" s="1193">
        <v>44575</v>
      </c>
      <c r="H138" s="1193">
        <v>44575</v>
      </c>
      <c r="I138" s="1194" t="s">
        <v>1485</v>
      </c>
      <c r="J138" s="1195" t="s">
        <v>1479</v>
      </c>
      <c r="K138" s="1176" t="s">
        <v>676</v>
      </c>
      <c r="L138" s="1178" t="s">
        <v>677</v>
      </c>
      <c r="M138" s="1196">
        <v>87600000</v>
      </c>
      <c r="N138" s="1197" t="s">
        <v>732</v>
      </c>
      <c r="O138" s="1197" t="s">
        <v>1480</v>
      </c>
    </row>
    <row r="139" spans="1:15" s="1159" customFormat="1" ht="75" x14ac:dyDescent="0.25">
      <c r="A139" s="1172">
        <v>2022133</v>
      </c>
      <c r="B139" s="1172">
        <v>7655</v>
      </c>
      <c r="C139" s="1172" t="s">
        <v>670</v>
      </c>
      <c r="D139" s="1190" t="s">
        <v>691</v>
      </c>
      <c r="E139" s="1191" t="s">
        <v>782</v>
      </c>
      <c r="F139" s="1192" t="s">
        <v>849</v>
      </c>
      <c r="G139" s="1193">
        <v>44575</v>
      </c>
      <c r="H139" s="1193">
        <v>44575</v>
      </c>
      <c r="I139" s="1194" t="s">
        <v>1482</v>
      </c>
      <c r="J139" s="1195" t="s">
        <v>1479</v>
      </c>
      <c r="K139" s="1176" t="s">
        <v>676</v>
      </c>
      <c r="L139" s="1178" t="s">
        <v>677</v>
      </c>
      <c r="M139" s="1196">
        <v>42000000</v>
      </c>
      <c r="N139" s="1197" t="s">
        <v>732</v>
      </c>
      <c r="O139" s="1197" t="s">
        <v>1480</v>
      </c>
    </row>
    <row r="140" spans="1:15" s="1159" customFormat="1" ht="60" x14ac:dyDescent="0.25">
      <c r="A140" s="1172">
        <v>2022134</v>
      </c>
      <c r="B140" s="1172">
        <v>7655</v>
      </c>
      <c r="C140" s="1172" t="s">
        <v>670</v>
      </c>
      <c r="D140" s="1190" t="s">
        <v>691</v>
      </c>
      <c r="E140" s="1191" t="s">
        <v>782</v>
      </c>
      <c r="F140" s="1175" t="s">
        <v>850</v>
      </c>
      <c r="G140" s="1193">
        <v>44575</v>
      </c>
      <c r="H140" s="1193">
        <v>44575</v>
      </c>
      <c r="I140" s="1194" t="s">
        <v>1478</v>
      </c>
      <c r="J140" s="1195" t="s">
        <v>1479</v>
      </c>
      <c r="K140" s="1176" t="s">
        <v>676</v>
      </c>
      <c r="L140" s="1178" t="s">
        <v>677</v>
      </c>
      <c r="M140" s="1196">
        <v>64802500</v>
      </c>
      <c r="N140" s="1197" t="s">
        <v>732</v>
      </c>
      <c r="O140" s="1197" t="s">
        <v>1480</v>
      </c>
    </row>
    <row r="141" spans="1:15" s="1159" customFormat="1" ht="60" x14ac:dyDescent="0.25">
      <c r="A141" s="1172">
        <v>2022135</v>
      </c>
      <c r="B141" s="1172">
        <v>7655</v>
      </c>
      <c r="C141" s="1172" t="s">
        <v>670</v>
      </c>
      <c r="D141" s="1190" t="s">
        <v>691</v>
      </c>
      <c r="E141" s="1172" t="s">
        <v>782</v>
      </c>
      <c r="F141" s="1192" t="s">
        <v>850</v>
      </c>
      <c r="G141" s="1193">
        <v>44575</v>
      </c>
      <c r="H141" s="1193">
        <v>44575</v>
      </c>
      <c r="I141" s="1194" t="s">
        <v>1482</v>
      </c>
      <c r="J141" s="1195" t="s">
        <v>1479</v>
      </c>
      <c r="K141" s="1176" t="s">
        <v>676</v>
      </c>
      <c r="L141" s="1178" t="s">
        <v>677</v>
      </c>
      <c r="M141" s="1196">
        <v>31500000</v>
      </c>
      <c r="N141" s="1197" t="s">
        <v>732</v>
      </c>
      <c r="O141" s="1197" t="s">
        <v>1480</v>
      </c>
    </row>
    <row r="142" spans="1:15" s="1159" customFormat="1" ht="60" x14ac:dyDescent="0.25">
      <c r="A142" s="1172">
        <v>2022136</v>
      </c>
      <c r="B142" s="1172">
        <v>7655</v>
      </c>
      <c r="C142" s="1172" t="s">
        <v>670</v>
      </c>
      <c r="D142" s="1190" t="s">
        <v>691</v>
      </c>
      <c r="E142" s="1172" t="s">
        <v>782</v>
      </c>
      <c r="F142" s="1192" t="s">
        <v>851</v>
      </c>
      <c r="G142" s="1193">
        <v>44575</v>
      </c>
      <c r="H142" s="1193">
        <v>44575</v>
      </c>
      <c r="I142" s="1194" t="s">
        <v>1478</v>
      </c>
      <c r="J142" s="1195" t="s">
        <v>1479</v>
      </c>
      <c r="K142" s="1176" t="s">
        <v>676</v>
      </c>
      <c r="L142" s="1178" t="s">
        <v>677</v>
      </c>
      <c r="M142" s="1179">
        <v>28175000</v>
      </c>
      <c r="N142" s="1197" t="s">
        <v>732</v>
      </c>
      <c r="O142" s="1197" t="s">
        <v>1480</v>
      </c>
    </row>
    <row r="143" spans="1:15" s="1159" customFormat="1" ht="60" x14ac:dyDescent="0.25">
      <c r="A143" s="1172">
        <v>2022137</v>
      </c>
      <c r="B143" s="1172">
        <v>7655</v>
      </c>
      <c r="C143" s="1172" t="s">
        <v>670</v>
      </c>
      <c r="D143" s="1190" t="s">
        <v>691</v>
      </c>
      <c r="E143" s="1172" t="s">
        <v>782</v>
      </c>
      <c r="F143" s="1192" t="s">
        <v>852</v>
      </c>
      <c r="G143" s="1193">
        <v>44575</v>
      </c>
      <c r="H143" s="1193">
        <v>44575</v>
      </c>
      <c r="I143" s="1194" t="s">
        <v>1478</v>
      </c>
      <c r="J143" s="1195" t="s">
        <v>1479</v>
      </c>
      <c r="K143" s="1176" t="s">
        <v>676</v>
      </c>
      <c r="L143" s="1178" t="s">
        <v>677</v>
      </c>
      <c r="M143" s="1179">
        <v>83950000</v>
      </c>
      <c r="N143" s="1197" t="s">
        <v>732</v>
      </c>
      <c r="O143" s="1197" t="s">
        <v>1480</v>
      </c>
    </row>
    <row r="144" spans="1:15" s="1159" customFormat="1" ht="90" x14ac:dyDescent="0.25">
      <c r="A144" s="1172">
        <v>2022138</v>
      </c>
      <c r="B144" s="1172">
        <v>7655</v>
      </c>
      <c r="C144" s="1172" t="s">
        <v>670</v>
      </c>
      <c r="D144" s="1190" t="s">
        <v>691</v>
      </c>
      <c r="E144" s="1172" t="s">
        <v>782</v>
      </c>
      <c r="F144" s="1192" t="s">
        <v>853</v>
      </c>
      <c r="G144" s="1193">
        <v>44575</v>
      </c>
      <c r="H144" s="1193">
        <v>44575</v>
      </c>
      <c r="I144" s="1194" t="s">
        <v>1478</v>
      </c>
      <c r="J144" s="1195" t="s">
        <v>1479</v>
      </c>
      <c r="K144" s="1176" t="s">
        <v>676</v>
      </c>
      <c r="L144" s="1178" t="s">
        <v>677</v>
      </c>
      <c r="M144" s="1179">
        <v>44275000</v>
      </c>
      <c r="N144" s="1197" t="s">
        <v>732</v>
      </c>
      <c r="O144" s="1197" t="s">
        <v>1480</v>
      </c>
    </row>
    <row r="145" spans="1:15" s="1159" customFormat="1" ht="90" x14ac:dyDescent="0.25">
      <c r="A145" s="1172">
        <v>2022139</v>
      </c>
      <c r="B145" s="1172">
        <v>7655</v>
      </c>
      <c r="C145" s="1172" t="s">
        <v>670</v>
      </c>
      <c r="D145" s="1190" t="s">
        <v>691</v>
      </c>
      <c r="E145" s="1172" t="s">
        <v>782</v>
      </c>
      <c r="F145" s="1192" t="s">
        <v>853</v>
      </c>
      <c r="G145" s="1193">
        <v>44575</v>
      </c>
      <c r="H145" s="1193">
        <v>44575</v>
      </c>
      <c r="I145" s="1194" t="s">
        <v>1478</v>
      </c>
      <c r="J145" s="1195" t="s">
        <v>1479</v>
      </c>
      <c r="K145" s="1176" t="s">
        <v>676</v>
      </c>
      <c r="L145" s="1178" t="s">
        <v>677</v>
      </c>
      <c r="M145" s="1179">
        <v>58650000</v>
      </c>
      <c r="N145" s="1197" t="s">
        <v>732</v>
      </c>
      <c r="O145" s="1197" t="s">
        <v>1480</v>
      </c>
    </row>
    <row r="146" spans="1:15" s="1159" customFormat="1" ht="60" x14ac:dyDescent="0.25">
      <c r="A146" s="1172">
        <v>2022140</v>
      </c>
      <c r="B146" s="1172">
        <v>7655</v>
      </c>
      <c r="C146" s="1172" t="s">
        <v>670</v>
      </c>
      <c r="D146" s="1190" t="s">
        <v>697</v>
      </c>
      <c r="E146" s="1202">
        <v>80111600</v>
      </c>
      <c r="F146" s="1203" t="s">
        <v>854</v>
      </c>
      <c r="G146" s="1204" t="s">
        <v>1440</v>
      </c>
      <c r="H146" s="1204" t="s">
        <v>1440</v>
      </c>
      <c r="I146" s="1204" t="s">
        <v>1486</v>
      </c>
      <c r="J146" s="1195" t="s">
        <v>1479</v>
      </c>
      <c r="K146" s="1176" t="s">
        <v>676</v>
      </c>
      <c r="L146" s="1205" t="s">
        <v>677</v>
      </c>
      <c r="M146" s="1179">
        <v>26496000</v>
      </c>
      <c r="N146" s="1206" t="s">
        <v>732</v>
      </c>
      <c r="O146" s="1206" t="s">
        <v>1480</v>
      </c>
    </row>
    <row r="147" spans="1:15" s="1159" customFormat="1" ht="60" x14ac:dyDescent="0.25">
      <c r="A147" s="1172">
        <v>2022141</v>
      </c>
      <c r="B147" s="1172">
        <v>7655</v>
      </c>
      <c r="C147" s="1172" t="s">
        <v>670</v>
      </c>
      <c r="D147" s="1190" t="s">
        <v>697</v>
      </c>
      <c r="E147" s="1202">
        <v>80111600</v>
      </c>
      <c r="F147" s="1203" t="s">
        <v>855</v>
      </c>
      <c r="G147" s="1204" t="s">
        <v>1440</v>
      </c>
      <c r="H147" s="1204" t="s">
        <v>1440</v>
      </c>
      <c r="I147" s="1204" t="s">
        <v>1486</v>
      </c>
      <c r="J147" s="1195" t="s">
        <v>1479</v>
      </c>
      <c r="K147" s="1176" t="s">
        <v>676</v>
      </c>
      <c r="L147" s="1205" t="s">
        <v>677</v>
      </c>
      <c r="M147" s="1179">
        <v>34776000</v>
      </c>
      <c r="N147" s="1206" t="s">
        <v>732</v>
      </c>
      <c r="O147" s="1206" t="s">
        <v>1480</v>
      </c>
    </row>
    <row r="148" spans="1:15" s="1159" customFormat="1" ht="60" x14ac:dyDescent="0.25">
      <c r="A148" s="1172">
        <v>2022142</v>
      </c>
      <c r="B148" s="1172">
        <v>7655</v>
      </c>
      <c r="C148" s="1172" t="s">
        <v>670</v>
      </c>
      <c r="D148" s="1190" t="s">
        <v>697</v>
      </c>
      <c r="E148" s="1202">
        <v>80111600</v>
      </c>
      <c r="F148" s="1203" t="s">
        <v>856</v>
      </c>
      <c r="G148" s="1204" t="s">
        <v>1440</v>
      </c>
      <c r="H148" s="1204" t="s">
        <v>1440</v>
      </c>
      <c r="I148" s="1204" t="s">
        <v>1442</v>
      </c>
      <c r="J148" s="1195" t="s">
        <v>1479</v>
      </c>
      <c r="K148" s="1176" t="s">
        <v>676</v>
      </c>
      <c r="L148" s="1205" t="s">
        <v>677</v>
      </c>
      <c r="M148" s="1179">
        <v>56100000</v>
      </c>
      <c r="N148" s="1206" t="s">
        <v>732</v>
      </c>
      <c r="O148" s="1206" t="s">
        <v>1480</v>
      </c>
    </row>
    <row r="149" spans="1:15" s="1159" customFormat="1" ht="60" x14ac:dyDescent="0.25">
      <c r="A149" s="1172">
        <v>2022143</v>
      </c>
      <c r="B149" s="1172">
        <v>7655</v>
      </c>
      <c r="C149" s="1172" t="s">
        <v>670</v>
      </c>
      <c r="D149" s="1190" t="s">
        <v>697</v>
      </c>
      <c r="E149" s="1202">
        <v>80111600</v>
      </c>
      <c r="F149" s="1203" t="s">
        <v>857</v>
      </c>
      <c r="G149" s="1204" t="s">
        <v>1440</v>
      </c>
      <c r="H149" s="1204" t="s">
        <v>1440</v>
      </c>
      <c r="I149" s="1204" t="s">
        <v>1442</v>
      </c>
      <c r="J149" s="1195" t="s">
        <v>1479</v>
      </c>
      <c r="K149" s="1176" t="s">
        <v>676</v>
      </c>
      <c r="L149" s="1205" t="s">
        <v>677</v>
      </c>
      <c r="M149" s="1179">
        <v>47817000</v>
      </c>
      <c r="N149" s="1206" t="s">
        <v>732</v>
      </c>
      <c r="O149" s="1206" t="s">
        <v>1480</v>
      </c>
    </row>
    <row r="150" spans="1:15" s="1159" customFormat="1" ht="60" x14ac:dyDescent="0.25">
      <c r="A150" s="1172">
        <v>2022144</v>
      </c>
      <c r="B150" s="1172">
        <v>7655</v>
      </c>
      <c r="C150" s="1172" t="s">
        <v>670</v>
      </c>
      <c r="D150" s="1190" t="s">
        <v>697</v>
      </c>
      <c r="E150" s="1202">
        <v>80111600</v>
      </c>
      <c r="F150" s="1203" t="s">
        <v>855</v>
      </c>
      <c r="G150" s="1204" t="s">
        <v>1440</v>
      </c>
      <c r="H150" s="1204" t="s">
        <v>1440</v>
      </c>
      <c r="I150" s="1204" t="s">
        <v>1442</v>
      </c>
      <c r="J150" s="1195" t="s">
        <v>1479</v>
      </c>
      <c r="K150" s="1176" t="s">
        <v>676</v>
      </c>
      <c r="L150" s="1205" t="s">
        <v>677</v>
      </c>
      <c r="M150" s="1179">
        <v>56100000</v>
      </c>
      <c r="N150" s="1206" t="s">
        <v>732</v>
      </c>
      <c r="O150" s="1206" t="s">
        <v>1480</v>
      </c>
    </row>
    <row r="151" spans="1:15" s="1159" customFormat="1" ht="60" x14ac:dyDescent="0.25">
      <c r="A151" s="1172">
        <v>2022145</v>
      </c>
      <c r="B151" s="1172">
        <v>7655</v>
      </c>
      <c r="C151" s="1172" t="s">
        <v>670</v>
      </c>
      <c r="D151" s="1190" t="s">
        <v>697</v>
      </c>
      <c r="E151" s="1202">
        <v>80111600</v>
      </c>
      <c r="F151" s="1203" t="s">
        <v>857</v>
      </c>
      <c r="G151" s="1204" t="s">
        <v>1440</v>
      </c>
      <c r="H151" s="1204" t="s">
        <v>1440</v>
      </c>
      <c r="I151" s="1204" t="s">
        <v>1482</v>
      </c>
      <c r="J151" s="1195" t="s">
        <v>1479</v>
      </c>
      <c r="K151" s="1176" t="s">
        <v>676</v>
      </c>
      <c r="L151" s="1205" t="s">
        <v>677</v>
      </c>
      <c r="M151" s="1179">
        <v>27895000</v>
      </c>
      <c r="N151" s="1206" t="s">
        <v>732</v>
      </c>
      <c r="O151" s="1206" t="s">
        <v>1480</v>
      </c>
    </row>
    <row r="152" spans="1:15" s="1159" customFormat="1" ht="60" x14ac:dyDescent="0.25">
      <c r="A152" s="1172">
        <v>2022146</v>
      </c>
      <c r="B152" s="1172">
        <v>7655</v>
      </c>
      <c r="C152" s="1172" t="s">
        <v>670</v>
      </c>
      <c r="D152" s="1190" t="s">
        <v>697</v>
      </c>
      <c r="E152" s="1202">
        <v>80111600</v>
      </c>
      <c r="F152" s="1203" t="s">
        <v>857</v>
      </c>
      <c r="G152" s="1204" t="s">
        <v>1440</v>
      </c>
      <c r="H152" s="1204" t="s">
        <v>1440</v>
      </c>
      <c r="I152" s="1204" t="s">
        <v>1482</v>
      </c>
      <c r="J152" s="1195" t="s">
        <v>1479</v>
      </c>
      <c r="K152" s="1176" t="s">
        <v>676</v>
      </c>
      <c r="L152" s="1205" t="s">
        <v>677</v>
      </c>
      <c r="M152" s="1179">
        <v>26950000</v>
      </c>
      <c r="N152" s="1206" t="s">
        <v>732</v>
      </c>
      <c r="O152" s="1206" t="s">
        <v>1480</v>
      </c>
    </row>
    <row r="153" spans="1:15" s="1159" customFormat="1" ht="60" x14ac:dyDescent="0.25">
      <c r="A153" s="1172">
        <v>2022147</v>
      </c>
      <c r="B153" s="1172">
        <v>7655</v>
      </c>
      <c r="C153" s="1172" t="s">
        <v>670</v>
      </c>
      <c r="D153" s="1190" t="s">
        <v>697</v>
      </c>
      <c r="E153" s="1202">
        <v>80111600</v>
      </c>
      <c r="F153" s="1203" t="s">
        <v>858</v>
      </c>
      <c r="G153" s="1204" t="s">
        <v>1440</v>
      </c>
      <c r="H153" s="1204" t="s">
        <v>1440</v>
      </c>
      <c r="I153" s="1204" t="s">
        <v>1486</v>
      </c>
      <c r="J153" s="1195" t="s">
        <v>1479</v>
      </c>
      <c r="K153" s="1176" t="s">
        <v>676</v>
      </c>
      <c r="L153" s="1205" t="s">
        <v>677</v>
      </c>
      <c r="M153" s="1179">
        <v>19600000</v>
      </c>
      <c r="N153" s="1206" t="s">
        <v>732</v>
      </c>
      <c r="O153" s="1206" t="s">
        <v>1480</v>
      </c>
    </row>
    <row r="154" spans="1:15" s="1159" customFormat="1" ht="60" x14ac:dyDescent="0.25">
      <c r="A154" s="1172">
        <v>2022148</v>
      </c>
      <c r="B154" s="1172">
        <v>7655</v>
      </c>
      <c r="C154" s="1172" t="s">
        <v>670</v>
      </c>
      <c r="D154" s="1190" t="s">
        <v>697</v>
      </c>
      <c r="E154" s="1202">
        <v>80111600</v>
      </c>
      <c r="F154" s="1203" t="s">
        <v>859</v>
      </c>
      <c r="G154" s="1204" t="s">
        <v>1440</v>
      </c>
      <c r="H154" s="1204" t="s">
        <v>1440</v>
      </c>
      <c r="I154" s="1204" t="s">
        <v>1486</v>
      </c>
      <c r="J154" s="1195" t="s">
        <v>1479</v>
      </c>
      <c r="K154" s="1176" t="s">
        <v>676</v>
      </c>
      <c r="L154" s="1205" t="s">
        <v>677</v>
      </c>
      <c r="M154" s="1179">
        <v>40800000</v>
      </c>
      <c r="N154" s="1206" t="s">
        <v>732</v>
      </c>
      <c r="O154" s="1206" t="s">
        <v>1480</v>
      </c>
    </row>
    <row r="155" spans="1:15" s="1159" customFormat="1" ht="60" x14ac:dyDescent="0.25">
      <c r="A155" s="1172">
        <v>2022149</v>
      </c>
      <c r="B155" s="1172">
        <v>7655</v>
      </c>
      <c r="C155" s="1172" t="s">
        <v>670</v>
      </c>
      <c r="D155" s="1190" t="s">
        <v>697</v>
      </c>
      <c r="E155" s="1202">
        <v>80111600</v>
      </c>
      <c r="F155" s="1203" t="s">
        <v>860</v>
      </c>
      <c r="G155" s="1204" t="s">
        <v>1440</v>
      </c>
      <c r="H155" s="1204" t="s">
        <v>1440</v>
      </c>
      <c r="I155" s="1204" t="s">
        <v>1442</v>
      </c>
      <c r="J155" s="1195" t="s">
        <v>1479</v>
      </c>
      <c r="K155" s="1176" t="s">
        <v>676</v>
      </c>
      <c r="L155" s="1205" t="s">
        <v>677</v>
      </c>
      <c r="M155" s="1179">
        <v>56100000</v>
      </c>
      <c r="N155" s="1206" t="s">
        <v>732</v>
      </c>
      <c r="O155" s="1206" t="s">
        <v>1480</v>
      </c>
    </row>
    <row r="156" spans="1:15" s="1159" customFormat="1" ht="60" x14ac:dyDescent="0.25">
      <c r="A156" s="1172">
        <v>2022150</v>
      </c>
      <c r="B156" s="1172">
        <v>7655</v>
      </c>
      <c r="C156" s="1172" t="s">
        <v>670</v>
      </c>
      <c r="D156" s="1190" t="s">
        <v>697</v>
      </c>
      <c r="E156" s="1202">
        <v>80111600</v>
      </c>
      <c r="F156" s="1203" t="s">
        <v>859</v>
      </c>
      <c r="G156" s="1204" t="s">
        <v>1440</v>
      </c>
      <c r="H156" s="1204" t="s">
        <v>1440</v>
      </c>
      <c r="I156" s="1204" t="s">
        <v>1482</v>
      </c>
      <c r="J156" s="1195" t="s">
        <v>1479</v>
      </c>
      <c r="K156" s="1176" t="s">
        <v>676</v>
      </c>
      <c r="L156" s="1205" t="s">
        <v>677</v>
      </c>
      <c r="M156" s="1179">
        <v>35700000</v>
      </c>
      <c r="N156" s="1206" t="s">
        <v>732</v>
      </c>
      <c r="O156" s="1206" t="s">
        <v>1480</v>
      </c>
    </row>
    <row r="157" spans="1:15" s="1159" customFormat="1" ht="60" x14ac:dyDescent="0.25">
      <c r="A157" s="1172">
        <v>2022151</v>
      </c>
      <c r="B157" s="1172">
        <v>7655</v>
      </c>
      <c r="C157" s="1172" t="s">
        <v>670</v>
      </c>
      <c r="D157" s="1190" t="s">
        <v>697</v>
      </c>
      <c r="E157" s="1202">
        <v>80111600</v>
      </c>
      <c r="F157" s="1203" t="s">
        <v>861</v>
      </c>
      <c r="G157" s="1204" t="s">
        <v>1440</v>
      </c>
      <c r="H157" s="1204" t="s">
        <v>1440</v>
      </c>
      <c r="I157" s="1204" t="s">
        <v>1486</v>
      </c>
      <c r="J157" s="1195" t="s">
        <v>1479</v>
      </c>
      <c r="K157" s="1176" t="s">
        <v>676</v>
      </c>
      <c r="L157" s="1205" t="s">
        <v>677</v>
      </c>
      <c r="M157" s="1179">
        <v>41400000</v>
      </c>
      <c r="N157" s="1206" t="s">
        <v>732</v>
      </c>
      <c r="O157" s="1206" t="s">
        <v>1480</v>
      </c>
    </row>
    <row r="158" spans="1:15" s="1159" customFormat="1" ht="60" x14ac:dyDescent="0.25">
      <c r="A158" s="1172">
        <v>2022152</v>
      </c>
      <c r="B158" s="1172">
        <v>7655</v>
      </c>
      <c r="C158" s="1172" t="s">
        <v>670</v>
      </c>
      <c r="D158" s="1190" t="s">
        <v>697</v>
      </c>
      <c r="E158" s="1202">
        <v>80111600</v>
      </c>
      <c r="F158" s="1203" t="s">
        <v>862</v>
      </c>
      <c r="G158" s="1204" t="s">
        <v>1440</v>
      </c>
      <c r="H158" s="1204" t="s">
        <v>1440</v>
      </c>
      <c r="I158" s="1204" t="s">
        <v>1486</v>
      </c>
      <c r="J158" s="1195" t="s">
        <v>1479</v>
      </c>
      <c r="K158" s="1176" t="s">
        <v>676</v>
      </c>
      <c r="L158" s="1205" t="s">
        <v>677</v>
      </c>
      <c r="M158" s="1179">
        <v>45544000</v>
      </c>
      <c r="N158" s="1206" t="s">
        <v>732</v>
      </c>
      <c r="O158" s="1206" t="s">
        <v>1480</v>
      </c>
    </row>
    <row r="159" spans="1:15" s="1159" customFormat="1" ht="60" x14ac:dyDescent="0.25">
      <c r="A159" s="1172">
        <v>2022153</v>
      </c>
      <c r="B159" s="1172">
        <v>7655</v>
      </c>
      <c r="C159" s="1172" t="s">
        <v>670</v>
      </c>
      <c r="D159" s="1190" t="s">
        <v>697</v>
      </c>
      <c r="E159" s="1202">
        <v>80111600</v>
      </c>
      <c r="F159" s="1203" t="s">
        <v>863</v>
      </c>
      <c r="G159" s="1204" t="s">
        <v>1440</v>
      </c>
      <c r="H159" s="1204" t="s">
        <v>1440</v>
      </c>
      <c r="I159" s="1204" t="s">
        <v>1482</v>
      </c>
      <c r="J159" s="1195" t="s">
        <v>1479</v>
      </c>
      <c r="K159" s="1176" t="s">
        <v>676</v>
      </c>
      <c r="L159" s="1205" t="s">
        <v>677</v>
      </c>
      <c r="M159" s="1179">
        <v>23184000</v>
      </c>
      <c r="N159" s="1206" t="s">
        <v>732</v>
      </c>
      <c r="O159" s="1206" t="s">
        <v>1480</v>
      </c>
    </row>
    <row r="160" spans="1:15" s="1159" customFormat="1" ht="60" x14ac:dyDescent="0.25">
      <c r="A160" s="1172">
        <v>2022154</v>
      </c>
      <c r="B160" s="1172">
        <v>7655</v>
      </c>
      <c r="C160" s="1172" t="s">
        <v>670</v>
      </c>
      <c r="D160" s="1190" t="s">
        <v>697</v>
      </c>
      <c r="E160" s="1202">
        <v>80111600</v>
      </c>
      <c r="F160" s="1203" t="s">
        <v>864</v>
      </c>
      <c r="G160" s="1204" t="s">
        <v>1440</v>
      </c>
      <c r="H160" s="1204" t="s">
        <v>1440</v>
      </c>
      <c r="I160" s="1204" t="s">
        <v>1482</v>
      </c>
      <c r="J160" s="1195" t="s">
        <v>1479</v>
      </c>
      <c r="K160" s="1176" t="s">
        <v>676</v>
      </c>
      <c r="L160" s="1205" t="s">
        <v>677</v>
      </c>
      <c r="M160" s="1179">
        <v>30429000</v>
      </c>
      <c r="N160" s="1206" t="s">
        <v>732</v>
      </c>
      <c r="O160" s="1206" t="s">
        <v>1480</v>
      </c>
    </row>
    <row r="161" spans="1:18" s="1159" customFormat="1" ht="60" x14ac:dyDescent="0.25">
      <c r="A161" s="1172">
        <v>2022155</v>
      </c>
      <c r="B161" s="1172">
        <v>7655</v>
      </c>
      <c r="C161" s="1172" t="s">
        <v>670</v>
      </c>
      <c r="D161" s="1190" t="s">
        <v>697</v>
      </c>
      <c r="E161" s="1202">
        <v>80111600</v>
      </c>
      <c r="F161" s="1203" t="s">
        <v>865</v>
      </c>
      <c r="G161" s="1204" t="s">
        <v>1440</v>
      </c>
      <c r="H161" s="1204" t="s">
        <v>1440</v>
      </c>
      <c r="I161" s="1204" t="s">
        <v>1442</v>
      </c>
      <c r="J161" s="1195" t="s">
        <v>1479</v>
      </c>
      <c r="K161" s="1176" t="s">
        <v>676</v>
      </c>
      <c r="L161" s="1205" t="s">
        <v>677</v>
      </c>
      <c r="M161" s="1179">
        <v>83600000</v>
      </c>
      <c r="N161" s="1206" t="s">
        <v>732</v>
      </c>
      <c r="O161" s="1206" t="s">
        <v>1480</v>
      </c>
    </row>
    <row r="162" spans="1:18" s="1200" customFormat="1" ht="60" x14ac:dyDescent="0.2">
      <c r="A162" s="1172">
        <v>2022156</v>
      </c>
      <c r="B162" s="1172">
        <v>7655</v>
      </c>
      <c r="C162" s="1172" t="s">
        <v>670</v>
      </c>
      <c r="D162" s="1190" t="s">
        <v>697</v>
      </c>
      <c r="E162" s="1202">
        <v>80111600</v>
      </c>
      <c r="F162" s="1203" t="s">
        <v>866</v>
      </c>
      <c r="G162" s="1204" t="s">
        <v>1440</v>
      </c>
      <c r="H162" s="1204" t="s">
        <v>1440</v>
      </c>
      <c r="I162" s="1204" t="s">
        <v>1482</v>
      </c>
      <c r="J162" s="1195" t="s">
        <v>1479</v>
      </c>
      <c r="K162" s="1176" t="s">
        <v>676</v>
      </c>
      <c r="L162" s="1205" t="s">
        <v>677</v>
      </c>
      <c r="M162" s="1179">
        <v>26950000</v>
      </c>
      <c r="N162" s="1206" t="s">
        <v>732</v>
      </c>
      <c r="O162" s="1206" t="s">
        <v>1480</v>
      </c>
      <c r="R162" s="1207"/>
    </row>
    <row r="163" spans="1:18" s="1159" customFormat="1" ht="60" x14ac:dyDescent="0.2">
      <c r="A163" s="1172">
        <v>2022157</v>
      </c>
      <c r="B163" s="1172">
        <v>7655</v>
      </c>
      <c r="C163" s="1172" t="s">
        <v>670</v>
      </c>
      <c r="D163" s="1190" t="s">
        <v>697</v>
      </c>
      <c r="E163" s="1202">
        <v>80111600</v>
      </c>
      <c r="F163" s="1203" t="s">
        <v>861</v>
      </c>
      <c r="G163" s="1204" t="s">
        <v>1440</v>
      </c>
      <c r="H163" s="1204" t="s">
        <v>1440</v>
      </c>
      <c r="I163" s="1204" t="s">
        <v>1482</v>
      </c>
      <c r="J163" s="1195" t="s">
        <v>1479</v>
      </c>
      <c r="K163" s="1176" t="s">
        <v>676</v>
      </c>
      <c r="L163" s="1205" t="s">
        <v>677</v>
      </c>
      <c r="M163" s="1179">
        <v>36225000</v>
      </c>
      <c r="N163" s="1206" t="s">
        <v>732</v>
      </c>
      <c r="O163" s="1206" t="s">
        <v>1480</v>
      </c>
      <c r="R163" s="1207"/>
    </row>
    <row r="164" spans="1:18" s="1159" customFormat="1" ht="60" x14ac:dyDescent="0.2">
      <c r="A164" s="1172">
        <v>2022158</v>
      </c>
      <c r="B164" s="1172">
        <v>7655</v>
      </c>
      <c r="C164" s="1172" t="s">
        <v>670</v>
      </c>
      <c r="D164" s="1190" t="s">
        <v>697</v>
      </c>
      <c r="E164" s="1202">
        <v>80111600</v>
      </c>
      <c r="F164" s="1203" t="s">
        <v>862</v>
      </c>
      <c r="G164" s="1204" t="s">
        <v>1440</v>
      </c>
      <c r="H164" s="1204" t="s">
        <v>1440</v>
      </c>
      <c r="I164" s="1204" t="s">
        <v>1486</v>
      </c>
      <c r="J164" s="1195" t="s">
        <v>1479</v>
      </c>
      <c r="K164" s="1176" t="s">
        <v>676</v>
      </c>
      <c r="L164" s="1205" t="s">
        <v>677</v>
      </c>
      <c r="M164" s="1179">
        <v>45544000</v>
      </c>
      <c r="N164" s="1206" t="s">
        <v>732</v>
      </c>
      <c r="O164" s="1206" t="s">
        <v>1480</v>
      </c>
      <c r="R164" s="1207"/>
    </row>
    <row r="165" spans="1:18" s="1159" customFormat="1" ht="60" x14ac:dyDescent="0.2">
      <c r="A165" s="1172">
        <v>2022159</v>
      </c>
      <c r="B165" s="1172">
        <v>7655</v>
      </c>
      <c r="C165" s="1172" t="s">
        <v>670</v>
      </c>
      <c r="D165" s="1190" t="s">
        <v>697</v>
      </c>
      <c r="E165" s="1202">
        <v>80111600</v>
      </c>
      <c r="F165" s="1203" t="s">
        <v>867</v>
      </c>
      <c r="G165" s="1204" t="s">
        <v>1440</v>
      </c>
      <c r="H165" s="1204" t="s">
        <v>1440</v>
      </c>
      <c r="I165" s="1204" t="s">
        <v>1486</v>
      </c>
      <c r="J165" s="1195" t="s">
        <v>1479</v>
      </c>
      <c r="K165" s="1176" t="s">
        <v>676</v>
      </c>
      <c r="L165" s="1205" t="s">
        <v>677</v>
      </c>
      <c r="M165" s="1179">
        <v>19600000</v>
      </c>
      <c r="N165" s="1206" t="s">
        <v>732</v>
      </c>
      <c r="O165" s="1206" t="s">
        <v>1480</v>
      </c>
      <c r="R165" s="1207"/>
    </row>
    <row r="166" spans="1:18" s="1159" customFormat="1" ht="60" x14ac:dyDescent="0.2">
      <c r="A166" s="1172">
        <v>2022160</v>
      </c>
      <c r="B166" s="1172">
        <v>7655</v>
      </c>
      <c r="C166" s="1172" t="s">
        <v>670</v>
      </c>
      <c r="D166" s="1190" t="s">
        <v>697</v>
      </c>
      <c r="E166" s="1202">
        <v>80111600</v>
      </c>
      <c r="F166" s="1203" t="s">
        <v>868</v>
      </c>
      <c r="G166" s="1204" t="s">
        <v>1440</v>
      </c>
      <c r="H166" s="1204" t="s">
        <v>1440</v>
      </c>
      <c r="I166" s="1204" t="s">
        <v>1442</v>
      </c>
      <c r="J166" s="1195" t="s">
        <v>1479</v>
      </c>
      <c r="K166" s="1176" t="s">
        <v>676</v>
      </c>
      <c r="L166" s="1205" t="s">
        <v>677</v>
      </c>
      <c r="M166" s="1179">
        <v>31306000</v>
      </c>
      <c r="N166" s="1206" t="s">
        <v>732</v>
      </c>
      <c r="O166" s="1206" t="s">
        <v>1480</v>
      </c>
      <c r="R166" s="1207"/>
    </row>
    <row r="167" spans="1:18" s="1159" customFormat="1" ht="90" x14ac:dyDescent="0.2">
      <c r="A167" s="1172">
        <v>2022161</v>
      </c>
      <c r="B167" s="1172">
        <v>7655</v>
      </c>
      <c r="C167" s="1172" t="s">
        <v>670</v>
      </c>
      <c r="D167" s="1190" t="s">
        <v>697</v>
      </c>
      <c r="E167" s="1202">
        <v>80111600</v>
      </c>
      <c r="F167" s="1208" t="s">
        <v>869</v>
      </c>
      <c r="G167" s="1204" t="s">
        <v>1440</v>
      </c>
      <c r="H167" s="1204" t="s">
        <v>1440</v>
      </c>
      <c r="I167" s="1204" t="s">
        <v>1486</v>
      </c>
      <c r="J167" s="1195" t="s">
        <v>1479</v>
      </c>
      <c r="K167" s="1176" t="s">
        <v>676</v>
      </c>
      <c r="L167" s="1205" t="s">
        <v>677</v>
      </c>
      <c r="M167" s="1179">
        <v>34776000</v>
      </c>
      <c r="N167" s="1206" t="s">
        <v>732</v>
      </c>
      <c r="O167" s="1206" t="s">
        <v>1480</v>
      </c>
      <c r="R167" s="1207"/>
    </row>
    <row r="168" spans="1:18" s="1159" customFormat="1" ht="60" x14ac:dyDescent="0.2">
      <c r="A168" s="1172">
        <v>2022162</v>
      </c>
      <c r="B168" s="1172">
        <v>7655</v>
      </c>
      <c r="C168" s="1172" t="s">
        <v>670</v>
      </c>
      <c r="D168" s="1190" t="s">
        <v>697</v>
      </c>
      <c r="E168" s="1202">
        <v>80111600</v>
      </c>
      <c r="F168" s="1203" t="s">
        <v>870</v>
      </c>
      <c r="G168" s="1204" t="s">
        <v>1440</v>
      </c>
      <c r="H168" s="1204" t="s">
        <v>1440</v>
      </c>
      <c r="I168" s="1204" t="s">
        <v>1486</v>
      </c>
      <c r="J168" s="1195" t="s">
        <v>1479</v>
      </c>
      <c r="K168" s="1176" t="s">
        <v>676</v>
      </c>
      <c r="L168" s="1205" t="s">
        <v>677</v>
      </c>
      <c r="M168" s="1179">
        <v>34776000</v>
      </c>
      <c r="N168" s="1206" t="s">
        <v>732</v>
      </c>
      <c r="O168" s="1206" t="s">
        <v>1480</v>
      </c>
      <c r="R168" s="1207"/>
    </row>
    <row r="169" spans="1:18" s="1159" customFormat="1" ht="90" x14ac:dyDescent="0.2">
      <c r="A169" s="1172">
        <v>2022163</v>
      </c>
      <c r="B169" s="1172">
        <v>7655</v>
      </c>
      <c r="C169" s="1172" t="s">
        <v>670</v>
      </c>
      <c r="D169" s="1190" t="s">
        <v>697</v>
      </c>
      <c r="E169" s="1202">
        <v>80111600</v>
      </c>
      <c r="F169" s="1208" t="s">
        <v>871</v>
      </c>
      <c r="G169" s="1204" t="s">
        <v>1440</v>
      </c>
      <c r="H169" s="1204" t="s">
        <v>1440</v>
      </c>
      <c r="I169" s="1204" t="s">
        <v>1442</v>
      </c>
      <c r="J169" s="1195" t="s">
        <v>1479</v>
      </c>
      <c r="K169" s="1176" t="s">
        <v>676</v>
      </c>
      <c r="L169" s="1205" t="s">
        <v>677</v>
      </c>
      <c r="M169" s="1179">
        <v>36850000</v>
      </c>
      <c r="N169" s="1206" t="s">
        <v>732</v>
      </c>
      <c r="O169" s="1206" t="s">
        <v>1480</v>
      </c>
      <c r="R169" s="1207"/>
    </row>
    <row r="170" spans="1:18" s="1159" customFormat="1" ht="60" x14ac:dyDescent="0.2">
      <c r="A170" s="1172">
        <v>2022164</v>
      </c>
      <c r="B170" s="1172">
        <v>7655</v>
      </c>
      <c r="C170" s="1172" t="s">
        <v>670</v>
      </c>
      <c r="D170" s="1190" t="s">
        <v>697</v>
      </c>
      <c r="E170" s="1202">
        <v>80111600</v>
      </c>
      <c r="F170" s="1203" t="s">
        <v>872</v>
      </c>
      <c r="G170" s="1204" t="s">
        <v>1440</v>
      </c>
      <c r="H170" s="1204" t="s">
        <v>1440</v>
      </c>
      <c r="I170" s="1204" t="s">
        <v>1482</v>
      </c>
      <c r="J170" s="1195" t="s">
        <v>1479</v>
      </c>
      <c r="K170" s="1176" t="s">
        <v>676</v>
      </c>
      <c r="L170" s="1205" t="s">
        <v>677</v>
      </c>
      <c r="M170" s="1179">
        <v>26950000</v>
      </c>
      <c r="N170" s="1206" t="s">
        <v>732</v>
      </c>
      <c r="O170" s="1206" t="s">
        <v>1480</v>
      </c>
      <c r="R170" s="1207"/>
    </row>
    <row r="171" spans="1:18" s="1159" customFormat="1" ht="60" x14ac:dyDescent="0.2">
      <c r="A171" s="1172">
        <v>2022165</v>
      </c>
      <c r="B171" s="1172">
        <v>7655</v>
      </c>
      <c r="C171" s="1172" t="s">
        <v>670</v>
      </c>
      <c r="D171" s="1190" t="s">
        <v>697</v>
      </c>
      <c r="E171" s="1202">
        <v>80111600</v>
      </c>
      <c r="F171" s="1203" t="s">
        <v>873</v>
      </c>
      <c r="G171" s="1204" t="s">
        <v>1440</v>
      </c>
      <c r="H171" s="1204" t="s">
        <v>1440</v>
      </c>
      <c r="I171" s="1204" t="s">
        <v>1486</v>
      </c>
      <c r="J171" s="1195" t="s">
        <v>1479</v>
      </c>
      <c r="K171" s="1176" t="s">
        <v>676</v>
      </c>
      <c r="L171" s="1205" t="s">
        <v>677</v>
      </c>
      <c r="M171" s="1179">
        <v>41400000</v>
      </c>
      <c r="N171" s="1206" t="s">
        <v>732</v>
      </c>
      <c r="O171" s="1206" t="s">
        <v>1480</v>
      </c>
      <c r="R171" s="1207"/>
    </row>
    <row r="172" spans="1:18" s="1159" customFormat="1" ht="60" x14ac:dyDescent="0.2">
      <c r="A172" s="1172">
        <v>2022166</v>
      </c>
      <c r="B172" s="1172">
        <v>7655</v>
      </c>
      <c r="C172" s="1172" t="s">
        <v>670</v>
      </c>
      <c r="D172" s="1190" t="s">
        <v>697</v>
      </c>
      <c r="E172" s="1202">
        <v>80111600</v>
      </c>
      <c r="F172" s="1203" t="s">
        <v>874</v>
      </c>
      <c r="G172" s="1204" t="s">
        <v>1440</v>
      </c>
      <c r="H172" s="1204" t="s">
        <v>1440</v>
      </c>
      <c r="I172" s="1204" t="s">
        <v>1486</v>
      </c>
      <c r="J172" s="1195" t="s">
        <v>1479</v>
      </c>
      <c r="K172" s="1176" t="s">
        <v>676</v>
      </c>
      <c r="L172" s="1205" t="s">
        <v>677</v>
      </c>
      <c r="M172" s="1179">
        <v>41400000</v>
      </c>
      <c r="N172" s="1206" t="s">
        <v>732</v>
      </c>
      <c r="O172" s="1206" t="s">
        <v>1480</v>
      </c>
      <c r="R172" s="1207"/>
    </row>
    <row r="173" spans="1:18" s="1159" customFormat="1" ht="60" x14ac:dyDescent="0.2">
      <c r="A173" s="1172">
        <v>2022167</v>
      </c>
      <c r="B173" s="1172">
        <v>7655</v>
      </c>
      <c r="C173" s="1172" t="s">
        <v>670</v>
      </c>
      <c r="D173" s="1190" t="s">
        <v>697</v>
      </c>
      <c r="E173" s="1202">
        <v>80111600</v>
      </c>
      <c r="F173" s="1203" t="s">
        <v>875</v>
      </c>
      <c r="G173" s="1204" t="s">
        <v>1440</v>
      </c>
      <c r="H173" s="1204" t="s">
        <v>1440</v>
      </c>
      <c r="I173" s="1204" t="s">
        <v>1442</v>
      </c>
      <c r="J173" s="1195" t="s">
        <v>1479</v>
      </c>
      <c r="K173" s="1176" t="s">
        <v>676</v>
      </c>
      <c r="L173" s="1205" t="s">
        <v>677</v>
      </c>
      <c r="M173" s="1179">
        <v>80036000</v>
      </c>
      <c r="N173" s="1206" t="s">
        <v>732</v>
      </c>
      <c r="O173" s="1206" t="s">
        <v>1480</v>
      </c>
      <c r="R173" s="1207"/>
    </row>
    <row r="174" spans="1:18" s="1159" customFormat="1" ht="60" x14ac:dyDescent="0.2">
      <c r="A174" s="1172">
        <v>2022168</v>
      </c>
      <c r="B174" s="1172">
        <v>7655</v>
      </c>
      <c r="C174" s="1172" t="s">
        <v>670</v>
      </c>
      <c r="D174" s="1190" t="s">
        <v>697</v>
      </c>
      <c r="E174" s="1202">
        <v>80111600</v>
      </c>
      <c r="F174" s="1209" t="s">
        <v>873</v>
      </c>
      <c r="G174" s="1204" t="s">
        <v>1440</v>
      </c>
      <c r="H174" s="1204" t="s">
        <v>1440</v>
      </c>
      <c r="I174" s="1204" t="s">
        <v>1484</v>
      </c>
      <c r="J174" s="1195" t="s">
        <v>1479</v>
      </c>
      <c r="K174" s="1176" t="s">
        <v>676</v>
      </c>
      <c r="L174" s="1205" t="s">
        <v>677</v>
      </c>
      <c r="M174" s="1179">
        <v>60000000</v>
      </c>
      <c r="N174" s="1206" t="s">
        <v>732</v>
      </c>
      <c r="O174" s="1206" t="s">
        <v>1480</v>
      </c>
      <c r="R174" s="1207"/>
    </row>
    <row r="175" spans="1:18" s="1159" customFormat="1" ht="90" x14ac:dyDescent="0.2">
      <c r="A175" s="1172">
        <v>2022169</v>
      </c>
      <c r="B175" s="1172">
        <v>7655</v>
      </c>
      <c r="C175" s="1172" t="s">
        <v>670</v>
      </c>
      <c r="D175" s="1190" t="s">
        <v>697</v>
      </c>
      <c r="E175" s="1202">
        <v>80111600</v>
      </c>
      <c r="F175" s="1208" t="s">
        <v>871</v>
      </c>
      <c r="G175" s="1204" t="s">
        <v>1440</v>
      </c>
      <c r="H175" s="1204" t="s">
        <v>1440</v>
      </c>
      <c r="I175" s="1204" t="s">
        <v>1442</v>
      </c>
      <c r="J175" s="1195" t="s">
        <v>1479</v>
      </c>
      <c r="K175" s="1176" t="s">
        <v>676</v>
      </c>
      <c r="L175" s="1205" t="s">
        <v>677</v>
      </c>
      <c r="M175" s="1179">
        <v>34155000</v>
      </c>
      <c r="N175" s="1206" t="s">
        <v>732</v>
      </c>
      <c r="O175" s="1206" t="s">
        <v>1480</v>
      </c>
      <c r="R175" s="1207"/>
    </row>
    <row r="176" spans="1:18" s="1159" customFormat="1" ht="60" x14ac:dyDescent="0.2">
      <c r="A176" s="1172">
        <v>2022170</v>
      </c>
      <c r="B176" s="1172">
        <v>7655</v>
      </c>
      <c r="C176" s="1172" t="s">
        <v>670</v>
      </c>
      <c r="D176" s="1190" t="s">
        <v>697</v>
      </c>
      <c r="E176" s="1202">
        <v>80111600</v>
      </c>
      <c r="F176" s="1203" t="s">
        <v>874</v>
      </c>
      <c r="G176" s="1204" t="s">
        <v>1440</v>
      </c>
      <c r="H176" s="1204" t="s">
        <v>1440</v>
      </c>
      <c r="I176" s="1204" t="s">
        <v>1481</v>
      </c>
      <c r="J176" s="1195" t="s">
        <v>1479</v>
      </c>
      <c r="K176" s="1176" t="s">
        <v>676</v>
      </c>
      <c r="L176" s="1205" t="s">
        <v>677</v>
      </c>
      <c r="M176" s="1179">
        <v>26082000</v>
      </c>
      <c r="N176" s="1206" t="s">
        <v>732</v>
      </c>
      <c r="O176" s="1206" t="s">
        <v>1480</v>
      </c>
      <c r="R176" s="1207"/>
    </row>
    <row r="177" spans="1:18" s="1159" customFormat="1" ht="60" x14ac:dyDescent="0.2">
      <c r="A177" s="1172">
        <v>2022171</v>
      </c>
      <c r="B177" s="1172">
        <v>7655</v>
      </c>
      <c r="C177" s="1172" t="s">
        <v>670</v>
      </c>
      <c r="D177" s="1190" t="s">
        <v>697</v>
      </c>
      <c r="E177" s="1202">
        <v>80111600</v>
      </c>
      <c r="F177" s="1209" t="s">
        <v>876</v>
      </c>
      <c r="G177" s="1204" t="s">
        <v>1440</v>
      </c>
      <c r="H177" s="1204" t="s">
        <v>1440</v>
      </c>
      <c r="I177" s="1204" t="s">
        <v>1482</v>
      </c>
      <c r="J177" s="1195" t="s">
        <v>1479</v>
      </c>
      <c r="K177" s="1176" t="s">
        <v>676</v>
      </c>
      <c r="L177" s="1205" t="s">
        <v>677</v>
      </c>
      <c r="M177" s="1179">
        <v>36225000</v>
      </c>
      <c r="N177" s="1206" t="s">
        <v>732</v>
      </c>
      <c r="O177" s="1206" t="s">
        <v>1480</v>
      </c>
      <c r="R177" s="1207"/>
    </row>
    <row r="178" spans="1:18" s="1159" customFormat="1" ht="60" x14ac:dyDescent="0.2">
      <c r="A178" s="1172">
        <v>2022172</v>
      </c>
      <c r="B178" s="1172">
        <v>7655</v>
      </c>
      <c r="C178" s="1172" t="s">
        <v>670</v>
      </c>
      <c r="D178" s="1190" t="s">
        <v>697</v>
      </c>
      <c r="E178" s="1202">
        <v>80111600</v>
      </c>
      <c r="F178" s="1209" t="s">
        <v>873</v>
      </c>
      <c r="G178" s="1204" t="s">
        <v>1440</v>
      </c>
      <c r="H178" s="1204" t="s">
        <v>1440</v>
      </c>
      <c r="I178" s="1204" t="s">
        <v>1482</v>
      </c>
      <c r="J178" s="1195" t="s">
        <v>1479</v>
      </c>
      <c r="K178" s="1176" t="s">
        <v>676</v>
      </c>
      <c r="L178" s="1205" t="s">
        <v>677</v>
      </c>
      <c r="M178" s="1179">
        <v>36225000</v>
      </c>
      <c r="N178" s="1206" t="s">
        <v>732</v>
      </c>
      <c r="O178" s="1206" t="s">
        <v>1480</v>
      </c>
      <c r="R178" s="1207"/>
    </row>
    <row r="179" spans="1:18" s="1159" customFormat="1" ht="60" x14ac:dyDescent="0.2">
      <c r="A179" s="1172">
        <v>2022173</v>
      </c>
      <c r="B179" s="1172">
        <v>7655</v>
      </c>
      <c r="C179" s="1172" t="s">
        <v>670</v>
      </c>
      <c r="D179" s="1190" t="s">
        <v>697</v>
      </c>
      <c r="E179" s="1202">
        <v>80111600</v>
      </c>
      <c r="F179" s="1209" t="s">
        <v>877</v>
      </c>
      <c r="G179" s="1204" t="s">
        <v>1440</v>
      </c>
      <c r="H179" s="1204" t="s">
        <v>1440</v>
      </c>
      <c r="I179" s="1204" t="s">
        <v>1481</v>
      </c>
      <c r="J179" s="1195" t="s">
        <v>1479</v>
      </c>
      <c r="K179" s="1176" t="s">
        <v>676</v>
      </c>
      <c r="L179" s="1205" t="s">
        <v>677</v>
      </c>
      <c r="M179" s="1179">
        <v>12000000</v>
      </c>
      <c r="N179" s="1206" t="s">
        <v>732</v>
      </c>
      <c r="O179" s="1206" t="s">
        <v>1480</v>
      </c>
      <c r="R179" s="1207"/>
    </row>
    <row r="180" spans="1:18" s="1159" customFormat="1" ht="60" x14ac:dyDescent="0.2">
      <c r="A180" s="1172">
        <v>2022174</v>
      </c>
      <c r="B180" s="1172">
        <v>7655</v>
      </c>
      <c r="C180" s="1172" t="s">
        <v>670</v>
      </c>
      <c r="D180" s="1190" t="s">
        <v>697</v>
      </c>
      <c r="E180" s="1202">
        <v>80111600</v>
      </c>
      <c r="F180" s="1209" t="s">
        <v>878</v>
      </c>
      <c r="G180" s="1204" t="s">
        <v>1440</v>
      </c>
      <c r="H180" s="1204" t="s">
        <v>1454</v>
      </c>
      <c r="I180" s="1204" t="s">
        <v>1487</v>
      </c>
      <c r="J180" s="1195" t="s">
        <v>1479</v>
      </c>
      <c r="K180" s="1176" t="s">
        <v>676</v>
      </c>
      <c r="L180" s="1205" t="s">
        <v>677</v>
      </c>
      <c r="M180" s="1179">
        <v>282051000</v>
      </c>
      <c r="N180" s="1206" t="s">
        <v>732</v>
      </c>
      <c r="O180" s="1206" t="s">
        <v>1480</v>
      </c>
      <c r="R180" s="1207"/>
    </row>
    <row r="181" spans="1:18" s="1159" customFormat="1" ht="60" x14ac:dyDescent="0.2">
      <c r="A181" s="1172">
        <v>2022175</v>
      </c>
      <c r="B181" s="1172">
        <v>7655</v>
      </c>
      <c r="C181" s="1172" t="s">
        <v>670</v>
      </c>
      <c r="D181" s="1190" t="s">
        <v>703</v>
      </c>
      <c r="E181" s="1210">
        <v>80111600</v>
      </c>
      <c r="F181" s="1211" t="s">
        <v>879</v>
      </c>
      <c r="G181" s="1193" t="s">
        <v>1440</v>
      </c>
      <c r="H181" s="1212" t="s">
        <v>1440</v>
      </c>
      <c r="I181" s="1176" t="s">
        <v>1481</v>
      </c>
      <c r="J181" s="1210" t="s">
        <v>1488</v>
      </c>
      <c r="K181" s="1176" t="s">
        <v>676</v>
      </c>
      <c r="L181" s="1213" t="s">
        <v>677</v>
      </c>
      <c r="M181" s="1179">
        <v>1000000000</v>
      </c>
      <c r="N181" s="1214" t="s">
        <v>728</v>
      </c>
      <c r="O181" s="1206" t="s">
        <v>1480</v>
      </c>
      <c r="R181" s="1207"/>
    </row>
    <row r="182" spans="1:18" s="1159" customFormat="1" ht="54.75" customHeight="1" x14ac:dyDescent="0.25">
      <c r="A182" s="1172">
        <v>2022176</v>
      </c>
      <c r="B182" s="1172">
        <v>7655</v>
      </c>
      <c r="C182" s="1172" t="s">
        <v>670</v>
      </c>
      <c r="D182" s="1190" t="s">
        <v>703</v>
      </c>
      <c r="E182" s="1191">
        <v>80111600</v>
      </c>
      <c r="F182" s="1192" t="s">
        <v>880</v>
      </c>
      <c r="G182" s="1193" t="s">
        <v>1440</v>
      </c>
      <c r="H182" s="1212" t="s">
        <v>1440</v>
      </c>
      <c r="I182" s="1215" t="s">
        <v>1489</v>
      </c>
      <c r="J182" s="1195" t="s">
        <v>1479</v>
      </c>
      <c r="K182" s="1176" t="s">
        <v>676</v>
      </c>
      <c r="L182" s="1176" t="s">
        <v>677</v>
      </c>
      <c r="M182" s="1196">
        <f>80500000-42000000</f>
        <v>38500000</v>
      </c>
      <c r="N182" s="1214" t="s">
        <v>728</v>
      </c>
      <c r="O182" s="1206" t="s">
        <v>1480</v>
      </c>
    </row>
    <row r="183" spans="1:18" s="1159" customFormat="1" ht="60" x14ac:dyDescent="0.25">
      <c r="A183" s="1172">
        <v>2022177</v>
      </c>
      <c r="B183" s="1172">
        <v>7655</v>
      </c>
      <c r="C183" s="1172" t="s">
        <v>670</v>
      </c>
      <c r="D183" s="1190" t="s">
        <v>700</v>
      </c>
      <c r="E183" s="1172">
        <v>80111600</v>
      </c>
      <c r="F183" s="1216" t="s">
        <v>881</v>
      </c>
      <c r="G183" s="1204" t="s">
        <v>1440</v>
      </c>
      <c r="H183" s="1217" t="s">
        <v>1449</v>
      </c>
      <c r="I183" s="1204" t="s">
        <v>1442</v>
      </c>
      <c r="J183" s="1195" t="s">
        <v>1479</v>
      </c>
      <c r="K183" s="1176" t="s">
        <v>676</v>
      </c>
      <c r="L183" s="1218" t="s">
        <v>677</v>
      </c>
      <c r="M183" s="1179">
        <v>80000000</v>
      </c>
      <c r="N183" s="1206" t="s">
        <v>732</v>
      </c>
      <c r="O183" s="1206" t="s">
        <v>1480</v>
      </c>
    </row>
    <row r="184" spans="1:18" s="1159" customFormat="1" ht="60" x14ac:dyDescent="0.25">
      <c r="A184" s="1172">
        <v>2022178</v>
      </c>
      <c r="B184" s="1172">
        <v>7655</v>
      </c>
      <c r="C184" s="1172" t="s">
        <v>670</v>
      </c>
      <c r="D184" s="1190" t="s">
        <v>694</v>
      </c>
      <c r="E184" s="1172">
        <v>80111600</v>
      </c>
      <c r="F184" s="1216" t="s">
        <v>882</v>
      </c>
      <c r="G184" s="1204" t="s">
        <v>1440</v>
      </c>
      <c r="H184" s="1217" t="s">
        <v>1449</v>
      </c>
      <c r="I184" s="1204" t="s">
        <v>1484</v>
      </c>
      <c r="J184" s="1195" t="s">
        <v>1479</v>
      </c>
      <c r="K184" s="1176" t="s">
        <v>676</v>
      </c>
      <c r="L184" s="1218" t="s">
        <v>677</v>
      </c>
      <c r="M184" s="1179">
        <v>80000000</v>
      </c>
      <c r="N184" s="1206" t="s">
        <v>732</v>
      </c>
      <c r="O184" s="1206" t="s">
        <v>1480</v>
      </c>
    </row>
    <row r="185" spans="1:18" s="1159" customFormat="1" ht="60" x14ac:dyDescent="0.25">
      <c r="A185" s="1172">
        <v>2022179</v>
      </c>
      <c r="B185" s="1172">
        <v>7655</v>
      </c>
      <c r="C185" s="1172" t="s">
        <v>670</v>
      </c>
      <c r="D185" s="1190" t="s">
        <v>688</v>
      </c>
      <c r="E185" s="1210">
        <v>80111600</v>
      </c>
      <c r="F185" s="1216" t="s">
        <v>883</v>
      </c>
      <c r="G185" s="1204" t="s">
        <v>1440</v>
      </c>
      <c r="H185" s="1204" t="s">
        <v>1440</v>
      </c>
      <c r="I185" s="1204" t="s">
        <v>1485</v>
      </c>
      <c r="J185" s="1195" t="s">
        <v>1479</v>
      </c>
      <c r="K185" s="1176" t="s">
        <v>676</v>
      </c>
      <c r="L185" s="1218" t="s">
        <v>677</v>
      </c>
      <c r="M185" s="1179">
        <v>39371000</v>
      </c>
      <c r="N185" s="1197" t="s">
        <v>732</v>
      </c>
      <c r="O185" s="1206" t="s">
        <v>1480</v>
      </c>
    </row>
    <row r="186" spans="1:18" s="1159" customFormat="1" ht="60" x14ac:dyDescent="0.25">
      <c r="A186" s="1172">
        <v>2022180</v>
      </c>
      <c r="B186" s="1172">
        <v>7655</v>
      </c>
      <c r="C186" s="1172" t="s">
        <v>670</v>
      </c>
      <c r="D186" s="1190" t="s">
        <v>688</v>
      </c>
      <c r="E186" s="1210">
        <v>80111600</v>
      </c>
      <c r="F186" s="1216" t="s">
        <v>884</v>
      </c>
      <c r="G186" s="1204" t="s">
        <v>1440</v>
      </c>
      <c r="H186" s="1204" t="s">
        <v>1440</v>
      </c>
      <c r="I186" s="1204" t="s">
        <v>1485</v>
      </c>
      <c r="J186" s="1195" t="s">
        <v>1479</v>
      </c>
      <c r="K186" s="1176" t="s">
        <v>676</v>
      </c>
      <c r="L186" s="1218" t="s">
        <v>677</v>
      </c>
      <c r="M186" s="1179">
        <v>45697000</v>
      </c>
      <c r="N186" s="1197" t="s">
        <v>732</v>
      </c>
      <c r="O186" s="1206" t="s">
        <v>1480</v>
      </c>
    </row>
    <row r="187" spans="1:18" s="1159" customFormat="1" ht="60" x14ac:dyDescent="0.25">
      <c r="A187" s="1172">
        <v>2022181</v>
      </c>
      <c r="B187" s="1172">
        <v>7655</v>
      </c>
      <c r="C187" s="1172" t="s">
        <v>670</v>
      </c>
      <c r="D187" s="1190" t="s">
        <v>688</v>
      </c>
      <c r="E187" s="1210">
        <v>80111600</v>
      </c>
      <c r="F187" s="1216" t="s">
        <v>884</v>
      </c>
      <c r="G187" s="1204" t="s">
        <v>1440</v>
      </c>
      <c r="H187" s="1204" t="s">
        <v>1440</v>
      </c>
      <c r="I187" s="1204" t="s">
        <v>1485</v>
      </c>
      <c r="J187" s="1195" t="s">
        <v>1479</v>
      </c>
      <c r="K187" s="1176" t="s">
        <v>676</v>
      </c>
      <c r="L187" s="1218" t="s">
        <v>677</v>
      </c>
      <c r="M187" s="1179">
        <v>79351000</v>
      </c>
      <c r="N187" s="1197" t="s">
        <v>732</v>
      </c>
      <c r="O187" s="1206" t="s">
        <v>1480</v>
      </c>
    </row>
    <row r="188" spans="1:18" s="1159" customFormat="1" ht="60" x14ac:dyDescent="0.25">
      <c r="A188" s="1172">
        <v>2022182</v>
      </c>
      <c r="B188" s="1172">
        <v>7655</v>
      </c>
      <c r="C188" s="1172" t="s">
        <v>670</v>
      </c>
      <c r="D188" s="1190" t="s">
        <v>688</v>
      </c>
      <c r="E188" s="1210">
        <v>80111600</v>
      </c>
      <c r="F188" s="1216" t="s">
        <v>884</v>
      </c>
      <c r="G188" s="1204" t="s">
        <v>1440</v>
      </c>
      <c r="H188" s="1204" t="s">
        <v>1440</v>
      </c>
      <c r="I188" s="1204" t="s">
        <v>1485</v>
      </c>
      <c r="J188" s="1195" t="s">
        <v>1479</v>
      </c>
      <c r="K188" s="1176" t="s">
        <v>676</v>
      </c>
      <c r="L188" s="1218" t="s">
        <v>677</v>
      </c>
      <c r="M188" s="1179">
        <v>79351000</v>
      </c>
      <c r="N188" s="1197" t="s">
        <v>732</v>
      </c>
      <c r="O188" s="1206" t="s">
        <v>1480</v>
      </c>
    </row>
    <row r="189" spans="1:18" s="1159" customFormat="1" ht="60" x14ac:dyDescent="0.25">
      <c r="A189" s="1172">
        <v>2022183</v>
      </c>
      <c r="B189" s="1172">
        <v>7655</v>
      </c>
      <c r="C189" s="1172" t="s">
        <v>670</v>
      </c>
      <c r="D189" s="1190" t="s">
        <v>688</v>
      </c>
      <c r="E189" s="1210">
        <v>80111600</v>
      </c>
      <c r="F189" s="1216" t="s">
        <v>884</v>
      </c>
      <c r="G189" s="1204" t="s">
        <v>1440</v>
      </c>
      <c r="H189" s="1204" t="s">
        <v>1440</v>
      </c>
      <c r="I189" s="1204" t="s">
        <v>1485</v>
      </c>
      <c r="J189" s="1195" t="s">
        <v>1479</v>
      </c>
      <c r="K189" s="1176" t="s">
        <v>676</v>
      </c>
      <c r="L189" s="1218" t="s">
        <v>677</v>
      </c>
      <c r="M189" s="1179">
        <v>79351000</v>
      </c>
      <c r="N189" s="1197" t="s">
        <v>732</v>
      </c>
      <c r="O189" s="1206" t="s">
        <v>1480</v>
      </c>
    </row>
    <row r="190" spans="1:18" s="1159" customFormat="1" ht="60" x14ac:dyDescent="0.25">
      <c r="A190" s="1172">
        <v>2022184</v>
      </c>
      <c r="B190" s="1172">
        <v>7655</v>
      </c>
      <c r="C190" s="1172" t="s">
        <v>670</v>
      </c>
      <c r="D190" s="1190" t="s">
        <v>684</v>
      </c>
      <c r="E190" s="1191">
        <v>80111600</v>
      </c>
      <c r="F190" s="1198" t="s">
        <v>885</v>
      </c>
      <c r="G190" s="1193">
        <v>44566</v>
      </c>
      <c r="H190" s="1193">
        <v>44568</v>
      </c>
      <c r="I190" s="1204" t="s">
        <v>1490</v>
      </c>
      <c r="J190" s="1195" t="s">
        <v>1479</v>
      </c>
      <c r="K190" s="1176" t="s">
        <v>676</v>
      </c>
      <c r="L190" s="1178" t="s">
        <v>784</v>
      </c>
      <c r="M190" s="1196">
        <v>106950000</v>
      </c>
      <c r="N190" s="1197" t="s">
        <v>732</v>
      </c>
      <c r="O190" s="1206" t="s">
        <v>1480</v>
      </c>
    </row>
    <row r="191" spans="1:18" s="1159" customFormat="1" ht="60" x14ac:dyDescent="0.25">
      <c r="A191" s="1172">
        <v>2022185</v>
      </c>
      <c r="B191" s="1172">
        <v>7655</v>
      </c>
      <c r="C191" s="1172" t="s">
        <v>670</v>
      </c>
      <c r="D191" s="1190" t="s">
        <v>684</v>
      </c>
      <c r="E191" s="1191">
        <v>80111600</v>
      </c>
      <c r="F191" s="1198" t="s">
        <v>886</v>
      </c>
      <c r="G191" s="1193">
        <v>44566</v>
      </c>
      <c r="H191" s="1193">
        <v>44568</v>
      </c>
      <c r="I191" s="1204" t="s">
        <v>1490</v>
      </c>
      <c r="J191" s="1195" t="s">
        <v>1479</v>
      </c>
      <c r="K191" s="1176" t="s">
        <v>676</v>
      </c>
      <c r="L191" s="1178" t="s">
        <v>784</v>
      </c>
      <c r="M191" s="1196">
        <v>78200000</v>
      </c>
      <c r="N191" s="1197" t="s">
        <v>732</v>
      </c>
      <c r="O191" s="1206" t="s">
        <v>1480</v>
      </c>
    </row>
    <row r="192" spans="1:18" s="1159" customFormat="1" ht="60" x14ac:dyDescent="0.25">
      <c r="A192" s="1172">
        <v>2022186</v>
      </c>
      <c r="B192" s="1172">
        <v>7655</v>
      </c>
      <c r="C192" s="1172" t="s">
        <v>670</v>
      </c>
      <c r="D192" s="1190" t="s">
        <v>684</v>
      </c>
      <c r="E192" s="1191">
        <v>80111600</v>
      </c>
      <c r="F192" s="1198" t="s">
        <v>887</v>
      </c>
      <c r="G192" s="1193">
        <v>44566</v>
      </c>
      <c r="H192" s="1193">
        <v>44568</v>
      </c>
      <c r="I192" s="1204" t="s">
        <v>1490</v>
      </c>
      <c r="J192" s="1195" t="s">
        <v>1479</v>
      </c>
      <c r="K192" s="1176" t="s">
        <v>676</v>
      </c>
      <c r="L192" s="1178" t="s">
        <v>784</v>
      </c>
      <c r="M192" s="1196">
        <v>92000000</v>
      </c>
      <c r="N192" s="1197" t="s">
        <v>732</v>
      </c>
      <c r="O192" s="1206" t="s">
        <v>1480</v>
      </c>
    </row>
    <row r="193" spans="1:15" s="1159" customFormat="1" ht="60" x14ac:dyDescent="0.25">
      <c r="A193" s="1172">
        <v>2022187</v>
      </c>
      <c r="B193" s="1172">
        <v>7655</v>
      </c>
      <c r="C193" s="1172" t="s">
        <v>670</v>
      </c>
      <c r="D193" s="1190" t="s">
        <v>684</v>
      </c>
      <c r="E193" s="1191">
        <v>80111600</v>
      </c>
      <c r="F193" s="1198" t="s">
        <v>888</v>
      </c>
      <c r="G193" s="1193">
        <v>44566</v>
      </c>
      <c r="H193" s="1193">
        <v>44568</v>
      </c>
      <c r="I193" s="1204" t="s">
        <v>1490</v>
      </c>
      <c r="J193" s="1195" t="s">
        <v>1479</v>
      </c>
      <c r="K193" s="1176" t="s">
        <v>676</v>
      </c>
      <c r="L193" s="1178" t="s">
        <v>677</v>
      </c>
      <c r="M193" s="1196">
        <v>80500000</v>
      </c>
      <c r="N193" s="1197" t="s">
        <v>732</v>
      </c>
      <c r="O193" s="1206" t="s">
        <v>1480</v>
      </c>
    </row>
    <row r="194" spans="1:15" s="1159" customFormat="1" ht="60" x14ac:dyDescent="0.25">
      <c r="A194" s="1172">
        <v>2022188</v>
      </c>
      <c r="B194" s="1172">
        <v>7655</v>
      </c>
      <c r="C194" s="1172" t="s">
        <v>670</v>
      </c>
      <c r="D194" s="1190" t="s">
        <v>684</v>
      </c>
      <c r="E194" s="1191">
        <v>80111600</v>
      </c>
      <c r="F194" s="1198" t="s">
        <v>889</v>
      </c>
      <c r="G194" s="1193">
        <v>44566</v>
      </c>
      <c r="H194" s="1193">
        <v>44568</v>
      </c>
      <c r="I194" s="1204" t="s">
        <v>1490</v>
      </c>
      <c r="J194" s="1195" t="s">
        <v>1479</v>
      </c>
      <c r="K194" s="1176" t="s">
        <v>676</v>
      </c>
      <c r="L194" s="1178" t="s">
        <v>784</v>
      </c>
      <c r="M194" s="1196">
        <v>87975000</v>
      </c>
      <c r="N194" s="1197" t="s">
        <v>732</v>
      </c>
      <c r="O194" s="1206" t="s">
        <v>1480</v>
      </c>
    </row>
    <row r="195" spans="1:15" s="1159" customFormat="1" ht="60" x14ac:dyDescent="0.25">
      <c r="A195" s="1172">
        <v>2022189</v>
      </c>
      <c r="B195" s="1172">
        <v>7655</v>
      </c>
      <c r="C195" s="1172" t="s">
        <v>670</v>
      </c>
      <c r="D195" s="1190" t="s">
        <v>684</v>
      </c>
      <c r="E195" s="1191">
        <v>80111600</v>
      </c>
      <c r="F195" s="1198" t="s">
        <v>889</v>
      </c>
      <c r="G195" s="1193">
        <v>44566</v>
      </c>
      <c r="H195" s="1193">
        <v>44568</v>
      </c>
      <c r="I195" s="1204" t="s">
        <v>1490</v>
      </c>
      <c r="J195" s="1195" t="s">
        <v>1479</v>
      </c>
      <c r="K195" s="1176" t="s">
        <v>676</v>
      </c>
      <c r="L195" s="1178" t="s">
        <v>784</v>
      </c>
      <c r="M195" s="1196">
        <v>87975000</v>
      </c>
      <c r="N195" s="1197" t="s">
        <v>732</v>
      </c>
      <c r="O195" s="1206" t="s">
        <v>1480</v>
      </c>
    </row>
    <row r="196" spans="1:15" s="1159" customFormat="1" ht="60" x14ac:dyDescent="0.25">
      <c r="A196" s="1172">
        <v>2022190</v>
      </c>
      <c r="B196" s="1172">
        <v>7655</v>
      </c>
      <c r="C196" s="1172" t="s">
        <v>670</v>
      </c>
      <c r="D196" s="1190" t="s">
        <v>684</v>
      </c>
      <c r="E196" s="1191">
        <v>80111600</v>
      </c>
      <c r="F196" s="1198" t="s">
        <v>889</v>
      </c>
      <c r="G196" s="1193">
        <v>44566</v>
      </c>
      <c r="H196" s="1193">
        <v>44568</v>
      </c>
      <c r="I196" s="1204" t="s">
        <v>1490</v>
      </c>
      <c r="J196" s="1195" t="s">
        <v>1479</v>
      </c>
      <c r="K196" s="1176" t="s">
        <v>676</v>
      </c>
      <c r="L196" s="1178" t="s">
        <v>784</v>
      </c>
      <c r="M196" s="1196">
        <v>87975000</v>
      </c>
      <c r="N196" s="1197" t="s">
        <v>732</v>
      </c>
      <c r="O196" s="1206" t="s">
        <v>1480</v>
      </c>
    </row>
    <row r="197" spans="1:15" s="1159" customFormat="1" ht="60" x14ac:dyDescent="0.25">
      <c r="A197" s="1172">
        <v>2022191</v>
      </c>
      <c r="B197" s="1172">
        <v>7655</v>
      </c>
      <c r="C197" s="1172" t="s">
        <v>670</v>
      </c>
      <c r="D197" s="1190" t="s">
        <v>684</v>
      </c>
      <c r="E197" s="1191">
        <v>80111600</v>
      </c>
      <c r="F197" s="1198" t="s">
        <v>889</v>
      </c>
      <c r="G197" s="1193">
        <v>44566</v>
      </c>
      <c r="H197" s="1193">
        <v>44568</v>
      </c>
      <c r="I197" s="1204" t="s">
        <v>1490</v>
      </c>
      <c r="J197" s="1195" t="s">
        <v>1479</v>
      </c>
      <c r="K197" s="1176" t="s">
        <v>676</v>
      </c>
      <c r="L197" s="1178" t="s">
        <v>784</v>
      </c>
      <c r="M197" s="1196">
        <v>87975000</v>
      </c>
      <c r="N197" s="1197" t="s">
        <v>732</v>
      </c>
      <c r="O197" s="1206" t="s">
        <v>1480</v>
      </c>
    </row>
    <row r="198" spans="1:15" s="1159" customFormat="1" ht="60" x14ac:dyDescent="0.25">
      <c r="A198" s="1172">
        <v>2022192</v>
      </c>
      <c r="B198" s="1172">
        <v>7655</v>
      </c>
      <c r="C198" s="1172" t="s">
        <v>670</v>
      </c>
      <c r="D198" s="1190" t="s">
        <v>684</v>
      </c>
      <c r="E198" s="1191">
        <v>80111600</v>
      </c>
      <c r="F198" s="1198" t="s">
        <v>889</v>
      </c>
      <c r="G198" s="1193">
        <v>44566</v>
      </c>
      <c r="H198" s="1193">
        <v>44568</v>
      </c>
      <c r="I198" s="1204" t="s">
        <v>1490</v>
      </c>
      <c r="J198" s="1195" t="s">
        <v>1479</v>
      </c>
      <c r="K198" s="1176" t="s">
        <v>676</v>
      </c>
      <c r="L198" s="1178" t="s">
        <v>784</v>
      </c>
      <c r="M198" s="1196">
        <v>87975000</v>
      </c>
      <c r="N198" s="1197" t="s">
        <v>732</v>
      </c>
      <c r="O198" s="1206" t="s">
        <v>1480</v>
      </c>
    </row>
    <row r="199" spans="1:15" s="1159" customFormat="1" ht="60" x14ac:dyDescent="0.25">
      <c r="A199" s="1172">
        <v>2022193</v>
      </c>
      <c r="B199" s="1172">
        <v>7655</v>
      </c>
      <c r="C199" s="1172" t="s">
        <v>670</v>
      </c>
      <c r="D199" s="1190" t="s">
        <v>684</v>
      </c>
      <c r="E199" s="1191">
        <v>80111600</v>
      </c>
      <c r="F199" s="1198" t="s">
        <v>889</v>
      </c>
      <c r="G199" s="1193">
        <v>44566</v>
      </c>
      <c r="H199" s="1193">
        <v>44568</v>
      </c>
      <c r="I199" s="1204" t="s">
        <v>1490</v>
      </c>
      <c r="J199" s="1195" t="s">
        <v>1479</v>
      </c>
      <c r="K199" s="1176" t="s">
        <v>676</v>
      </c>
      <c r="L199" s="1178" t="s">
        <v>784</v>
      </c>
      <c r="M199" s="1196">
        <v>87975000</v>
      </c>
      <c r="N199" s="1197" t="s">
        <v>732</v>
      </c>
      <c r="O199" s="1206" t="s">
        <v>1480</v>
      </c>
    </row>
    <row r="200" spans="1:15" s="1159" customFormat="1" ht="60" x14ac:dyDescent="0.25">
      <c r="A200" s="1172">
        <v>2022194</v>
      </c>
      <c r="B200" s="1172">
        <v>7655</v>
      </c>
      <c r="C200" s="1172" t="s">
        <v>670</v>
      </c>
      <c r="D200" s="1190" t="s">
        <v>684</v>
      </c>
      <c r="E200" s="1191">
        <v>80111600</v>
      </c>
      <c r="F200" s="1198" t="s">
        <v>890</v>
      </c>
      <c r="G200" s="1193">
        <v>44566</v>
      </c>
      <c r="H200" s="1193">
        <v>44568</v>
      </c>
      <c r="I200" s="1204" t="s">
        <v>1490</v>
      </c>
      <c r="J200" s="1195" t="s">
        <v>1479</v>
      </c>
      <c r="K200" s="1176" t="s">
        <v>676</v>
      </c>
      <c r="L200" s="1178" t="s">
        <v>784</v>
      </c>
      <c r="M200" s="1196">
        <v>42642000</v>
      </c>
      <c r="N200" s="1197" t="s">
        <v>732</v>
      </c>
      <c r="O200" s="1206" t="s">
        <v>1480</v>
      </c>
    </row>
    <row r="201" spans="1:15" s="1159" customFormat="1" ht="60" x14ac:dyDescent="0.25">
      <c r="A201" s="1172">
        <v>2022195</v>
      </c>
      <c r="B201" s="1172">
        <v>7655</v>
      </c>
      <c r="C201" s="1172" t="s">
        <v>670</v>
      </c>
      <c r="D201" s="1190" t="s">
        <v>684</v>
      </c>
      <c r="E201" s="1191">
        <v>80111600</v>
      </c>
      <c r="F201" s="1198" t="s">
        <v>890</v>
      </c>
      <c r="G201" s="1193">
        <v>44566</v>
      </c>
      <c r="H201" s="1193">
        <v>44568</v>
      </c>
      <c r="I201" s="1204" t="s">
        <v>1490</v>
      </c>
      <c r="J201" s="1195" t="s">
        <v>1479</v>
      </c>
      <c r="K201" s="1176" t="s">
        <v>676</v>
      </c>
      <c r="L201" s="1178" t="s">
        <v>784</v>
      </c>
      <c r="M201" s="1196">
        <v>42642000</v>
      </c>
      <c r="N201" s="1197" t="s">
        <v>732</v>
      </c>
      <c r="O201" s="1206" t="s">
        <v>1480</v>
      </c>
    </row>
    <row r="202" spans="1:15" s="1159" customFormat="1" ht="60" x14ac:dyDescent="0.25">
      <c r="A202" s="1172">
        <v>2022196</v>
      </c>
      <c r="B202" s="1172">
        <v>7655</v>
      </c>
      <c r="C202" s="1172" t="s">
        <v>670</v>
      </c>
      <c r="D202" s="1190" t="s">
        <v>684</v>
      </c>
      <c r="E202" s="1191">
        <v>80111600</v>
      </c>
      <c r="F202" s="1198" t="s">
        <v>889</v>
      </c>
      <c r="G202" s="1193">
        <v>44566</v>
      </c>
      <c r="H202" s="1193">
        <v>44568</v>
      </c>
      <c r="I202" s="1204" t="s">
        <v>1491</v>
      </c>
      <c r="J202" s="1195" t="s">
        <v>1479</v>
      </c>
      <c r="K202" s="1176" t="s">
        <v>676</v>
      </c>
      <c r="L202" s="1178" t="s">
        <v>784</v>
      </c>
      <c r="M202" s="1196">
        <v>71103000</v>
      </c>
      <c r="N202" s="1197" t="s">
        <v>732</v>
      </c>
      <c r="O202" s="1206" t="s">
        <v>1480</v>
      </c>
    </row>
    <row r="203" spans="1:15" s="1159" customFormat="1" ht="60" x14ac:dyDescent="0.25">
      <c r="A203" s="1172">
        <v>2022197</v>
      </c>
      <c r="B203" s="1172">
        <v>7655</v>
      </c>
      <c r="C203" s="1172" t="s">
        <v>670</v>
      </c>
      <c r="D203" s="1190" t="s">
        <v>684</v>
      </c>
      <c r="E203" s="1191">
        <v>80111600</v>
      </c>
      <c r="F203" s="1198" t="s">
        <v>891</v>
      </c>
      <c r="G203" s="1193">
        <v>44566</v>
      </c>
      <c r="H203" s="1193">
        <v>44568</v>
      </c>
      <c r="I203" s="1204" t="s">
        <v>1490</v>
      </c>
      <c r="J203" s="1195" t="s">
        <v>1479</v>
      </c>
      <c r="K203" s="1176" t="s">
        <v>676</v>
      </c>
      <c r="L203" s="1178" t="s">
        <v>784</v>
      </c>
      <c r="M203" s="1196">
        <v>61295000</v>
      </c>
      <c r="N203" s="1197" t="s">
        <v>732</v>
      </c>
      <c r="O203" s="1206" t="s">
        <v>1480</v>
      </c>
    </row>
    <row r="204" spans="1:15" s="1159" customFormat="1" ht="60" x14ac:dyDescent="0.25">
      <c r="A204" s="1172">
        <v>2022198</v>
      </c>
      <c r="B204" s="1172">
        <v>7655</v>
      </c>
      <c r="C204" s="1172" t="s">
        <v>670</v>
      </c>
      <c r="D204" s="1190" t="s">
        <v>684</v>
      </c>
      <c r="E204" s="1191">
        <v>80111600</v>
      </c>
      <c r="F204" s="1198" t="s">
        <v>892</v>
      </c>
      <c r="G204" s="1193">
        <v>44566</v>
      </c>
      <c r="H204" s="1193">
        <v>44568</v>
      </c>
      <c r="I204" s="1204" t="s">
        <v>1490</v>
      </c>
      <c r="J204" s="1195" t="s">
        <v>1479</v>
      </c>
      <c r="K204" s="1176" t="s">
        <v>676</v>
      </c>
      <c r="L204" s="1178" t="s">
        <v>784</v>
      </c>
      <c r="M204" s="1196">
        <v>358041000</v>
      </c>
      <c r="N204" s="1197" t="s">
        <v>732</v>
      </c>
      <c r="O204" s="1206" t="s">
        <v>1480</v>
      </c>
    </row>
    <row r="205" spans="1:15" s="1159" customFormat="1" ht="60" x14ac:dyDescent="0.25">
      <c r="A205" s="1172">
        <v>2022199</v>
      </c>
      <c r="B205" s="1172">
        <v>7655</v>
      </c>
      <c r="C205" s="1172" t="s">
        <v>670</v>
      </c>
      <c r="D205" s="1190" t="s">
        <v>684</v>
      </c>
      <c r="E205" s="1191">
        <v>80111600</v>
      </c>
      <c r="F205" s="1198" t="s">
        <v>893</v>
      </c>
      <c r="G205" s="1193">
        <v>44566</v>
      </c>
      <c r="H205" s="1193">
        <v>44568</v>
      </c>
      <c r="I205" s="1204" t="s">
        <v>1490</v>
      </c>
      <c r="J205" s="1195" t="s">
        <v>1479</v>
      </c>
      <c r="K205" s="1176" t="s">
        <v>676</v>
      </c>
      <c r="L205" s="1178" t="s">
        <v>677</v>
      </c>
      <c r="M205" s="1196">
        <v>38525000</v>
      </c>
      <c r="N205" s="1197" t="s">
        <v>732</v>
      </c>
      <c r="O205" s="1206" t="s">
        <v>1480</v>
      </c>
    </row>
    <row r="206" spans="1:15" s="1159" customFormat="1" ht="60" x14ac:dyDescent="0.25">
      <c r="A206" s="1172">
        <v>2022200</v>
      </c>
      <c r="B206" s="1172">
        <v>7655</v>
      </c>
      <c r="C206" s="1172" t="s">
        <v>670</v>
      </c>
      <c r="D206" s="1190" t="s">
        <v>684</v>
      </c>
      <c r="E206" s="1191">
        <v>80111600</v>
      </c>
      <c r="F206" s="1198" t="s">
        <v>894</v>
      </c>
      <c r="G206" s="1193">
        <v>44566</v>
      </c>
      <c r="H206" s="1193">
        <v>44568</v>
      </c>
      <c r="I206" s="1204" t="s">
        <v>1490</v>
      </c>
      <c r="J206" s="1195" t="s">
        <v>1479</v>
      </c>
      <c r="K206" s="1176" t="s">
        <v>676</v>
      </c>
      <c r="L206" s="1178" t="s">
        <v>677</v>
      </c>
      <c r="M206" s="1196">
        <v>32200000</v>
      </c>
      <c r="N206" s="1197" t="s">
        <v>732</v>
      </c>
      <c r="O206" s="1206" t="s">
        <v>1480</v>
      </c>
    </row>
    <row r="207" spans="1:15" s="1159" customFormat="1" ht="60" x14ac:dyDescent="0.25">
      <c r="A207" s="1172">
        <v>2022201</v>
      </c>
      <c r="B207" s="1172">
        <v>7655</v>
      </c>
      <c r="C207" s="1172" t="s">
        <v>670</v>
      </c>
      <c r="D207" s="1190" t="s">
        <v>684</v>
      </c>
      <c r="E207" s="1191">
        <v>80111600</v>
      </c>
      <c r="F207" s="1198" t="s">
        <v>894</v>
      </c>
      <c r="G207" s="1193">
        <v>44566</v>
      </c>
      <c r="H207" s="1193">
        <v>44568</v>
      </c>
      <c r="I207" s="1204" t="s">
        <v>1490</v>
      </c>
      <c r="J207" s="1195" t="s">
        <v>1479</v>
      </c>
      <c r="K207" s="1176" t="s">
        <v>676</v>
      </c>
      <c r="L207" s="1178" t="s">
        <v>677</v>
      </c>
      <c r="M207" s="1196">
        <v>32200000</v>
      </c>
      <c r="N207" s="1197" t="s">
        <v>732</v>
      </c>
      <c r="O207" s="1206" t="s">
        <v>1480</v>
      </c>
    </row>
    <row r="208" spans="1:15" s="1159" customFormat="1" ht="60" x14ac:dyDescent="0.25">
      <c r="A208" s="1172">
        <v>2022202</v>
      </c>
      <c r="B208" s="1172">
        <v>7655</v>
      </c>
      <c r="C208" s="1172" t="s">
        <v>670</v>
      </c>
      <c r="D208" s="1190" t="s">
        <v>684</v>
      </c>
      <c r="E208" s="1191">
        <v>80111600</v>
      </c>
      <c r="F208" s="1198" t="s">
        <v>894</v>
      </c>
      <c r="G208" s="1193">
        <v>44566</v>
      </c>
      <c r="H208" s="1193">
        <v>44568</v>
      </c>
      <c r="I208" s="1204" t="s">
        <v>1490</v>
      </c>
      <c r="J208" s="1195" t="s">
        <v>1479</v>
      </c>
      <c r="K208" s="1176" t="s">
        <v>676</v>
      </c>
      <c r="L208" s="1178" t="s">
        <v>677</v>
      </c>
      <c r="M208" s="1196">
        <v>32200000</v>
      </c>
      <c r="N208" s="1197" t="s">
        <v>732</v>
      </c>
      <c r="O208" s="1206" t="s">
        <v>1480</v>
      </c>
    </row>
    <row r="209" spans="1:17" s="1159" customFormat="1" ht="60" x14ac:dyDescent="0.25">
      <c r="A209" s="1172">
        <v>2022203</v>
      </c>
      <c r="B209" s="1172">
        <v>7655</v>
      </c>
      <c r="C209" s="1172" t="s">
        <v>670</v>
      </c>
      <c r="D209" s="1190" t="s">
        <v>684</v>
      </c>
      <c r="E209" s="1191">
        <v>80111600</v>
      </c>
      <c r="F209" s="1198" t="s">
        <v>894</v>
      </c>
      <c r="G209" s="1193">
        <v>44566</v>
      </c>
      <c r="H209" s="1193">
        <v>44568</v>
      </c>
      <c r="I209" s="1204" t="s">
        <v>1490</v>
      </c>
      <c r="J209" s="1195" t="s">
        <v>1479</v>
      </c>
      <c r="K209" s="1176" t="s">
        <v>676</v>
      </c>
      <c r="L209" s="1178" t="s">
        <v>677</v>
      </c>
      <c r="M209" s="1196">
        <v>37950000</v>
      </c>
      <c r="N209" s="1197" t="s">
        <v>732</v>
      </c>
      <c r="O209" s="1206" t="s">
        <v>1480</v>
      </c>
    </row>
    <row r="210" spans="1:17" s="1159" customFormat="1" ht="60" x14ac:dyDescent="0.25">
      <c r="A210" s="1172">
        <v>2022204</v>
      </c>
      <c r="B210" s="1172">
        <v>7655</v>
      </c>
      <c r="C210" s="1172" t="s">
        <v>670</v>
      </c>
      <c r="D210" s="1190" t="s">
        <v>684</v>
      </c>
      <c r="E210" s="1191">
        <v>80111600</v>
      </c>
      <c r="F210" s="1198" t="s">
        <v>895</v>
      </c>
      <c r="G210" s="1193">
        <v>44566</v>
      </c>
      <c r="H210" s="1193">
        <v>44568</v>
      </c>
      <c r="I210" s="1204" t="s">
        <v>1490</v>
      </c>
      <c r="J210" s="1195" t="s">
        <v>1479</v>
      </c>
      <c r="K210" s="1176" t="s">
        <v>676</v>
      </c>
      <c r="L210" s="1178" t="s">
        <v>677</v>
      </c>
      <c r="M210" s="1196">
        <v>52900000</v>
      </c>
      <c r="N210" s="1197" t="s">
        <v>732</v>
      </c>
      <c r="O210" s="1206" t="s">
        <v>1480</v>
      </c>
    </row>
    <row r="211" spans="1:17" s="1159" customFormat="1" ht="60" x14ac:dyDescent="0.25">
      <c r="A211" s="1172">
        <v>2022205</v>
      </c>
      <c r="B211" s="1172">
        <v>7655</v>
      </c>
      <c r="C211" s="1172" t="s">
        <v>670</v>
      </c>
      <c r="D211" s="1190" t="s">
        <v>684</v>
      </c>
      <c r="E211" s="1191">
        <v>80111600</v>
      </c>
      <c r="F211" s="1198" t="s">
        <v>896</v>
      </c>
      <c r="G211" s="1193">
        <v>44566</v>
      </c>
      <c r="H211" s="1193">
        <v>44568</v>
      </c>
      <c r="I211" s="1204" t="s">
        <v>1481</v>
      </c>
      <c r="J211" s="1195" t="s">
        <v>1479</v>
      </c>
      <c r="K211" s="1176" t="s">
        <v>676</v>
      </c>
      <c r="L211" s="1178" t="s">
        <v>677</v>
      </c>
      <c r="M211" s="1196">
        <v>37080000</v>
      </c>
      <c r="N211" s="1197" t="s">
        <v>732</v>
      </c>
      <c r="O211" s="1206" t="s">
        <v>1480</v>
      </c>
    </row>
    <row r="212" spans="1:17" s="1159" customFormat="1" ht="60" x14ac:dyDescent="0.25">
      <c r="A212" s="1172">
        <v>2022206</v>
      </c>
      <c r="B212" s="1172">
        <v>7655</v>
      </c>
      <c r="C212" s="1172" t="s">
        <v>670</v>
      </c>
      <c r="D212" s="1190" t="s">
        <v>684</v>
      </c>
      <c r="E212" s="1172">
        <v>80111600</v>
      </c>
      <c r="F212" s="1192" t="s">
        <v>897</v>
      </c>
      <c r="G212" s="1193">
        <v>44566</v>
      </c>
      <c r="H212" s="1193">
        <v>44568</v>
      </c>
      <c r="I212" s="1204" t="s">
        <v>1481</v>
      </c>
      <c r="J212" s="1195" t="s">
        <v>1479</v>
      </c>
      <c r="K212" s="1176" t="s">
        <v>676</v>
      </c>
      <c r="L212" s="1178" t="s">
        <v>677</v>
      </c>
      <c r="M212" s="1179">
        <v>16800000</v>
      </c>
      <c r="N212" s="1197" t="s">
        <v>732</v>
      </c>
      <c r="O212" s="1206" t="s">
        <v>1480</v>
      </c>
    </row>
    <row r="213" spans="1:17" s="1159" customFormat="1" ht="60" x14ac:dyDescent="0.25">
      <c r="A213" s="1172">
        <v>2022207</v>
      </c>
      <c r="B213" s="1172">
        <v>7655</v>
      </c>
      <c r="C213" s="1172" t="s">
        <v>670</v>
      </c>
      <c r="D213" s="1190" t="s">
        <v>684</v>
      </c>
      <c r="E213" s="1172">
        <v>80111600</v>
      </c>
      <c r="F213" s="1192" t="s">
        <v>898</v>
      </c>
      <c r="G213" s="1193">
        <v>44566</v>
      </c>
      <c r="H213" s="1193">
        <v>44568</v>
      </c>
      <c r="I213" s="1204" t="s">
        <v>1492</v>
      </c>
      <c r="J213" s="1195" t="s">
        <v>1479</v>
      </c>
      <c r="K213" s="1176" t="s">
        <v>676</v>
      </c>
      <c r="L213" s="1178" t="s">
        <v>677</v>
      </c>
      <c r="M213" s="1179">
        <v>17500000</v>
      </c>
      <c r="N213" s="1197" t="s">
        <v>732</v>
      </c>
      <c r="O213" s="1206" t="s">
        <v>1480</v>
      </c>
    </row>
    <row r="214" spans="1:17" s="1159" customFormat="1" ht="60" x14ac:dyDescent="0.25">
      <c r="A214" s="1172">
        <v>2022208</v>
      </c>
      <c r="B214" s="1172">
        <v>7655</v>
      </c>
      <c r="C214" s="1172" t="s">
        <v>670</v>
      </c>
      <c r="D214" s="1190" t="s">
        <v>673</v>
      </c>
      <c r="E214" s="1191">
        <v>80111600</v>
      </c>
      <c r="F214" s="1192" t="s">
        <v>899</v>
      </c>
      <c r="G214" s="1193" t="s">
        <v>1440</v>
      </c>
      <c r="H214" s="1212" t="s">
        <v>1440</v>
      </c>
      <c r="I214" s="1215" t="s">
        <v>1493</v>
      </c>
      <c r="J214" s="1195" t="s">
        <v>1479</v>
      </c>
      <c r="K214" s="1176" t="s">
        <v>676</v>
      </c>
      <c r="L214" s="1219" t="s">
        <v>677</v>
      </c>
      <c r="M214" s="1196">
        <v>106950000</v>
      </c>
      <c r="N214" s="1197" t="s">
        <v>732</v>
      </c>
      <c r="O214" s="1206" t="s">
        <v>1480</v>
      </c>
    </row>
    <row r="215" spans="1:17" s="1159" customFormat="1" ht="60" x14ac:dyDescent="0.25">
      <c r="A215" s="1172">
        <v>2022209</v>
      </c>
      <c r="B215" s="1172">
        <v>7655</v>
      </c>
      <c r="C215" s="1172" t="s">
        <v>670</v>
      </c>
      <c r="D215" s="1190" t="s">
        <v>673</v>
      </c>
      <c r="E215" s="1191">
        <v>80111600</v>
      </c>
      <c r="F215" s="1175" t="s">
        <v>900</v>
      </c>
      <c r="G215" s="1193" t="s">
        <v>1440</v>
      </c>
      <c r="H215" s="1212" t="s">
        <v>1440</v>
      </c>
      <c r="I215" s="1215" t="s">
        <v>1493</v>
      </c>
      <c r="J215" s="1195" t="s">
        <v>1479</v>
      </c>
      <c r="K215" s="1176" t="s">
        <v>676</v>
      </c>
      <c r="L215" s="1219" t="s">
        <v>677</v>
      </c>
      <c r="M215" s="1196">
        <v>97750000</v>
      </c>
      <c r="N215" s="1197" t="s">
        <v>732</v>
      </c>
      <c r="O215" s="1206" t="s">
        <v>1480</v>
      </c>
    </row>
    <row r="216" spans="1:17" s="1159" customFormat="1" ht="60" x14ac:dyDescent="0.25">
      <c r="A216" s="1172">
        <v>2022210</v>
      </c>
      <c r="B216" s="1172">
        <v>7655</v>
      </c>
      <c r="C216" s="1172" t="s">
        <v>670</v>
      </c>
      <c r="D216" s="1190" t="s">
        <v>673</v>
      </c>
      <c r="E216" s="1191">
        <v>80111600</v>
      </c>
      <c r="F216" s="1192" t="s">
        <v>901</v>
      </c>
      <c r="G216" s="1193" t="s">
        <v>1440</v>
      </c>
      <c r="H216" s="1212" t="s">
        <v>1440</v>
      </c>
      <c r="I216" s="1215" t="s">
        <v>1493</v>
      </c>
      <c r="J216" s="1195" t="s">
        <v>1479</v>
      </c>
      <c r="K216" s="1176" t="s">
        <v>676</v>
      </c>
      <c r="L216" s="1219" t="s">
        <v>677</v>
      </c>
      <c r="M216" s="1196">
        <v>92000000</v>
      </c>
      <c r="N216" s="1197" t="s">
        <v>732</v>
      </c>
      <c r="O216" s="1206" t="s">
        <v>1480</v>
      </c>
    </row>
    <row r="217" spans="1:17" s="1159" customFormat="1" ht="60" x14ac:dyDescent="0.25">
      <c r="A217" s="1172">
        <v>2022211</v>
      </c>
      <c r="B217" s="1172">
        <v>7655</v>
      </c>
      <c r="C217" s="1172" t="s">
        <v>670</v>
      </c>
      <c r="D217" s="1190" t="s">
        <v>673</v>
      </c>
      <c r="E217" s="1191">
        <v>80111600</v>
      </c>
      <c r="F217" s="1192" t="s">
        <v>902</v>
      </c>
      <c r="G217" s="1193" t="s">
        <v>1440</v>
      </c>
      <c r="H217" s="1212" t="s">
        <v>1440</v>
      </c>
      <c r="I217" s="1215" t="s">
        <v>1493</v>
      </c>
      <c r="J217" s="1195" t="s">
        <v>1479</v>
      </c>
      <c r="K217" s="1176" t="s">
        <v>676</v>
      </c>
      <c r="L217" s="1219" t="s">
        <v>677</v>
      </c>
      <c r="M217" s="1196">
        <v>80500000</v>
      </c>
      <c r="N217" s="1197" t="s">
        <v>732</v>
      </c>
      <c r="O217" s="1206" t="s">
        <v>1480</v>
      </c>
    </row>
    <row r="218" spans="1:17" s="1159" customFormat="1" ht="60" x14ac:dyDescent="0.25">
      <c r="A218" s="1172">
        <v>2022212</v>
      </c>
      <c r="B218" s="1172">
        <v>7655</v>
      </c>
      <c r="C218" s="1172" t="s">
        <v>670</v>
      </c>
      <c r="D218" s="1190" t="s">
        <v>673</v>
      </c>
      <c r="E218" s="1191">
        <v>80111600</v>
      </c>
      <c r="F218" s="1192" t="s">
        <v>903</v>
      </c>
      <c r="G218" s="1193" t="s">
        <v>1440</v>
      </c>
      <c r="H218" s="1212" t="s">
        <v>1440</v>
      </c>
      <c r="I218" s="1215" t="s">
        <v>1493</v>
      </c>
      <c r="J218" s="1195" t="s">
        <v>1479</v>
      </c>
      <c r="K218" s="1176" t="s">
        <v>676</v>
      </c>
      <c r="L218" s="1219" t="s">
        <v>784</v>
      </c>
      <c r="M218" s="1196">
        <v>92000000</v>
      </c>
      <c r="N218" s="1197" t="s">
        <v>732</v>
      </c>
      <c r="O218" s="1206" t="s">
        <v>1480</v>
      </c>
    </row>
    <row r="219" spans="1:17" s="1159" customFormat="1" ht="60" x14ac:dyDescent="0.25">
      <c r="A219" s="1172">
        <v>2022213</v>
      </c>
      <c r="B219" s="1172">
        <v>7655</v>
      </c>
      <c r="C219" s="1172" t="s">
        <v>670</v>
      </c>
      <c r="D219" s="1190" t="s">
        <v>673</v>
      </c>
      <c r="E219" s="1191">
        <v>80111600</v>
      </c>
      <c r="F219" s="1192" t="s">
        <v>904</v>
      </c>
      <c r="G219" s="1193" t="s">
        <v>1440</v>
      </c>
      <c r="H219" s="1212" t="s">
        <v>1440</v>
      </c>
      <c r="I219" s="1215" t="s">
        <v>1493</v>
      </c>
      <c r="J219" s="1195" t="s">
        <v>1479</v>
      </c>
      <c r="K219" s="1176" t="s">
        <v>676</v>
      </c>
      <c r="L219" s="1219" t="s">
        <v>784</v>
      </c>
      <c r="M219" s="1196">
        <v>51750000</v>
      </c>
      <c r="N219" s="1197" t="s">
        <v>732</v>
      </c>
      <c r="O219" s="1206" t="s">
        <v>1480</v>
      </c>
    </row>
    <row r="220" spans="1:17" s="1159" customFormat="1" ht="60" x14ac:dyDescent="0.25">
      <c r="A220" s="1172">
        <v>2022214</v>
      </c>
      <c r="B220" s="1172">
        <v>7655</v>
      </c>
      <c r="C220" s="1172" t="s">
        <v>670</v>
      </c>
      <c r="D220" s="1190" t="s">
        <v>673</v>
      </c>
      <c r="E220" s="1191">
        <v>80111600</v>
      </c>
      <c r="F220" s="1192" t="s">
        <v>905</v>
      </c>
      <c r="G220" s="1193" t="s">
        <v>1440</v>
      </c>
      <c r="H220" s="1212" t="s">
        <v>1440</v>
      </c>
      <c r="I220" s="1215" t="s">
        <v>1494</v>
      </c>
      <c r="J220" s="1195" t="s">
        <v>1479</v>
      </c>
      <c r="K220" s="1176" t="s">
        <v>676</v>
      </c>
      <c r="L220" s="1219" t="s">
        <v>677</v>
      </c>
      <c r="M220" s="1196">
        <f>4500000*10.6666666</f>
        <v>47999999.699999996</v>
      </c>
      <c r="N220" s="1197" t="s">
        <v>732</v>
      </c>
      <c r="O220" s="1206" t="s">
        <v>1480</v>
      </c>
      <c r="Q220" s="1220">
        <f>80500000-M220</f>
        <v>32500000.300000004</v>
      </c>
    </row>
    <row r="221" spans="1:17" s="1159" customFormat="1" ht="60" x14ac:dyDescent="0.25">
      <c r="A221" s="1172">
        <v>2022215</v>
      </c>
      <c r="B221" s="1172">
        <v>7655</v>
      </c>
      <c r="C221" s="1172" t="s">
        <v>670</v>
      </c>
      <c r="D221" s="1190" t="s">
        <v>673</v>
      </c>
      <c r="E221" s="1191">
        <v>80111600</v>
      </c>
      <c r="F221" s="1192" t="s">
        <v>906</v>
      </c>
      <c r="G221" s="1193" t="s">
        <v>1440</v>
      </c>
      <c r="H221" s="1212" t="s">
        <v>1440</v>
      </c>
      <c r="I221" s="1215" t="s">
        <v>1493</v>
      </c>
      <c r="J221" s="1195" t="s">
        <v>1479</v>
      </c>
      <c r="K221" s="1176" t="s">
        <v>676</v>
      </c>
      <c r="L221" s="1219" t="s">
        <v>677</v>
      </c>
      <c r="M221" s="1196">
        <v>57500000</v>
      </c>
      <c r="N221" s="1197" t="s">
        <v>732</v>
      </c>
      <c r="O221" s="1206" t="s">
        <v>1480</v>
      </c>
      <c r="Q221" s="1168"/>
    </row>
    <row r="222" spans="1:17" s="1159" customFormat="1" ht="75" x14ac:dyDescent="0.25">
      <c r="A222" s="1172">
        <v>2022216</v>
      </c>
      <c r="B222" s="1172">
        <v>7655</v>
      </c>
      <c r="C222" s="1172" t="s">
        <v>670</v>
      </c>
      <c r="D222" s="1190" t="s">
        <v>673</v>
      </c>
      <c r="E222" s="1191">
        <v>80111600</v>
      </c>
      <c r="F222" s="1192" t="s">
        <v>907</v>
      </c>
      <c r="G222" s="1193" t="s">
        <v>1440</v>
      </c>
      <c r="H222" s="1212" t="s">
        <v>1440</v>
      </c>
      <c r="I222" s="1215" t="s">
        <v>1493</v>
      </c>
      <c r="J222" s="1195" t="s">
        <v>1479</v>
      </c>
      <c r="K222" s="1176" t="s">
        <v>676</v>
      </c>
      <c r="L222" s="1219" t="s">
        <v>677</v>
      </c>
      <c r="M222" s="1196">
        <v>80500000</v>
      </c>
      <c r="N222" s="1197" t="s">
        <v>732</v>
      </c>
      <c r="O222" s="1206" t="s">
        <v>1480</v>
      </c>
    </row>
    <row r="223" spans="1:17" s="1159" customFormat="1" ht="60" x14ac:dyDescent="0.25">
      <c r="A223" s="1172">
        <v>2022217</v>
      </c>
      <c r="B223" s="1172">
        <v>7655</v>
      </c>
      <c r="C223" s="1172" t="s">
        <v>670</v>
      </c>
      <c r="D223" s="1190" t="s">
        <v>673</v>
      </c>
      <c r="E223" s="1191">
        <v>80111600</v>
      </c>
      <c r="F223" s="1192" t="s">
        <v>908</v>
      </c>
      <c r="G223" s="1193" t="s">
        <v>1440</v>
      </c>
      <c r="H223" s="1212" t="s">
        <v>1440</v>
      </c>
      <c r="I223" s="1215" t="s">
        <v>1493</v>
      </c>
      <c r="J223" s="1195" t="s">
        <v>1479</v>
      </c>
      <c r="K223" s="1176" t="s">
        <v>676</v>
      </c>
      <c r="L223" s="1219" t="s">
        <v>677</v>
      </c>
      <c r="M223" s="1196">
        <v>57500000</v>
      </c>
      <c r="N223" s="1197" t="s">
        <v>732</v>
      </c>
      <c r="O223" s="1206" t="s">
        <v>1480</v>
      </c>
    </row>
    <row r="224" spans="1:17" s="1159" customFormat="1" ht="75" x14ac:dyDescent="0.25">
      <c r="A224" s="1172">
        <v>2022218</v>
      </c>
      <c r="B224" s="1172">
        <v>7655</v>
      </c>
      <c r="C224" s="1172" t="s">
        <v>670</v>
      </c>
      <c r="D224" s="1190" t="s">
        <v>673</v>
      </c>
      <c r="E224" s="1191">
        <v>80111600</v>
      </c>
      <c r="F224" s="1192" t="s">
        <v>909</v>
      </c>
      <c r="G224" s="1193" t="s">
        <v>1440</v>
      </c>
      <c r="H224" s="1212" t="s">
        <v>1440</v>
      </c>
      <c r="I224" s="1215" t="s">
        <v>1493</v>
      </c>
      <c r="J224" s="1195" t="s">
        <v>1479</v>
      </c>
      <c r="K224" s="1176" t="s">
        <v>676</v>
      </c>
      <c r="L224" s="1219" t="s">
        <v>677</v>
      </c>
      <c r="M224" s="1196">
        <v>57500000</v>
      </c>
      <c r="N224" s="1197" t="s">
        <v>732</v>
      </c>
      <c r="O224" s="1206" t="s">
        <v>1480</v>
      </c>
    </row>
    <row r="225" spans="1:17" s="1159" customFormat="1" ht="60" x14ac:dyDescent="0.25">
      <c r="A225" s="1172">
        <v>2022219</v>
      </c>
      <c r="B225" s="1172">
        <v>7655</v>
      </c>
      <c r="C225" s="1172" t="s">
        <v>670</v>
      </c>
      <c r="D225" s="1190" t="s">
        <v>673</v>
      </c>
      <c r="E225" s="1191">
        <v>80111600</v>
      </c>
      <c r="F225" s="1192" t="s">
        <v>910</v>
      </c>
      <c r="G225" s="1193" t="s">
        <v>1440</v>
      </c>
      <c r="H225" s="1212" t="s">
        <v>1440</v>
      </c>
      <c r="I225" s="1215" t="s">
        <v>1493</v>
      </c>
      <c r="J225" s="1195" t="s">
        <v>1479</v>
      </c>
      <c r="K225" s="1176" t="s">
        <v>676</v>
      </c>
      <c r="L225" s="1219" t="s">
        <v>677</v>
      </c>
      <c r="M225" s="1196">
        <v>57500000</v>
      </c>
      <c r="N225" s="1197" t="s">
        <v>732</v>
      </c>
      <c r="O225" s="1206" t="s">
        <v>1480</v>
      </c>
    </row>
    <row r="226" spans="1:17" s="1159" customFormat="1" ht="60" x14ac:dyDescent="0.25">
      <c r="A226" s="1172">
        <v>2022220</v>
      </c>
      <c r="B226" s="1172">
        <v>7655</v>
      </c>
      <c r="C226" s="1172" t="s">
        <v>670</v>
      </c>
      <c r="D226" s="1190" t="s">
        <v>673</v>
      </c>
      <c r="E226" s="1191">
        <v>80111600</v>
      </c>
      <c r="F226" s="1192" t="s">
        <v>911</v>
      </c>
      <c r="G226" s="1193" t="s">
        <v>1440</v>
      </c>
      <c r="H226" s="1212" t="s">
        <v>1440</v>
      </c>
      <c r="I226" s="1215" t="s">
        <v>1484</v>
      </c>
      <c r="J226" s="1195" t="s">
        <v>1479</v>
      </c>
      <c r="K226" s="1176" t="s">
        <v>676</v>
      </c>
      <c r="L226" s="1219" t="s">
        <v>677</v>
      </c>
      <c r="M226" s="1196">
        <f>10*4500000</f>
        <v>45000000</v>
      </c>
      <c r="N226" s="1197" t="s">
        <v>732</v>
      </c>
      <c r="O226" s="1206" t="s">
        <v>1480</v>
      </c>
      <c r="Q226" s="1168">
        <f>57500000-M226</f>
        <v>12500000</v>
      </c>
    </row>
    <row r="227" spans="1:17" s="1159" customFormat="1" ht="60" x14ac:dyDescent="0.25">
      <c r="A227" s="1172">
        <v>2022221</v>
      </c>
      <c r="B227" s="1172">
        <v>7655</v>
      </c>
      <c r="C227" s="1172" t="s">
        <v>670</v>
      </c>
      <c r="D227" s="1190" t="s">
        <v>673</v>
      </c>
      <c r="E227" s="1191">
        <v>80111600</v>
      </c>
      <c r="F227" s="1192" t="s">
        <v>912</v>
      </c>
      <c r="G227" s="1193" t="s">
        <v>1440</v>
      </c>
      <c r="H227" s="1212" t="s">
        <v>1440</v>
      </c>
      <c r="I227" s="1215" t="s">
        <v>1493</v>
      </c>
      <c r="J227" s="1195" t="s">
        <v>1479</v>
      </c>
      <c r="K227" s="1176" t="s">
        <v>676</v>
      </c>
      <c r="L227" s="1219" t="s">
        <v>677</v>
      </c>
      <c r="M227" s="1196">
        <v>57500000</v>
      </c>
      <c r="N227" s="1197" t="s">
        <v>732</v>
      </c>
      <c r="O227" s="1206" t="s">
        <v>1480</v>
      </c>
    </row>
    <row r="228" spans="1:17" s="1159" customFormat="1" ht="60" x14ac:dyDescent="0.25">
      <c r="A228" s="1172">
        <v>2022222</v>
      </c>
      <c r="B228" s="1172">
        <v>7655</v>
      </c>
      <c r="C228" s="1172" t="s">
        <v>670</v>
      </c>
      <c r="D228" s="1190" t="s">
        <v>673</v>
      </c>
      <c r="E228" s="1191">
        <v>80111600</v>
      </c>
      <c r="F228" s="1192" t="s">
        <v>913</v>
      </c>
      <c r="G228" s="1193" t="s">
        <v>1440</v>
      </c>
      <c r="H228" s="1212" t="s">
        <v>1440</v>
      </c>
      <c r="I228" s="1215" t="s">
        <v>1493</v>
      </c>
      <c r="J228" s="1195" t="s">
        <v>1479</v>
      </c>
      <c r="K228" s="1176" t="s">
        <v>676</v>
      </c>
      <c r="L228" s="1219" t="s">
        <v>677</v>
      </c>
      <c r="M228" s="1196">
        <v>57500000</v>
      </c>
      <c r="N228" s="1197" t="s">
        <v>732</v>
      </c>
      <c r="O228" s="1206" t="s">
        <v>1480</v>
      </c>
    </row>
    <row r="229" spans="1:17" s="1159" customFormat="1" ht="60" x14ac:dyDescent="0.25">
      <c r="A229" s="1172">
        <v>2022223</v>
      </c>
      <c r="B229" s="1172">
        <v>7655</v>
      </c>
      <c r="C229" s="1172" t="s">
        <v>670</v>
      </c>
      <c r="D229" s="1190" t="s">
        <v>673</v>
      </c>
      <c r="E229" s="1191">
        <v>80111600</v>
      </c>
      <c r="F229" s="1192" t="s">
        <v>914</v>
      </c>
      <c r="G229" s="1193" t="s">
        <v>1440</v>
      </c>
      <c r="H229" s="1212" t="s">
        <v>1440</v>
      </c>
      <c r="I229" s="1215" t="s">
        <v>1493</v>
      </c>
      <c r="J229" s="1195" t="s">
        <v>1479</v>
      </c>
      <c r="K229" s="1176" t="s">
        <v>676</v>
      </c>
      <c r="L229" s="1219" t="s">
        <v>677</v>
      </c>
      <c r="M229" s="1196">
        <v>72450000</v>
      </c>
      <c r="N229" s="1197" t="s">
        <v>732</v>
      </c>
      <c r="O229" s="1206" t="s">
        <v>1480</v>
      </c>
    </row>
    <row r="230" spans="1:17" s="1159" customFormat="1" ht="60" x14ac:dyDescent="0.25">
      <c r="A230" s="1172">
        <v>2022224</v>
      </c>
      <c r="B230" s="1172">
        <v>7655</v>
      </c>
      <c r="C230" s="1172" t="s">
        <v>670</v>
      </c>
      <c r="D230" s="1190" t="s">
        <v>673</v>
      </c>
      <c r="E230" s="1191">
        <v>80111600</v>
      </c>
      <c r="F230" s="1192" t="s">
        <v>915</v>
      </c>
      <c r="G230" s="1193" t="s">
        <v>1440</v>
      </c>
      <c r="H230" s="1212" t="s">
        <v>1440</v>
      </c>
      <c r="I230" s="1215" t="s">
        <v>1493</v>
      </c>
      <c r="J230" s="1195" t="s">
        <v>1479</v>
      </c>
      <c r="K230" s="1176" t="s">
        <v>676</v>
      </c>
      <c r="L230" s="1219" t="s">
        <v>677</v>
      </c>
      <c r="M230" s="1179">
        <v>59800000</v>
      </c>
      <c r="N230" s="1197" t="s">
        <v>732</v>
      </c>
      <c r="O230" s="1206" t="s">
        <v>1480</v>
      </c>
    </row>
    <row r="231" spans="1:17" s="1159" customFormat="1" ht="60" x14ac:dyDescent="0.25">
      <c r="A231" s="1172">
        <v>2022225</v>
      </c>
      <c r="B231" s="1172">
        <v>7655</v>
      </c>
      <c r="C231" s="1172" t="s">
        <v>670</v>
      </c>
      <c r="D231" s="1190" t="s">
        <v>673</v>
      </c>
      <c r="E231" s="1191">
        <v>80111600</v>
      </c>
      <c r="F231" s="1192" t="s">
        <v>916</v>
      </c>
      <c r="G231" s="1193" t="s">
        <v>1440</v>
      </c>
      <c r="H231" s="1212" t="s">
        <v>1440</v>
      </c>
      <c r="I231" s="1215" t="s">
        <v>1495</v>
      </c>
      <c r="J231" s="1195" t="s">
        <v>1479</v>
      </c>
      <c r="K231" s="1176" t="s">
        <v>676</v>
      </c>
      <c r="L231" s="1219" t="s">
        <v>677</v>
      </c>
      <c r="M231" s="1179">
        <v>57000000</v>
      </c>
      <c r="N231" s="1197" t="s">
        <v>732</v>
      </c>
      <c r="O231" s="1206" t="s">
        <v>1480</v>
      </c>
    </row>
    <row r="232" spans="1:17" s="1159" customFormat="1" ht="60" x14ac:dyDescent="0.25">
      <c r="A232" s="1172">
        <v>2022226</v>
      </c>
      <c r="B232" s="1172">
        <v>7655</v>
      </c>
      <c r="C232" s="1172" t="s">
        <v>670</v>
      </c>
      <c r="D232" s="1190" t="s">
        <v>673</v>
      </c>
      <c r="E232" s="1191">
        <v>80111600</v>
      </c>
      <c r="F232" s="1197" t="s">
        <v>917</v>
      </c>
      <c r="G232" s="1221"/>
      <c r="H232" s="1221"/>
      <c r="I232" s="1178"/>
      <c r="J232" s="1195" t="s">
        <v>1479</v>
      </c>
      <c r="K232" s="1176" t="s">
        <v>676</v>
      </c>
      <c r="L232" s="1219" t="s">
        <v>677</v>
      </c>
      <c r="M232" s="1222">
        <v>13800000</v>
      </c>
      <c r="N232" s="1197" t="s">
        <v>732</v>
      </c>
      <c r="O232" s="1206" t="s">
        <v>1480</v>
      </c>
    </row>
    <row r="233" spans="1:17" s="1159" customFormat="1" ht="60" x14ac:dyDescent="0.25">
      <c r="A233" s="1172">
        <v>2022227</v>
      </c>
      <c r="B233" s="1172">
        <v>7655</v>
      </c>
      <c r="C233" s="1172" t="s">
        <v>670</v>
      </c>
      <c r="D233" s="1190" t="s">
        <v>671</v>
      </c>
      <c r="E233" s="1191">
        <v>80111600</v>
      </c>
      <c r="F233" s="1223" t="s">
        <v>918</v>
      </c>
      <c r="G233" s="1224" t="s">
        <v>1440</v>
      </c>
      <c r="H233" s="1204" t="s">
        <v>1440</v>
      </c>
      <c r="I233" s="1225" t="s">
        <v>1496</v>
      </c>
      <c r="J233" s="1195" t="s">
        <v>1479</v>
      </c>
      <c r="K233" s="1176" t="s">
        <v>676</v>
      </c>
      <c r="L233" s="1219" t="s">
        <v>677</v>
      </c>
      <c r="M233" s="1196">
        <v>29920000</v>
      </c>
      <c r="N233" s="1197" t="s">
        <v>732</v>
      </c>
      <c r="O233" s="1206" t="s">
        <v>1480</v>
      </c>
    </row>
    <row r="234" spans="1:17" s="1159" customFormat="1" ht="60" x14ac:dyDescent="0.25">
      <c r="A234" s="1172">
        <v>2022228</v>
      </c>
      <c r="B234" s="1172">
        <v>7655</v>
      </c>
      <c r="C234" s="1172" t="s">
        <v>670</v>
      </c>
      <c r="D234" s="1190" t="s">
        <v>671</v>
      </c>
      <c r="E234" s="1191">
        <v>80111600</v>
      </c>
      <c r="F234" s="1223" t="s">
        <v>919</v>
      </c>
      <c r="G234" s="1224" t="s">
        <v>1440</v>
      </c>
      <c r="H234" s="1204" t="s">
        <v>1440</v>
      </c>
      <c r="I234" s="1225" t="s">
        <v>1496</v>
      </c>
      <c r="J234" s="1195" t="s">
        <v>1479</v>
      </c>
      <c r="K234" s="1176" t="s">
        <v>676</v>
      </c>
      <c r="L234" s="1219" t="s">
        <v>677</v>
      </c>
      <c r="M234" s="1196">
        <v>30800000</v>
      </c>
      <c r="N234" s="1197" t="s">
        <v>732</v>
      </c>
      <c r="O234" s="1206" t="s">
        <v>1480</v>
      </c>
    </row>
    <row r="235" spans="1:17" s="1159" customFormat="1" ht="60" x14ac:dyDescent="0.25">
      <c r="A235" s="1172">
        <v>2022229</v>
      </c>
      <c r="B235" s="1172">
        <v>7655</v>
      </c>
      <c r="C235" s="1172" t="s">
        <v>670</v>
      </c>
      <c r="D235" s="1190" t="s">
        <v>671</v>
      </c>
      <c r="E235" s="1191">
        <v>80111600</v>
      </c>
      <c r="F235" s="1223" t="s">
        <v>920</v>
      </c>
      <c r="G235" s="1224" t="s">
        <v>1440</v>
      </c>
      <c r="H235" s="1204" t="s">
        <v>1440</v>
      </c>
      <c r="I235" s="1225" t="s">
        <v>1496</v>
      </c>
      <c r="J235" s="1195" t="s">
        <v>1479</v>
      </c>
      <c r="K235" s="1176" t="s">
        <v>676</v>
      </c>
      <c r="L235" s="1219" t="s">
        <v>677</v>
      </c>
      <c r="M235" s="1196">
        <v>78320000</v>
      </c>
      <c r="N235" s="1197" t="s">
        <v>732</v>
      </c>
      <c r="O235" s="1206" t="s">
        <v>1480</v>
      </c>
    </row>
    <row r="236" spans="1:17" s="1159" customFormat="1" ht="60" x14ac:dyDescent="0.25">
      <c r="A236" s="1172">
        <v>2022230</v>
      </c>
      <c r="B236" s="1172">
        <v>7655</v>
      </c>
      <c r="C236" s="1172" t="s">
        <v>670</v>
      </c>
      <c r="D236" s="1190" t="s">
        <v>671</v>
      </c>
      <c r="E236" s="1191">
        <v>80111600</v>
      </c>
      <c r="F236" s="1223" t="s">
        <v>921</v>
      </c>
      <c r="G236" s="1224" t="s">
        <v>1440</v>
      </c>
      <c r="H236" s="1204" t="s">
        <v>1440</v>
      </c>
      <c r="I236" s="1225" t="s">
        <v>1496</v>
      </c>
      <c r="J236" s="1195" t="s">
        <v>1479</v>
      </c>
      <c r="K236" s="1176" t="s">
        <v>676</v>
      </c>
      <c r="L236" s="1219" t="s">
        <v>677</v>
      </c>
      <c r="M236" s="1196">
        <v>102520000</v>
      </c>
      <c r="N236" s="1197" t="s">
        <v>732</v>
      </c>
      <c r="O236" s="1206" t="s">
        <v>1480</v>
      </c>
    </row>
    <row r="237" spans="1:17" s="1159" customFormat="1" ht="75" x14ac:dyDescent="0.25">
      <c r="A237" s="1172">
        <v>2022231</v>
      </c>
      <c r="B237" s="1172">
        <v>7655</v>
      </c>
      <c r="C237" s="1172" t="s">
        <v>670</v>
      </c>
      <c r="D237" s="1190" t="s">
        <v>671</v>
      </c>
      <c r="E237" s="1191">
        <v>80111600</v>
      </c>
      <c r="F237" s="1223" t="s">
        <v>922</v>
      </c>
      <c r="G237" s="1224" t="s">
        <v>1440</v>
      </c>
      <c r="H237" s="1204" t="s">
        <v>1440</v>
      </c>
      <c r="I237" s="1225" t="s">
        <v>1496</v>
      </c>
      <c r="J237" s="1195" t="s">
        <v>1479</v>
      </c>
      <c r="K237" s="1176" t="s">
        <v>676</v>
      </c>
      <c r="L237" s="1219" t="s">
        <v>677</v>
      </c>
      <c r="M237" s="1196">
        <f>101200000-8800000-19200000</f>
        <v>73200000</v>
      </c>
      <c r="N237" s="1197" t="s">
        <v>732</v>
      </c>
      <c r="O237" s="1206" t="s">
        <v>1480</v>
      </c>
    </row>
    <row r="238" spans="1:17" s="1159" customFormat="1" ht="60" x14ac:dyDescent="0.25">
      <c r="A238" s="1172">
        <v>2022232</v>
      </c>
      <c r="B238" s="1172">
        <v>7655</v>
      </c>
      <c r="C238" s="1172" t="s">
        <v>670</v>
      </c>
      <c r="D238" s="1190" t="s">
        <v>671</v>
      </c>
      <c r="E238" s="1191">
        <v>80111600</v>
      </c>
      <c r="F238" s="1216" t="s">
        <v>923</v>
      </c>
      <c r="G238" s="1224" t="s">
        <v>1440</v>
      </c>
      <c r="H238" s="1204" t="s">
        <v>1440</v>
      </c>
      <c r="I238" s="1225" t="s">
        <v>1496</v>
      </c>
      <c r="J238" s="1195" t="s">
        <v>1479</v>
      </c>
      <c r="K238" s="1176" t="s">
        <v>676</v>
      </c>
      <c r="L238" s="1219" t="s">
        <v>677</v>
      </c>
      <c r="M238" s="1179">
        <v>58080000</v>
      </c>
      <c r="N238" s="1197" t="s">
        <v>732</v>
      </c>
      <c r="O238" s="1206" t="s">
        <v>1480</v>
      </c>
    </row>
    <row r="239" spans="1:17" s="1159" customFormat="1" ht="90" x14ac:dyDescent="0.25">
      <c r="A239" s="1172">
        <v>2022233</v>
      </c>
      <c r="B239" s="1172">
        <v>7655</v>
      </c>
      <c r="C239" s="1172" t="s">
        <v>670</v>
      </c>
      <c r="D239" s="1190" t="s">
        <v>671</v>
      </c>
      <c r="E239" s="1191">
        <v>80111600</v>
      </c>
      <c r="F239" s="1192" t="s">
        <v>924</v>
      </c>
      <c r="G239" s="1224" t="s">
        <v>1440</v>
      </c>
      <c r="H239" s="1204" t="s">
        <v>1440</v>
      </c>
      <c r="I239" s="1225" t="s">
        <v>1496</v>
      </c>
      <c r="J239" s="1195" t="s">
        <v>1479</v>
      </c>
      <c r="K239" s="1176" t="s">
        <v>676</v>
      </c>
      <c r="L239" s="1219" t="s">
        <v>677</v>
      </c>
      <c r="M239" s="1179">
        <v>42350000</v>
      </c>
      <c r="N239" s="1197" t="s">
        <v>732</v>
      </c>
      <c r="O239" s="1206" t="s">
        <v>1480</v>
      </c>
    </row>
    <row r="240" spans="1:17" s="1159" customFormat="1" ht="60" x14ac:dyDescent="0.25">
      <c r="A240" s="1172">
        <v>2022234</v>
      </c>
      <c r="B240" s="1172">
        <v>7655</v>
      </c>
      <c r="C240" s="1172" t="s">
        <v>670</v>
      </c>
      <c r="D240" s="1190" t="s">
        <v>671</v>
      </c>
      <c r="E240" s="1191">
        <v>80111600</v>
      </c>
      <c r="F240" s="1216" t="s">
        <v>925</v>
      </c>
      <c r="G240" s="1224" t="s">
        <v>1440</v>
      </c>
      <c r="H240" s="1204" t="s">
        <v>1440</v>
      </c>
      <c r="I240" s="1225" t="s">
        <v>1442</v>
      </c>
      <c r="J240" s="1195" t="s">
        <v>1479</v>
      </c>
      <c r="K240" s="1176" t="s">
        <v>676</v>
      </c>
      <c r="L240" s="1226" t="s">
        <v>677</v>
      </c>
      <c r="M240" s="1179">
        <v>39600000</v>
      </c>
      <c r="N240" s="1197" t="s">
        <v>732</v>
      </c>
      <c r="O240" s="1206" t="s">
        <v>1480</v>
      </c>
    </row>
    <row r="241" spans="1:15" s="1159" customFormat="1" ht="60" x14ac:dyDescent="0.25">
      <c r="A241" s="1172">
        <v>2022235</v>
      </c>
      <c r="B241" s="1172">
        <v>7655</v>
      </c>
      <c r="C241" s="1172" t="s">
        <v>670</v>
      </c>
      <c r="D241" s="1190" t="s">
        <v>671</v>
      </c>
      <c r="E241" s="1191">
        <v>80111600</v>
      </c>
      <c r="F241" s="1192" t="s">
        <v>926</v>
      </c>
      <c r="G241" s="1224" t="s">
        <v>1440</v>
      </c>
      <c r="H241" s="1204" t="s">
        <v>1440</v>
      </c>
      <c r="I241" s="1225" t="s">
        <v>1496</v>
      </c>
      <c r="J241" s="1195" t="s">
        <v>1479</v>
      </c>
      <c r="K241" s="1176" t="s">
        <v>676</v>
      </c>
      <c r="L241" s="1219" t="s">
        <v>677</v>
      </c>
      <c r="M241" s="1179">
        <v>39600000</v>
      </c>
      <c r="N241" s="1197" t="s">
        <v>732</v>
      </c>
      <c r="O241" s="1206" t="s">
        <v>1480</v>
      </c>
    </row>
    <row r="242" spans="1:15" s="1159" customFormat="1" ht="90" x14ac:dyDescent="0.25">
      <c r="A242" s="1182">
        <v>2022236</v>
      </c>
      <c r="B242" s="1182">
        <v>7658</v>
      </c>
      <c r="C242" s="1182" t="s">
        <v>681</v>
      </c>
      <c r="D242" s="1227" t="s">
        <v>700</v>
      </c>
      <c r="E242" s="1228">
        <v>80111600</v>
      </c>
      <c r="F242" s="1185" t="s">
        <v>927</v>
      </c>
      <c r="G242" s="1184" t="s">
        <v>1440</v>
      </c>
      <c r="H242" s="1184" t="s">
        <v>1440</v>
      </c>
      <c r="I242" s="1184" t="s">
        <v>1493</v>
      </c>
      <c r="J242" s="1184" t="s">
        <v>1479</v>
      </c>
      <c r="K242" s="1184" t="s">
        <v>676</v>
      </c>
      <c r="L242" s="1183" t="s">
        <v>677</v>
      </c>
      <c r="M242" s="1229">
        <f>39100000-1700000</f>
        <v>37400000</v>
      </c>
      <c r="N242" s="1185" t="s">
        <v>726</v>
      </c>
      <c r="O242" s="1185" t="s">
        <v>1499</v>
      </c>
    </row>
    <row r="243" spans="1:15" s="1159" customFormat="1" ht="60" x14ac:dyDescent="0.25">
      <c r="A243" s="1172">
        <v>2022237</v>
      </c>
      <c r="B243" s="1172">
        <v>7655</v>
      </c>
      <c r="C243" s="1172" t="s">
        <v>670</v>
      </c>
      <c r="D243" s="1190" t="s">
        <v>671</v>
      </c>
      <c r="E243" s="1191">
        <v>80111600</v>
      </c>
      <c r="F243" s="1192" t="s">
        <v>1497</v>
      </c>
      <c r="G243" s="1224" t="s">
        <v>1440</v>
      </c>
      <c r="H243" s="1204" t="s">
        <v>1440</v>
      </c>
      <c r="I243" s="1225" t="s">
        <v>1496</v>
      </c>
      <c r="J243" s="1195" t="s">
        <v>1479</v>
      </c>
      <c r="K243" s="1176" t="s">
        <v>676</v>
      </c>
      <c r="L243" s="1219" t="s">
        <v>677</v>
      </c>
      <c r="M243" s="1179">
        <v>48735000</v>
      </c>
      <c r="N243" s="1197" t="s">
        <v>732</v>
      </c>
      <c r="O243" s="1206" t="s">
        <v>1480</v>
      </c>
    </row>
    <row r="244" spans="1:15" s="1159" customFormat="1" ht="60" x14ac:dyDescent="0.25">
      <c r="A244" s="1172">
        <v>2022238</v>
      </c>
      <c r="B244" s="1172">
        <v>7655</v>
      </c>
      <c r="C244" s="1172" t="s">
        <v>670</v>
      </c>
      <c r="D244" s="1190" t="s">
        <v>671</v>
      </c>
      <c r="E244" s="1191">
        <v>80111600</v>
      </c>
      <c r="F244" s="1216" t="s">
        <v>929</v>
      </c>
      <c r="G244" s="1224" t="s">
        <v>1440</v>
      </c>
      <c r="H244" s="1204" t="s">
        <v>1440</v>
      </c>
      <c r="I244" s="1225" t="s">
        <v>1496</v>
      </c>
      <c r="J244" s="1195" t="s">
        <v>1479</v>
      </c>
      <c r="K244" s="1176" t="s">
        <v>676</v>
      </c>
      <c r="L244" s="1219" t="s">
        <v>677</v>
      </c>
      <c r="M244" s="1179">
        <f>44000000+8800000</f>
        <v>52800000</v>
      </c>
      <c r="N244" s="1197" t="s">
        <v>732</v>
      </c>
      <c r="O244" s="1206" t="s">
        <v>1480</v>
      </c>
    </row>
    <row r="245" spans="1:15" s="1159" customFormat="1" ht="60" x14ac:dyDescent="0.25">
      <c r="A245" s="1172">
        <v>2022239</v>
      </c>
      <c r="B245" s="1172">
        <v>7655</v>
      </c>
      <c r="C245" s="1172" t="s">
        <v>670</v>
      </c>
      <c r="D245" s="1190" t="s">
        <v>1498</v>
      </c>
      <c r="E245" s="1191">
        <v>80111600</v>
      </c>
      <c r="F245" s="1216" t="s">
        <v>930</v>
      </c>
      <c r="G245" s="1224" t="s">
        <v>1440</v>
      </c>
      <c r="H245" s="1224" t="s">
        <v>1440</v>
      </c>
      <c r="I245" s="1225" t="s">
        <v>1496</v>
      </c>
      <c r="J245" s="1195" t="s">
        <v>1479</v>
      </c>
      <c r="K245" s="1176" t="s">
        <v>676</v>
      </c>
      <c r="L245" s="1219" t="s">
        <v>677</v>
      </c>
      <c r="M245" s="1179">
        <v>102520000</v>
      </c>
      <c r="N245" s="1197" t="s">
        <v>732</v>
      </c>
      <c r="O245" s="1206" t="s">
        <v>1480</v>
      </c>
    </row>
    <row r="246" spans="1:15" s="1159" customFormat="1" ht="75" x14ac:dyDescent="0.25">
      <c r="A246" s="1172">
        <v>2022240</v>
      </c>
      <c r="B246" s="1172">
        <v>7655</v>
      </c>
      <c r="C246" s="1172" t="s">
        <v>670</v>
      </c>
      <c r="D246" s="1190" t="s">
        <v>1498</v>
      </c>
      <c r="E246" s="1191">
        <v>80111600</v>
      </c>
      <c r="F246" s="1216" t="s">
        <v>931</v>
      </c>
      <c r="G246" s="1224" t="s">
        <v>1440</v>
      </c>
      <c r="H246" s="1224" t="s">
        <v>1440</v>
      </c>
      <c r="I246" s="1225" t="s">
        <v>1496</v>
      </c>
      <c r="J246" s="1195" t="s">
        <v>1479</v>
      </c>
      <c r="K246" s="1176" t="s">
        <v>676</v>
      </c>
      <c r="L246" s="1219" t="s">
        <v>677</v>
      </c>
      <c r="M246" s="1179">
        <v>90200000</v>
      </c>
      <c r="N246" s="1197" t="s">
        <v>732</v>
      </c>
      <c r="O246" s="1206" t="s">
        <v>1480</v>
      </c>
    </row>
    <row r="247" spans="1:15" s="1159" customFormat="1" ht="60" x14ac:dyDescent="0.25">
      <c r="A247" s="1172">
        <v>2022241</v>
      </c>
      <c r="B247" s="1172">
        <v>7655</v>
      </c>
      <c r="C247" s="1172" t="s">
        <v>670</v>
      </c>
      <c r="D247" s="1190" t="s">
        <v>1498</v>
      </c>
      <c r="E247" s="1191">
        <v>80111600</v>
      </c>
      <c r="F247" s="1216" t="s">
        <v>932</v>
      </c>
      <c r="G247" s="1224" t="s">
        <v>1440</v>
      </c>
      <c r="H247" s="1224" t="s">
        <v>1440</v>
      </c>
      <c r="I247" s="1225" t="s">
        <v>1496</v>
      </c>
      <c r="J247" s="1195" t="s">
        <v>1479</v>
      </c>
      <c r="K247" s="1176" t="s">
        <v>676</v>
      </c>
      <c r="L247" s="1219" t="s">
        <v>677</v>
      </c>
      <c r="M247" s="1179">
        <v>82500000</v>
      </c>
      <c r="N247" s="1197" t="s">
        <v>732</v>
      </c>
      <c r="O247" s="1206" t="s">
        <v>1480</v>
      </c>
    </row>
    <row r="248" spans="1:15" s="1159" customFormat="1" ht="60" x14ac:dyDescent="0.25">
      <c r="A248" s="1172">
        <v>2022242</v>
      </c>
      <c r="B248" s="1172">
        <v>7655</v>
      </c>
      <c r="C248" s="1172" t="s">
        <v>670</v>
      </c>
      <c r="D248" s="1190" t="s">
        <v>1498</v>
      </c>
      <c r="E248" s="1191">
        <v>80111600</v>
      </c>
      <c r="F248" s="1216" t="s">
        <v>933</v>
      </c>
      <c r="G248" s="1224" t="s">
        <v>1440</v>
      </c>
      <c r="H248" s="1224" t="s">
        <v>1440</v>
      </c>
      <c r="I248" s="1225" t="s">
        <v>1496</v>
      </c>
      <c r="J248" s="1195" t="s">
        <v>1479</v>
      </c>
      <c r="K248" s="1176" t="s">
        <v>676</v>
      </c>
      <c r="L248" s="1219" t="s">
        <v>677</v>
      </c>
      <c r="M248" s="1179">
        <v>50600000</v>
      </c>
      <c r="N248" s="1197" t="s">
        <v>732</v>
      </c>
      <c r="O248" s="1206" t="s">
        <v>1480</v>
      </c>
    </row>
    <row r="249" spans="1:15" s="1159" customFormat="1" ht="60" x14ac:dyDescent="0.25">
      <c r="A249" s="1172">
        <v>2022243</v>
      </c>
      <c r="B249" s="1172">
        <v>7655</v>
      </c>
      <c r="C249" s="1172" t="s">
        <v>670</v>
      </c>
      <c r="D249" s="1190" t="s">
        <v>1498</v>
      </c>
      <c r="E249" s="1191">
        <v>80111600</v>
      </c>
      <c r="F249" s="1216" t="s">
        <v>934</v>
      </c>
      <c r="G249" s="1224" t="s">
        <v>1440</v>
      </c>
      <c r="H249" s="1224" t="s">
        <v>1440</v>
      </c>
      <c r="I249" s="1225" t="s">
        <v>1496</v>
      </c>
      <c r="J249" s="1195" t="s">
        <v>1479</v>
      </c>
      <c r="K249" s="1176" t="s">
        <v>676</v>
      </c>
      <c r="L249" s="1219" t="s">
        <v>677</v>
      </c>
      <c r="M249" s="1179">
        <v>35200000</v>
      </c>
      <c r="N249" s="1197" t="s">
        <v>732</v>
      </c>
      <c r="O249" s="1206" t="s">
        <v>1480</v>
      </c>
    </row>
    <row r="250" spans="1:15" s="1159" customFormat="1" ht="60" x14ac:dyDescent="0.25">
      <c r="A250" s="1172">
        <v>2022244</v>
      </c>
      <c r="B250" s="1172">
        <v>7655</v>
      </c>
      <c r="C250" s="1172" t="s">
        <v>670</v>
      </c>
      <c r="D250" s="1190" t="s">
        <v>1498</v>
      </c>
      <c r="E250" s="1191">
        <v>80111600</v>
      </c>
      <c r="F250" s="1216" t="s">
        <v>935</v>
      </c>
      <c r="G250" s="1224" t="s">
        <v>1440</v>
      </c>
      <c r="H250" s="1224" t="s">
        <v>1440</v>
      </c>
      <c r="I250" s="1225" t="s">
        <v>1496</v>
      </c>
      <c r="J250" s="1195" t="s">
        <v>1479</v>
      </c>
      <c r="K250" s="1176" t="s">
        <v>676</v>
      </c>
      <c r="L250" s="1219" t="s">
        <v>677</v>
      </c>
      <c r="M250" s="1179">
        <v>39050000</v>
      </c>
      <c r="N250" s="1197" t="s">
        <v>732</v>
      </c>
      <c r="O250" s="1206" t="s">
        <v>1480</v>
      </c>
    </row>
    <row r="251" spans="1:15" s="1159" customFormat="1" ht="60" x14ac:dyDescent="0.25">
      <c r="A251" s="1172">
        <v>2022245</v>
      </c>
      <c r="B251" s="1172">
        <v>7655</v>
      </c>
      <c r="C251" s="1172" t="s">
        <v>670</v>
      </c>
      <c r="D251" s="1190" t="s">
        <v>1498</v>
      </c>
      <c r="E251" s="1191">
        <v>80111600</v>
      </c>
      <c r="F251" s="1216" t="s">
        <v>936</v>
      </c>
      <c r="G251" s="1224" t="s">
        <v>1440</v>
      </c>
      <c r="H251" s="1224" t="s">
        <v>1440</v>
      </c>
      <c r="I251" s="1225" t="s">
        <v>1496</v>
      </c>
      <c r="J251" s="1195" t="s">
        <v>1479</v>
      </c>
      <c r="K251" s="1176" t="s">
        <v>676</v>
      </c>
      <c r="L251" s="1219" t="s">
        <v>677</v>
      </c>
      <c r="M251" s="1179">
        <v>39050000</v>
      </c>
      <c r="N251" s="1197" t="s">
        <v>732</v>
      </c>
      <c r="O251" s="1206" t="s">
        <v>1480</v>
      </c>
    </row>
    <row r="252" spans="1:15" s="1159" customFormat="1" ht="60" x14ac:dyDescent="0.25">
      <c r="A252" s="1172">
        <v>2022246</v>
      </c>
      <c r="B252" s="1172">
        <v>7655</v>
      </c>
      <c r="C252" s="1172" t="s">
        <v>670</v>
      </c>
      <c r="D252" s="1190" t="s">
        <v>1498</v>
      </c>
      <c r="E252" s="1191">
        <v>80111600</v>
      </c>
      <c r="F252" s="1216" t="s">
        <v>937</v>
      </c>
      <c r="G252" s="1224" t="s">
        <v>1440</v>
      </c>
      <c r="H252" s="1224" t="s">
        <v>1440</v>
      </c>
      <c r="I252" s="1225" t="s">
        <v>1496</v>
      </c>
      <c r="J252" s="1195" t="s">
        <v>1479</v>
      </c>
      <c r="K252" s="1176" t="s">
        <v>676</v>
      </c>
      <c r="L252" s="1219" t="s">
        <v>677</v>
      </c>
      <c r="M252" s="1179">
        <v>39050000</v>
      </c>
      <c r="N252" s="1197" t="s">
        <v>732</v>
      </c>
      <c r="O252" s="1206" t="s">
        <v>1480</v>
      </c>
    </row>
    <row r="253" spans="1:15" s="1159" customFormat="1" ht="75" x14ac:dyDescent="0.25">
      <c r="A253" s="1172">
        <v>2022247</v>
      </c>
      <c r="B253" s="1172">
        <v>7655</v>
      </c>
      <c r="C253" s="1172" t="s">
        <v>670</v>
      </c>
      <c r="D253" s="1190" t="s">
        <v>1498</v>
      </c>
      <c r="E253" s="1191">
        <v>80111600</v>
      </c>
      <c r="F253" s="1216" t="s">
        <v>938</v>
      </c>
      <c r="G253" s="1224" t="s">
        <v>1440</v>
      </c>
      <c r="H253" s="1224" t="s">
        <v>1440</v>
      </c>
      <c r="I253" s="1225" t="s">
        <v>1496</v>
      </c>
      <c r="J253" s="1195" t="s">
        <v>1479</v>
      </c>
      <c r="K253" s="1176" t="s">
        <v>676</v>
      </c>
      <c r="L253" s="1219" t="s">
        <v>677</v>
      </c>
      <c r="M253" s="1179">
        <v>30250000</v>
      </c>
      <c r="N253" s="1197" t="s">
        <v>732</v>
      </c>
      <c r="O253" s="1206" t="s">
        <v>1480</v>
      </c>
    </row>
    <row r="254" spans="1:15" s="1159" customFormat="1" ht="60" x14ac:dyDescent="0.25">
      <c r="A254" s="1172">
        <v>2022248</v>
      </c>
      <c r="B254" s="1172">
        <v>7655</v>
      </c>
      <c r="C254" s="1172" t="s">
        <v>670</v>
      </c>
      <c r="D254" s="1190" t="s">
        <v>1498</v>
      </c>
      <c r="E254" s="1191">
        <v>80111600</v>
      </c>
      <c r="F254" s="1216" t="s">
        <v>939</v>
      </c>
      <c r="G254" s="1224" t="s">
        <v>1440</v>
      </c>
      <c r="H254" s="1224" t="s">
        <v>1440</v>
      </c>
      <c r="I254" s="1225" t="s">
        <v>1496</v>
      </c>
      <c r="J254" s="1195" t="s">
        <v>1479</v>
      </c>
      <c r="K254" s="1176" t="s">
        <v>676</v>
      </c>
      <c r="L254" s="1219" t="s">
        <v>677</v>
      </c>
      <c r="M254" s="1179">
        <v>36850000</v>
      </c>
      <c r="N254" s="1197" t="s">
        <v>732</v>
      </c>
      <c r="O254" s="1206" t="s">
        <v>1480</v>
      </c>
    </row>
    <row r="255" spans="1:15" s="1159" customFormat="1" ht="60" x14ac:dyDescent="0.25">
      <c r="A255" s="1172">
        <v>2022249</v>
      </c>
      <c r="B255" s="1172">
        <v>7655</v>
      </c>
      <c r="C255" s="1172" t="s">
        <v>670</v>
      </c>
      <c r="D255" s="1190" t="s">
        <v>1498</v>
      </c>
      <c r="E255" s="1172">
        <v>80111600</v>
      </c>
      <c r="F255" s="1192" t="s">
        <v>940</v>
      </c>
      <c r="G255" s="1224" t="s">
        <v>1440</v>
      </c>
      <c r="H255" s="1204" t="s">
        <v>1440</v>
      </c>
      <c r="I255" s="1225" t="s">
        <v>1496</v>
      </c>
      <c r="J255" s="1195" t="s">
        <v>1479</v>
      </c>
      <c r="K255" s="1176" t="s">
        <v>676</v>
      </c>
      <c r="L255" s="1219" t="s">
        <v>677</v>
      </c>
      <c r="M255" s="1179">
        <v>38500000</v>
      </c>
      <c r="N255" s="1197" t="s">
        <v>732</v>
      </c>
      <c r="O255" s="1206" t="s">
        <v>1480</v>
      </c>
    </row>
    <row r="256" spans="1:15" s="1159" customFormat="1" ht="60" x14ac:dyDescent="0.25">
      <c r="A256" s="1172">
        <v>2022250</v>
      </c>
      <c r="B256" s="1172">
        <v>7655</v>
      </c>
      <c r="C256" s="1172" t="s">
        <v>670</v>
      </c>
      <c r="D256" s="1190" t="s">
        <v>1498</v>
      </c>
      <c r="E256" s="1191">
        <v>80111600</v>
      </c>
      <c r="F256" s="1223" t="s">
        <v>941</v>
      </c>
      <c r="G256" s="1224" t="s">
        <v>1440</v>
      </c>
      <c r="H256" s="1224" t="s">
        <v>1440</v>
      </c>
      <c r="I256" s="1225" t="s">
        <v>1496</v>
      </c>
      <c r="J256" s="1195" t="s">
        <v>1479</v>
      </c>
      <c r="K256" s="1176" t="s">
        <v>676</v>
      </c>
      <c r="L256" s="1219" t="s">
        <v>677</v>
      </c>
      <c r="M256" s="1196">
        <v>95700000</v>
      </c>
      <c r="N256" s="1197" t="s">
        <v>732</v>
      </c>
      <c r="O256" s="1206" t="s">
        <v>1480</v>
      </c>
    </row>
    <row r="257" spans="1:15" s="1159" customFormat="1" ht="90" x14ac:dyDescent="0.25">
      <c r="A257" s="1172">
        <v>2022251</v>
      </c>
      <c r="B257" s="1172">
        <v>7658</v>
      </c>
      <c r="C257" s="1172" t="s">
        <v>681</v>
      </c>
      <c r="D257" s="1190" t="s">
        <v>691</v>
      </c>
      <c r="E257" s="1230">
        <v>80111600</v>
      </c>
      <c r="F257" s="1199" t="s">
        <v>942</v>
      </c>
      <c r="G257" s="1231">
        <v>44575</v>
      </c>
      <c r="H257" s="1231">
        <v>44575</v>
      </c>
      <c r="I257" s="1194" t="s">
        <v>1478</v>
      </c>
      <c r="J257" s="1195" t="s">
        <v>1479</v>
      </c>
      <c r="K257" s="1176" t="s">
        <v>676</v>
      </c>
      <c r="L257" s="1178" t="s">
        <v>677</v>
      </c>
      <c r="M257" s="1196">
        <v>103500000</v>
      </c>
      <c r="N257" s="1175" t="s">
        <v>746</v>
      </c>
      <c r="O257" s="1175" t="s">
        <v>1499</v>
      </c>
    </row>
    <row r="258" spans="1:15" s="1159" customFormat="1" ht="90" x14ac:dyDescent="0.25">
      <c r="A258" s="1172">
        <v>2022252</v>
      </c>
      <c r="B258" s="1172">
        <v>7658</v>
      </c>
      <c r="C258" s="1172" t="s">
        <v>681</v>
      </c>
      <c r="D258" s="1190" t="s">
        <v>691</v>
      </c>
      <c r="E258" s="1230">
        <v>80111600</v>
      </c>
      <c r="F258" s="1199" t="s">
        <v>943</v>
      </c>
      <c r="G258" s="1231">
        <v>44575</v>
      </c>
      <c r="H258" s="1231">
        <v>44575</v>
      </c>
      <c r="I258" s="1194" t="s">
        <v>1478</v>
      </c>
      <c r="J258" s="1195" t="s">
        <v>1479</v>
      </c>
      <c r="K258" s="1176" t="s">
        <v>676</v>
      </c>
      <c r="L258" s="1178" t="s">
        <v>784</v>
      </c>
      <c r="M258" s="1196">
        <v>103500000</v>
      </c>
      <c r="N258" s="1175" t="s">
        <v>746</v>
      </c>
      <c r="O258" s="1175" t="s">
        <v>1499</v>
      </c>
    </row>
    <row r="259" spans="1:15" s="1159" customFormat="1" ht="90" x14ac:dyDescent="0.25">
      <c r="A259" s="1172">
        <v>2022253</v>
      </c>
      <c r="B259" s="1172">
        <v>7658</v>
      </c>
      <c r="C259" s="1172" t="s">
        <v>681</v>
      </c>
      <c r="D259" s="1190" t="s">
        <v>691</v>
      </c>
      <c r="E259" s="1230">
        <v>80111600</v>
      </c>
      <c r="F259" s="1199" t="s">
        <v>944</v>
      </c>
      <c r="G259" s="1231">
        <v>44575</v>
      </c>
      <c r="H259" s="1231">
        <v>44575</v>
      </c>
      <c r="I259" s="1194" t="s">
        <v>1478</v>
      </c>
      <c r="J259" s="1195" t="s">
        <v>1479</v>
      </c>
      <c r="K259" s="1176" t="s">
        <v>676</v>
      </c>
      <c r="L259" s="1178" t="s">
        <v>677</v>
      </c>
      <c r="M259" s="1196">
        <v>32775000</v>
      </c>
      <c r="N259" s="1175" t="s">
        <v>746</v>
      </c>
      <c r="O259" s="1175" t="s">
        <v>1499</v>
      </c>
    </row>
    <row r="260" spans="1:15" s="1159" customFormat="1" ht="90" x14ac:dyDescent="0.25">
      <c r="A260" s="1172">
        <v>2022254</v>
      </c>
      <c r="B260" s="1172">
        <v>7658</v>
      </c>
      <c r="C260" s="1172" t="s">
        <v>681</v>
      </c>
      <c r="D260" s="1190" t="s">
        <v>691</v>
      </c>
      <c r="E260" s="1230">
        <v>80111600</v>
      </c>
      <c r="F260" s="1175" t="s">
        <v>1502</v>
      </c>
      <c r="G260" s="1231">
        <v>44575</v>
      </c>
      <c r="H260" s="1231">
        <v>44575</v>
      </c>
      <c r="I260" s="1194" t="s">
        <v>1478</v>
      </c>
      <c r="J260" s="1195" t="s">
        <v>1479</v>
      </c>
      <c r="K260" s="1176" t="s">
        <v>676</v>
      </c>
      <c r="L260" s="1178" t="s">
        <v>677</v>
      </c>
      <c r="M260" s="1196">
        <v>63250000</v>
      </c>
      <c r="N260" s="1175" t="s">
        <v>746</v>
      </c>
      <c r="O260" s="1175" t="s">
        <v>1499</v>
      </c>
    </row>
    <row r="261" spans="1:15" s="1159" customFormat="1" ht="90" x14ac:dyDescent="0.25">
      <c r="A261" s="1172">
        <v>2022255</v>
      </c>
      <c r="B261" s="1172">
        <v>7658</v>
      </c>
      <c r="C261" s="1172" t="s">
        <v>681</v>
      </c>
      <c r="D261" s="1190" t="s">
        <v>691</v>
      </c>
      <c r="E261" s="1230">
        <v>80111600</v>
      </c>
      <c r="F261" s="1199" t="s">
        <v>945</v>
      </c>
      <c r="G261" s="1231">
        <v>44575</v>
      </c>
      <c r="H261" s="1231">
        <v>44575</v>
      </c>
      <c r="I261" s="1194" t="s">
        <v>1478</v>
      </c>
      <c r="J261" s="1195" t="s">
        <v>1479</v>
      </c>
      <c r="K261" s="1176" t="s">
        <v>676</v>
      </c>
      <c r="L261" s="1178" t="s">
        <v>677</v>
      </c>
      <c r="M261" s="1196">
        <v>83950000</v>
      </c>
      <c r="N261" s="1175" t="s">
        <v>746</v>
      </c>
      <c r="O261" s="1175" t="s">
        <v>1499</v>
      </c>
    </row>
    <row r="262" spans="1:15" s="1159" customFormat="1" ht="90" x14ac:dyDescent="0.25">
      <c r="A262" s="1172">
        <v>2022256</v>
      </c>
      <c r="B262" s="1172">
        <v>7658</v>
      </c>
      <c r="C262" s="1172" t="s">
        <v>681</v>
      </c>
      <c r="D262" s="1190" t="s">
        <v>691</v>
      </c>
      <c r="E262" s="1230">
        <v>80111600</v>
      </c>
      <c r="F262" s="1199" t="s">
        <v>1503</v>
      </c>
      <c r="G262" s="1231">
        <v>44575</v>
      </c>
      <c r="H262" s="1231">
        <v>44575</v>
      </c>
      <c r="I262" s="1194" t="s">
        <v>1478</v>
      </c>
      <c r="J262" s="1195" t="s">
        <v>1479</v>
      </c>
      <c r="K262" s="1176" t="s">
        <v>676</v>
      </c>
      <c r="L262" s="1178" t="s">
        <v>677</v>
      </c>
      <c r="M262" s="1196">
        <v>51750000</v>
      </c>
      <c r="N262" s="1175" t="s">
        <v>746</v>
      </c>
      <c r="O262" s="1175" t="s">
        <v>1499</v>
      </c>
    </row>
    <row r="263" spans="1:15" s="1159" customFormat="1" ht="90" x14ac:dyDescent="0.25">
      <c r="A263" s="1172">
        <v>2022257</v>
      </c>
      <c r="B263" s="1172">
        <v>7658</v>
      </c>
      <c r="C263" s="1172" t="s">
        <v>681</v>
      </c>
      <c r="D263" s="1190" t="s">
        <v>691</v>
      </c>
      <c r="E263" s="1230">
        <v>80111600</v>
      </c>
      <c r="F263" s="1175" t="s">
        <v>946</v>
      </c>
      <c r="G263" s="1231">
        <v>44575</v>
      </c>
      <c r="H263" s="1231">
        <v>44575</v>
      </c>
      <c r="I263" s="1194" t="s">
        <v>1478</v>
      </c>
      <c r="J263" s="1195" t="s">
        <v>1479</v>
      </c>
      <c r="K263" s="1176" t="s">
        <v>676</v>
      </c>
      <c r="L263" s="1178" t="s">
        <v>677</v>
      </c>
      <c r="M263" s="1196">
        <v>83950000</v>
      </c>
      <c r="N263" s="1175" t="s">
        <v>746</v>
      </c>
      <c r="O263" s="1175" t="s">
        <v>1499</v>
      </c>
    </row>
    <row r="264" spans="1:15" s="1159" customFormat="1" ht="90" x14ac:dyDescent="0.25">
      <c r="A264" s="1172">
        <v>2022258</v>
      </c>
      <c r="B264" s="1172">
        <v>7658</v>
      </c>
      <c r="C264" s="1172" t="s">
        <v>681</v>
      </c>
      <c r="D264" s="1190" t="s">
        <v>691</v>
      </c>
      <c r="E264" s="1230">
        <v>80111600</v>
      </c>
      <c r="F264" s="1199" t="s">
        <v>947</v>
      </c>
      <c r="G264" s="1231">
        <v>44575</v>
      </c>
      <c r="H264" s="1231">
        <v>44575</v>
      </c>
      <c r="I264" s="1194" t="s">
        <v>1478</v>
      </c>
      <c r="J264" s="1195" t="s">
        <v>1479</v>
      </c>
      <c r="K264" s="1176" t="s">
        <v>676</v>
      </c>
      <c r="L264" s="1178" t="s">
        <v>677</v>
      </c>
      <c r="M264" s="1196">
        <v>83950000</v>
      </c>
      <c r="N264" s="1175" t="s">
        <v>746</v>
      </c>
      <c r="O264" s="1175" t="s">
        <v>1499</v>
      </c>
    </row>
    <row r="265" spans="1:15" s="1159" customFormat="1" ht="90" x14ac:dyDescent="0.25">
      <c r="A265" s="1172">
        <v>2022259</v>
      </c>
      <c r="B265" s="1172">
        <v>7658</v>
      </c>
      <c r="C265" s="1172" t="s">
        <v>681</v>
      </c>
      <c r="D265" s="1190" t="s">
        <v>691</v>
      </c>
      <c r="E265" s="1230">
        <v>80111600</v>
      </c>
      <c r="F265" s="1175" t="s">
        <v>1504</v>
      </c>
      <c r="G265" s="1231">
        <v>44575</v>
      </c>
      <c r="H265" s="1231">
        <v>44575</v>
      </c>
      <c r="I265" s="1194" t="s">
        <v>1478</v>
      </c>
      <c r="J265" s="1195" t="s">
        <v>1479</v>
      </c>
      <c r="K265" s="1176" t="s">
        <v>676</v>
      </c>
      <c r="L265" s="1178" t="s">
        <v>677</v>
      </c>
      <c r="M265" s="1196">
        <v>94300000</v>
      </c>
      <c r="N265" s="1175" t="s">
        <v>746</v>
      </c>
      <c r="O265" s="1175" t="s">
        <v>1499</v>
      </c>
    </row>
    <row r="266" spans="1:15" s="1159" customFormat="1" ht="90" x14ac:dyDescent="0.25">
      <c r="A266" s="1172">
        <v>2022260</v>
      </c>
      <c r="B266" s="1172">
        <v>7658</v>
      </c>
      <c r="C266" s="1172" t="s">
        <v>681</v>
      </c>
      <c r="D266" s="1190" t="s">
        <v>691</v>
      </c>
      <c r="E266" s="1230">
        <v>80111600</v>
      </c>
      <c r="F266" s="1175" t="s">
        <v>947</v>
      </c>
      <c r="G266" s="1231">
        <v>44575</v>
      </c>
      <c r="H266" s="1231">
        <v>44575</v>
      </c>
      <c r="I266" s="1194" t="s">
        <v>1478</v>
      </c>
      <c r="J266" s="1195" t="s">
        <v>1479</v>
      </c>
      <c r="K266" s="1176" t="s">
        <v>676</v>
      </c>
      <c r="L266" s="1178" t="s">
        <v>677</v>
      </c>
      <c r="M266" s="1196">
        <v>83950000</v>
      </c>
      <c r="N266" s="1175" t="s">
        <v>746</v>
      </c>
      <c r="O266" s="1175" t="s">
        <v>1499</v>
      </c>
    </row>
    <row r="267" spans="1:15" s="1159" customFormat="1" ht="90" x14ac:dyDescent="0.25">
      <c r="A267" s="1172">
        <v>2022261</v>
      </c>
      <c r="B267" s="1172">
        <v>7658</v>
      </c>
      <c r="C267" s="1172" t="s">
        <v>681</v>
      </c>
      <c r="D267" s="1190" t="s">
        <v>691</v>
      </c>
      <c r="E267" s="1230">
        <v>80111600</v>
      </c>
      <c r="F267" s="1175" t="s">
        <v>947</v>
      </c>
      <c r="G267" s="1231">
        <v>44575</v>
      </c>
      <c r="H267" s="1231">
        <v>44575</v>
      </c>
      <c r="I267" s="1194" t="s">
        <v>1478</v>
      </c>
      <c r="J267" s="1195" t="s">
        <v>1479</v>
      </c>
      <c r="K267" s="1176" t="s">
        <v>676</v>
      </c>
      <c r="L267" s="1178" t="s">
        <v>677</v>
      </c>
      <c r="M267" s="1196">
        <v>83950000</v>
      </c>
      <c r="N267" s="1175" t="s">
        <v>746</v>
      </c>
      <c r="O267" s="1175" t="s">
        <v>1499</v>
      </c>
    </row>
    <row r="268" spans="1:15" s="1159" customFormat="1" ht="90" x14ac:dyDescent="0.25">
      <c r="A268" s="1172">
        <v>2022262</v>
      </c>
      <c r="B268" s="1172">
        <v>7658</v>
      </c>
      <c r="C268" s="1172" t="s">
        <v>681</v>
      </c>
      <c r="D268" s="1190" t="s">
        <v>691</v>
      </c>
      <c r="E268" s="1230">
        <v>80111600</v>
      </c>
      <c r="F268" s="1199" t="s">
        <v>947</v>
      </c>
      <c r="G268" s="1231">
        <v>44575</v>
      </c>
      <c r="H268" s="1231">
        <v>44575</v>
      </c>
      <c r="I268" s="1194" t="s">
        <v>1478</v>
      </c>
      <c r="J268" s="1195" t="s">
        <v>1479</v>
      </c>
      <c r="K268" s="1176" t="s">
        <v>676</v>
      </c>
      <c r="L268" s="1178" t="s">
        <v>677</v>
      </c>
      <c r="M268" s="1196">
        <v>83950000</v>
      </c>
      <c r="N268" s="1175" t="s">
        <v>746</v>
      </c>
      <c r="O268" s="1175" t="s">
        <v>1499</v>
      </c>
    </row>
    <row r="269" spans="1:15" s="1159" customFormat="1" ht="90" x14ac:dyDescent="0.25">
      <c r="A269" s="1172">
        <v>2022263</v>
      </c>
      <c r="B269" s="1172">
        <v>7658</v>
      </c>
      <c r="C269" s="1172" t="s">
        <v>681</v>
      </c>
      <c r="D269" s="1190" t="s">
        <v>691</v>
      </c>
      <c r="E269" s="1230">
        <v>80111600</v>
      </c>
      <c r="F269" s="1199" t="s">
        <v>946</v>
      </c>
      <c r="G269" s="1231">
        <v>44575</v>
      </c>
      <c r="H269" s="1231">
        <v>44575</v>
      </c>
      <c r="I269" s="1194" t="s">
        <v>1478</v>
      </c>
      <c r="J269" s="1195" t="s">
        <v>1479</v>
      </c>
      <c r="K269" s="1176" t="s">
        <v>676</v>
      </c>
      <c r="L269" s="1178" t="s">
        <v>677</v>
      </c>
      <c r="M269" s="1196">
        <v>78200000</v>
      </c>
      <c r="N269" s="1175" t="s">
        <v>746</v>
      </c>
      <c r="O269" s="1175" t="s">
        <v>1499</v>
      </c>
    </row>
    <row r="270" spans="1:15" s="1159" customFormat="1" ht="90" x14ac:dyDescent="0.25">
      <c r="A270" s="1172">
        <v>2022264</v>
      </c>
      <c r="B270" s="1172">
        <v>7658</v>
      </c>
      <c r="C270" s="1172" t="s">
        <v>681</v>
      </c>
      <c r="D270" s="1190" t="s">
        <v>691</v>
      </c>
      <c r="E270" s="1230">
        <v>80111600</v>
      </c>
      <c r="F270" s="1199" t="s">
        <v>948</v>
      </c>
      <c r="G270" s="1231">
        <v>44575</v>
      </c>
      <c r="H270" s="1231">
        <v>44575</v>
      </c>
      <c r="I270" s="1194" t="s">
        <v>1478</v>
      </c>
      <c r="J270" s="1195" t="s">
        <v>1479</v>
      </c>
      <c r="K270" s="1176" t="s">
        <v>676</v>
      </c>
      <c r="L270" s="1178" t="s">
        <v>677</v>
      </c>
      <c r="M270" s="1196">
        <v>44275000</v>
      </c>
      <c r="N270" s="1175" t="s">
        <v>746</v>
      </c>
      <c r="O270" s="1175" t="s">
        <v>1499</v>
      </c>
    </row>
    <row r="271" spans="1:15" s="1159" customFormat="1" ht="90" x14ac:dyDescent="0.25">
      <c r="A271" s="1172">
        <v>2022265</v>
      </c>
      <c r="B271" s="1172">
        <v>7658</v>
      </c>
      <c r="C271" s="1172" t="s">
        <v>681</v>
      </c>
      <c r="D271" s="1190" t="s">
        <v>691</v>
      </c>
      <c r="E271" s="1230">
        <v>80111600</v>
      </c>
      <c r="F271" s="1199" t="s">
        <v>949</v>
      </c>
      <c r="G271" s="1231">
        <v>44575</v>
      </c>
      <c r="H271" s="1231">
        <v>44575</v>
      </c>
      <c r="I271" s="1194" t="s">
        <v>1478</v>
      </c>
      <c r="J271" s="1195" t="s">
        <v>1479</v>
      </c>
      <c r="K271" s="1176" t="s">
        <v>676</v>
      </c>
      <c r="L271" s="1178" t="s">
        <v>677</v>
      </c>
      <c r="M271" s="1196">
        <v>28175000</v>
      </c>
      <c r="N271" s="1175" t="s">
        <v>746</v>
      </c>
      <c r="O271" s="1175" t="s">
        <v>1499</v>
      </c>
    </row>
    <row r="272" spans="1:15" s="1159" customFormat="1" ht="90" x14ac:dyDescent="0.25">
      <c r="A272" s="1172">
        <v>2022266</v>
      </c>
      <c r="B272" s="1172">
        <v>7658</v>
      </c>
      <c r="C272" s="1172" t="s">
        <v>681</v>
      </c>
      <c r="D272" s="1190" t="s">
        <v>691</v>
      </c>
      <c r="E272" s="1230">
        <v>80111600</v>
      </c>
      <c r="F272" s="1199" t="s">
        <v>950</v>
      </c>
      <c r="G272" s="1231">
        <v>44575</v>
      </c>
      <c r="H272" s="1231">
        <v>44575</v>
      </c>
      <c r="I272" s="1194" t="s">
        <v>1478</v>
      </c>
      <c r="J272" s="1195" t="s">
        <v>1479</v>
      </c>
      <c r="K272" s="1176" t="s">
        <v>676</v>
      </c>
      <c r="L272" s="1178" t="s">
        <v>677</v>
      </c>
      <c r="M272" s="1196">
        <v>63250000</v>
      </c>
      <c r="N272" s="1175" t="s">
        <v>746</v>
      </c>
      <c r="O272" s="1175" t="s">
        <v>1499</v>
      </c>
    </row>
    <row r="273" spans="1:15" s="1159" customFormat="1" ht="90" x14ac:dyDescent="0.25">
      <c r="A273" s="1172">
        <v>2022267</v>
      </c>
      <c r="B273" s="1172">
        <v>7658</v>
      </c>
      <c r="C273" s="1172" t="s">
        <v>681</v>
      </c>
      <c r="D273" s="1190" t="s">
        <v>691</v>
      </c>
      <c r="E273" s="1230">
        <v>80111600</v>
      </c>
      <c r="F273" s="1199" t="s">
        <v>951</v>
      </c>
      <c r="G273" s="1231">
        <v>44575</v>
      </c>
      <c r="H273" s="1231">
        <v>44575</v>
      </c>
      <c r="I273" s="1194" t="s">
        <v>1478</v>
      </c>
      <c r="J273" s="1195" t="s">
        <v>1479</v>
      </c>
      <c r="K273" s="1176" t="s">
        <v>676</v>
      </c>
      <c r="L273" s="1178" t="s">
        <v>677</v>
      </c>
      <c r="M273" s="1196">
        <v>28175000</v>
      </c>
      <c r="N273" s="1175" t="s">
        <v>746</v>
      </c>
      <c r="O273" s="1175" t="s">
        <v>1499</v>
      </c>
    </row>
    <row r="274" spans="1:15" s="1159" customFormat="1" ht="90" x14ac:dyDescent="0.25">
      <c r="A274" s="1172">
        <v>2022268</v>
      </c>
      <c r="B274" s="1172">
        <v>7658</v>
      </c>
      <c r="C274" s="1172" t="s">
        <v>681</v>
      </c>
      <c r="D274" s="1190" t="s">
        <v>691</v>
      </c>
      <c r="E274" s="1230">
        <v>80111600</v>
      </c>
      <c r="F274" s="1199" t="s">
        <v>951</v>
      </c>
      <c r="G274" s="1231">
        <v>44575</v>
      </c>
      <c r="H274" s="1231">
        <v>44575</v>
      </c>
      <c r="I274" s="1194" t="s">
        <v>1478</v>
      </c>
      <c r="J274" s="1195" t="s">
        <v>1479</v>
      </c>
      <c r="K274" s="1176" t="s">
        <v>676</v>
      </c>
      <c r="L274" s="1178" t="s">
        <v>677</v>
      </c>
      <c r="M274" s="1196">
        <v>28175000</v>
      </c>
      <c r="N274" s="1175" t="s">
        <v>746</v>
      </c>
      <c r="O274" s="1175" t="s">
        <v>1499</v>
      </c>
    </row>
    <row r="275" spans="1:15" s="1159" customFormat="1" ht="90" x14ac:dyDescent="0.25">
      <c r="A275" s="1172">
        <v>2022269</v>
      </c>
      <c r="B275" s="1172">
        <v>7658</v>
      </c>
      <c r="C275" s="1172" t="s">
        <v>681</v>
      </c>
      <c r="D275" s="1190" t="s">
        <v>691</v>
      </c>
      <c r="E275" s="1230">
        <v>80111600</v>
      </c>
      <c r="F275" s="1199" t="s">
        <v>951</v>
      </c>
      <c r="G275" s="1231">
        <v>44575</v>
      </c>
      <c r="H275" s="1231">
        <v>44575</v>
      </c>
      <c r="I275" s="1194" t="s">
        <v>1478</v>
      </c>
      <c r="J275" s="1195" t="s">
        <v>1479</v>
      </c>
      <c r="K275" s="1176" t="s">
        <v>676</v>
      </c>
      <c r="L275" s="1178" t="s">
        <v>677</v>
      </c>
      <c r="M275" s="1196">
        <v>28175000</v>
      </c>
      <c r="N275" s="1175" t="s">
        <v>746</v>
      </c>
      <c r="O275" s="1175" t="s">
        <v>1499</v>
      </c>
    </row>
    <row r="276" spans="1:15" s="1159" customFormat="1" ht="90" x14ac:dyDescent="0.25">
      <c r="A276" s="1172">
        <v>2022270</v>
      </c>
      <c r="B276" s="1172">
        <v>7658</v>
      </c>
      <c r="C276" s="1172" t="s">
        <v>681</v>
      </c>
      <c r="D276" s="1190" t="s">
        <v>691</v>
      </c>
      <c r="E276" s="1230">
        <v>80111600</v>
      </c>
      <c r="F276" s="1199" t="s">
        <v>951</v>
      </c>
      <c r="G276" s="1231">
        <v>44575</v>
      </c>
      <c r="H276" s="1231">
        <v>44575</v>
      </c>
      <c r="I276" s="1194" t="s">
        <v>1478</v>
      </c>
      <c r="J276" s="1195" t="s">
        <v>1479</v>
      </c>
      <c r="K276" s="1176" t="s">
        <v>676</v>
      </c>
      <c r="L276" s="1178" t="s">
        <v>677</v>
      </c>
      <c r="M276" s="1196">
        <v>28175000</v>
      </c>
      <c r="N276" s="1175" t="s">
        <v>746</v>
      </c>
      <c r="O276" s="1175" t="s">
        <v>1499</v>
      </c>
    </row>
    <row r="277" spans="1:15" s="1159" customFormat="1" ht="90" x14ac:dyDescent="0.25">
      <c r="A277" s="1172">
        <v>2022271</v>
      </c>
      <c r="B277" s="1172">
        <v>7658</v>
      </c>
      <c r="C277" s="1172" t="s">
        <v>681</v>
      </c>
      <c r="D277" s="1190" t="s">
        <v>691</v>
      </c>
      <c r="E277" s="1230">
        <v>80111600</v>
      </c>
      <c r="F277" s="1199" t="s">
        <v>951</v>
      </c>
      <c r="G277" s="1231">
        <v>44575</v>
      </c>
      <c r="H277" s="1231">
        <v>44575</v>
      </c>
      <c r="I277" s="1194" t="s">
        <v>1478</v>
      </c>
      <c r="J277" s="1195" t="s">
        <v>1479</v>
      </c>
      <c r="K277" s="1176" t="s">
        <v>676</v>
      </c>
      <c r="L277" s="1178" t="s">
        <v>677</v>
      </c>
      <c r="M277" s="1196">
        <v>28175000</v>
      </c>
      <c r="N277" s="1175" t="s">
        <v>746</v>
      </c>
      <c r="O277" s="1175" t="s">
        <v>1499</v>
      </c>
    </row>
    <row r="278" spans="1:15" s="1159" customFormat="1" ht="90" x14ac:dyDescent="0.25">
      <c r="A278" s="1172">
        <v>2022272</v>
      </c>
      <c r="B278" s="1172">
        <v>7658</v>
      </c>
      <c r="C278" s="1172" t="s">
        <v>681</v>
      </c>
      <c r="D278" s="1190" t="s">
        <v>691</v>
      </c>
      <c r="E278" s="1230">
        <v>80111600</v>
      </c>
      <c r="F278" s="1199" t="s">
        <v>951</v>
      </c>
      <c r="G278" s="1231">
        <v>44575</v>
      </c>
      <c r="H278" s="1231">
        <v>44575</v>
      </c>
      <c r="I278" s="1194" t="s">
        <v>1478</v>
      </c>
      <c r="J278" s="1195" t="s">
        <v>1479</v>
      </c>
      <c r="K278" s="1176" t="s">
        <v>676</v>
      </c>
      <c r="L278" s="1178" t="s">
        <v>677</v>
      </c>
      <c r="M278" s="1196">
        <v>28175000</v>
      </c>
      <c r="N278" s="1175" t="s">
        <v>746</v>
      </c>
      <c r="O278" s="1175" t="s">
        <v>1499</v>
      </c>
    </row>
    <row r="279" spans="1:15" s="1159" customFormat="1" ht="90" x14ac:dyDescent="0.25">
      <c r="A279" s="1172">
        <v>2022273</v>
      </c>
      <c r="B279" s="1172">
        <v>7658</v>
      </c>
      <c r="C279" s="1172" t="s">
        <v>681</v>
      </c>
      <c r="D279" s="1190" t="s">
        <v>691</v>
      </c>
      <c r="E279" s="1230">
        <v>80111600</v>
      </c>
      <c r="F279" s="1199" t="s">
        <v>951</v>
      </c>
      <c r="G279" s="1231">
        <v>44575</v>
      </c>
      <c r="H279" s="1231">
        <v>44575</v>
      </c>
      <c r="I279" s="1194" t="s">
        <v>1478</v>
      </c>
      <c r="J279" s="1195" t="s">
        <v>1479</v>
      </c>
      <c r="K279" s="1176" t="s">
        <v>676</v>
      </c>
      <c r="L279" s="1178" t="s">
        <v>677</v>
      </c>
      <c r="M279" s="1196">
        <v>28175000</v>
      </c>
      <c r="N279" s="1175" t="s">
        <v>746</v>
      </c>
      <c r="O279" s="1175" t="s">
        <v>1499</v>
      </c>
    </row>
    <row r="280" spans="1:15" s="1159" customFormat="1" ht="90" x14ac:dyDescent="0.25">
      <c r="A280" s="1172">
        <v>2022274</v>
      </c>
      <c r="B280" s="1172">
        <v>7658</v>
      </c>
      <c r="C280" s="1172" t="s">
        <v>681</v>
      </c>
      <c r="D280" s="1190" t="s">
        <v>691</v>
      </c>
      <c r="E280" s="1230">
        <v>80111600</v>
      </c>
      <c r="F280" s="1199" t="s">
        <v>951</v>
      </c>
      <c r="G280" s="1231">
        <v>44575</v>
      </c>
      <c r="H280" s="1231">
        <v>44575</v>
      </c>
      <c r="I280" s="1194" t="s">
        <v>1478</v>
      </c>
      <c r="J280" s="1195" t="s">
        <v>1479</v>
      </c>
      <c r="K280" s="1176" t="s">
        <v>676</v>
      </c>
      <c r="L280" s="1178" t="s">
        <v>677</v>
      </c>
      <c r="M280" s="1196">
        <v>28175000</v>
      </c>
      <c r="N280" s="1175" t="s">
        <v>746</v>
      </c>
      <c r="O280" s="1175" t="s">
        <v>1499</v>
      </c>
    </row>
    <row r="281" spans="1:15" s="1159" customFormat="1" ht="90" x14ac:dyDescent="0.25">
      <c r="A281" s="1172">
        <v>2022275</v>
      </c>
      <c r="B281" s="1172">
        <v>7658</v>
      </c>
      <c r="C281" s="1172" t="s">
        <v>681</v>
      </c>
      <c r="D281" s="1190" t="s">
        <v>691</v>
      </c>
      <c r="E281" s="1230">
        <v>80111600</v>
      </c>
      <c r="F281" s="1199" t="s">
        <v>951</v>
      </c>
      <c r="G281" s="1231">
        <v>44575</v>
      </c>
      <c r="H281" s="1231">
        <v>44575</v>
      </c>
      <c r="I281" s="1194" t="s">
        <v>1478</v>
      </c>
      <c r="J281" s="1195" t="s">
        <v>1479</v>
      </c>
      <c r="K281" s="1176" t="s">
        <v>676</v>
      </c>
      <c r="L281" s="1178" t="s">
        <v>677</v>
      </c>
      <c r="M281" s="1196">
        <v>28175000</v>
      </c>
      <c r="N281" s="1175" t="s">
        <v>746</v>
      </c>
      <c r="O281" s="1175" t="s">
        <v>1499</v>
      </c>
    </row>
    <row r="282" spans="1:15" s="1159" customFormat="1" ht="90" x14ac:dyDescent="0.25">
      <c r="A282" s="1172">
        <v>2022276</v>
      </c>
      <c r="B282" s="1172">
        <v>7658</v>
      </c>
      <c r="C282" s="1172" t="s">
        <v>681</v>
      </c>
      <c r="D282" s="1190" t="s">
        <v>691</v>
      </c>
      <c r="E282" s="1230">
        <v>80111600</v>
      </c>
      <c r="F282" s="1199" t="s">
        <v>951</v>
      </c>
      <c r="G282" s="1231">
        <v>44575</v>
      </c>
      <c r="H282" s="1231">
        <v>44575</v>
      </c>
      <c r="I282" s="1194" t="s">
        <v>1478</v>
      </c>
      <c r="J282" s="1195" t="s">
        <v>1479</v>
      </c>
      <c r="K282" s="1176" t="s">
        <v>676</v>
      </c>
      <c r="L282" s="1178" t="s">
        <v>677</v>
      </c>
      <c r="M282" s="1196">
        <v>24150000</v>
      </c>
      <c r="N282" s="1175" t="s">
        <v>746</v>
      </c>
      <c r="O282" s="1175" t="s">
        <v>1499</v>
      </c>
    </row>
    <row r="283" spans="1:15" s="1159" customFormat="1" ht="90" x14ac:dyDescent="0.25">
      <c r="A283" s="1172">
        <v>2022277</v>
      </c>
      <c r="B283" s="1172">
        <v>7658</v>
      </c>
      <c r="C283" s="1172" t="s">
        <v>681</v>
      </c>
      <c r="D283" s="1190" t="s">
        <v>691</v>
      </c>
      <c r="E283" s="1230">
        <v>80111600</v>
      </c>
      <c r="F283" s="1199" t="s">
        <v>951</v>
      </c>
      <c r="G283" s="1231">
        <v>44575</v>
      </c>
      <c r="H283" s="1231">
        <v>44575</v>
      </c>
      <c r="I283" s="1194" t="s">
        <v>1478</v>
      </c>
      <c r="J283" s="1195" t="s">
        <v>1479</v>
      </c>
      <c r="K283" s="1176" t="s">
        <v>676</v>
      </c>
      <c r="L283" s="1178" t="s">
        <v>677</v>
      </c>
      <c r="M283" s="1196">
        <v>28175000</v>
      </c>
      <c r="N283" s="1175" t="s">
        <v>746</v>
      </c>
      <c r="O283" s="1175" t="s">
        <v>1499</v>
      </c>
    </row>
    <row r="284" spans="1:15" s="1159" customFormat="1" ht="90" x14ac:dyDescent="0.25">
      <c r="A284" s="1172">
        <v>2022278</v>
      </c>
      <c r="B284" s="1172">
        <v>7658</v>
      </c>
      <c r="C284" s="1172" t="s">
        <v>681</v>
      </c>
      <c r="D284" s="1190" t="s">
        <v>691</v>
      </c>
      <c r="E284" s="1230">
        <v>80111600</v>
      </c>
      <c r="F284" s="1199" t="s">
        <v>951</v>
      </c>
      <c r="G284" s="1231">
        <v>44575</v>
      </c>
      <c r="H284" s="1231">
        <v>44575</v>
      </c>
      <c r="I284" s="1194" t="s">
        <v>1478</v>
      </c>
      <c r="J284" s="1195" t="s">
        <v>1479</v>
      </c>
      <c r="K284" s="1176" t="s">
        <v>676</v>
      </c>
      <c r="L284" s="1178" t="s">
        <v>677</v>
      </c>
      <c r="M284" s="1196">
        <v>28175000</v>
      </c>
      <c r="N284" s="1175" t="s">
        <v>746</v>
      </c>
      <c r="O284" s="1175" t="s">
        <v>1499</v>
      </c>
    </row>
    <row r="285" spans="1:15" s="1159" customFormat="1" ht="90" x14ac:dyDescent="0.25">
      <c r="A285" s="1172">
        <v>2022279</v>
      </c>
      <c r="B285" s="1172">
        <v>7658</v>
      </c>
      <c r="C285" s="1172" t="s">
        <v>681</v>
      </c>
      <c r="D285" s="1190" t="s">
        <v>691</v>
      </c>
      <c r="E285" s="1230">
        <v>80111600</v>
      </c>
      <c r="F285" s="1199" t="s">
        <v>951</v>
      </c>
      <c r="G285" s="1231">
        <v>44575</v>
      </c>
      <c r="H285" s="1231">
        <v>44575</v>
      </c>
      <c r="I285" s="1194" t="s">
        <v>1478</v>
      </c>
      <c r="J285" s="1195" t="s">
        <v>1479</v>
      </c>
      <c r="K285" s="1176" t="s">
        <v>676</v>
      </c>
      <c r="L285" s="1178" t="s">
        <v>677</v>
      </c>
      <c r="M285" s="1196">
        <v>28175000</v>
      </c>
      <c r="N285" s="1175" t="s">
        <v>746</v>
      </c>
      <c r="O285" s="1175" t="s">
        <v>1499</v>
      </c>
    </row>
    <row r="286" spans="1:15" s="1159" customFormat="1" ht="90" x14ac:dyDescent="0.25">
      <c r="A286" s="1172">
        <v>2022280</v>
      </c>
      <c r="B286" s="1172">
        <v>7658</v>
      </c>
      <c r="C286" s="1172" t="s">
        <v>681</v>
      </c>
      <c r="D286" s="1190" t="s">
        <v>691</v>
      </c>
      <c r="E286" s="1230">
        <v>80111600</v>
      </c>
      <c r="F286" s="1199" t="s">
        <v>951</v>
      </c>
      <c r="G286" s="1231">
        <v>44575</v>
      </c>
      <c r="H286" s="1231">
        <v>44575</v>
      </c>
      <c r="I286" s="1194" t="s">
        <v>1478</v>
      </c>
      <c r="J286" s="1195" t="s">
        <v>1479</v>
      </c>
      <c r="K286" s="1176" t="s">
        <v>676</v>
      </c>
      <c r="L286" s="1178" t="s">
        <v>677</v>
      </c>
      <c r="M286" s="1196">
        <v>28175000</v>
      </c>
      <c r="N286" s="1175" t="s">
        <v>746</v>
      </c>
      <c r="O286" s="1175" t="s">
        <v>1499</v>
      </c>
    </row>
    <row r="287" spans="1:15" s="1159" customFormat="1" ht="90" x14ac:dyDescent="0.25">
      <c r="A287" s="1172">
        <v>2022281</v>
      </c>
      <c r="B287" s="1172">
        <v>7658</v>
      </c>
      <c r="C287" s="1172" t="s">
        <v>681</v>
      </c>
      <c r="D287" s="1190" t="s">
        <v>691</v>
      </c>
      <c r="E287" s="1230">
        <v>80111600</v>
      </c>
      <c r="F287" s="1199" t="s">
        <v>951</v>
      </c>
      <c r="G287" s="1231">
        <v>44575</v>
      </c>
      <c r="H287" s="1231">
        <v>44575</v>
      </c>
      <c r="I287" s="1194" t="s">
        <v>1478</v>
      </c>
      <c r="J287" s="1195" t="s">
        <v>1479</v>
      </c>
      <c r="K287" s="1176" t="s">
        <v>676</v>
      </c>
      <c r="L287" s="1178" t="s">
        <v>677</v>
      </c>
      <c r="M287" s="1196">
        <v>28175000</v>
      </c>
      <c r="N287" s="1175" t="s">
        <v>746</v>
      </c>
      <c r="O287" s="1175" t="s">
        <v>1499</v>
      </c>
    </row>
    <row r="288" spans="1:15" s="1159" customFormat="1" ht="90" x14ac:dyDescent="0.25">
      <c r="A288" s="1172">
        <v>2022282</v>
      </c>
      <c r="B288" s="1172">
        <v>7658</v>
      </c>
      <c r="C288" s="1172" t="s">
        <v>681</v>
      </c>
      <c r="D288" s="1190" t="s">
        <v>691</v>
      </c>
      <c r="E288" s="1230">
        <v>80111600</v>
      </c>
      <c r="F288" s="1199" t="s">
        <v>1505</v>
      </c>
      <c r="G288" s="1231">
        <v>44575</v>
      </c>
      <c r="H288" s="1231">
        <v>44575</v>
      </c>
      <c r="I288" s="1194" t="s">
        <v>1478</v>
      </c>
      <c r="J288" s="1195" t="s">
        <v>1479</v>
      </c>
      <c r="K288" s="1176" t="s">
        <v>676</v>
      </c>
      <c r="L288" s="1178" t="s">
        <v>677</v>
      </c>
      <c r="M288" s="1196">
        <v>92000000</v>
      </c>
      <c r="N288" s="1175" t="s">
        <v>746</v>
      </c>
      <c r="O288" s="1175" t="s">
        <v>1499</v>
      </c>
    </row>
    <row r="289" spans="1:15" s="1159" customFormat="1" ht="90" x14ac:dyDescent="0.25">
      <c r="A289" s="1172">
        <v>2022283</v>
      </c>
      <c r="B289" s="1172">
        <v>7658</v>
      </c>
      <c r="C289" s="1172" t="s">
        <v>681</v>
      </c>
      <c r="D289" s="1190" t="s">
        <v>691</v>
      </c>
      <c r="E289" s="1230">
        <v>80111600</v>
      </c>
      <c r="F289" s="1199" t="s">
        <v>952</v>
      </c>
      <c r="G289" s="1231">
        <v>44575</v>
      </c>
      <c r="H289" s="1231">
        <v>44575</v>
      </c>
      <c r="I289" s="1194" t="s">
        <v>1478</v>
      </c>
      <c r="J289" s="1195" t="s">
        <v>1479</v>
      </c>
      <c r="K289" s="1176" t="s">
        <v>676</v>
      </c>
      <c r="L289" s="1178" t="s">
        <v>677</v>
      </c>
      <c r="M289" s="1196">
        <v>47150000</v>
      </c>
      <c r="N289" s="1175" t="s">
        <v>746</v>
      </c>
      <c r="O289" s="1175" t="s">
        <v>1499</v>
      </c>
    </row>
    <row r="290" spans="1:15" s="1159" customFormat="1" ht="90" x14ac:dyDescent="0.25">
      <c r="A290" s="1172">
        <v>2022284</v>
      </c>
      <c r="B290" s="1172">
        <v>7658</v>
      </c>
      <c r="C290" s="1172" t="s">
        <v>681</v>
      </c>
      <c r="D290" s="1190" t="s">
        <v>691</v>
      </c>
      <c r="E290" s="1230">
        <v>80111600</v>
      </c>
      <c r="F290" s="1199" t="s">
        <v>942</v>
      </c>
      <c r="G290" s="1231">
        <v>44575</v>
      </c>
      <c r="H290" s="1231">
        <v>44575</v>
      </c>
      <c r="I290" s="1194" t="s">
        <v>1478</v>
      </c>
      <c r="J290" s="1195" t="s">
        <v>1479</v>
      </c>
      <c r="K290" s="1176" t="s">
        <v>676</v>
      </c>
      <c r="L290" s="1178" t="s">
        <v>677</v>
      </c>
      <c r="M290" s="1196">
        <v>51750000</v>
      </c>
      <c r="N290" s="1175" t="s">
        <v>746</v>
      </c>
      <c r="O290" s="1175" t="s">
        <v>1499</v>
      </c>
    </row>
    <row r="291" spans="1:15" s="1159" customFormat="1" ht="90" x14ac:dyDescent="0.25">
      <c r="A291" s="1172">
        <v>2022285</v>
      </c>
      <c r="B291" s="1172">
        <v>7658</v>
      </c>
      <c r="C291" s="1172" t="s">
        <v>681</v>
      </c>
      <c r="D291" s="1190" t="s">
        <v>691</v>
      </c>
      <c r="E291" s="1230" t="s">
        <v>953</v>
      </c>
      <c r="F291" s="1199" t="s">
        <v>1506</v>
      </c>
      <c r="G291" s="1231">
        <v>44774</v>
      </c>
      <c r="H291" s="1231">
        <v>44774</v>
      </c>
      <c r="I291" s="1194" t="s">
        <v>1482</v>
      </c>
      <c r="J291" s="1195" t="s">
        <v>1447</v>
      </c>
      <c r="K291" s="1176" t="s">
        <v>676</v>
      </c>
      <c r="L291" s="1178" t="s">
        <v>955</v>
      </c>
      <c r="M291" s="1179">
        <v>100000000</v>
      </c>
      <c r="N291" s="1175" t="s">
        <v>746</v>
      </c>
      <c r="O291" s="1175" t="s">
        <v>1499</v>
      </c>
    </row>
    <row r="292" spans="1:15" s="1159" customFormat="1" ht="90" x14ac:dyDescent="0.25">
      <c r="A292" s="1172">
        <v>2022286</v>
      </c>
      <c r="B292" s="1172">
        <v>7658</v>
      </c>
      <c r="C292" s="1172" t="s">
        <v>681</v>
      </c>
      <c r="D292" s="1190" t="s">
        <v>691</v>
      </c>
      <c r="E292" s="1230" t="s">
        <v>957</v>
      </c>
      <c r="F292" s="1232" t="s">
        <v>1507</v>
      </c>
      <c r="G292" s="1231">
        <v>44774</v>
      </c>
      <c r="H292" s="1231">
        <v>44774</v>
      </c>
      <c r="I292" s="1194" t="s">
        <v>1482</v>
      </c>
      <c r="J292" s="1195" t="s">
        <v>1447</v>
      </c>
      <c r="K292" s="1176" t="s">
        <v>676</v>
      </c>
      <c r="L292" s="1233" t="s">
        <v>959</v>
      </c>
      <c r="M292" s="1179">
        <v>150000000</v>
      </c>
      <c r="N292" s="1175" t="s">
        <v>746</v>
      </c>
      <c r="O292" s="1175" t="s">
        <v>1499</v>
      </c>
    </row>
    <row r="293" spans="1:15" s="1159" customFormat="1" ht="90" x14ac:dyDescent="0.25">
      <c r="A293" s="1172">
        <v>2022287</v>
      </c>
      <c r="B293" s="1172">
        <v>7658</v>
      </c>
      <c r="C293" s="1172" t="s">
        <v>681</v>
      </c>
      <c r="D293" s="1190" t="s">
        <v>691</v>
      </c>
      <c r="E293" s="1230" t="s">
        <v>1508</v>
      </c>
      <c r="F293" s="1232" t="s">
        <v>961</v>
      </c>
      <c r="G293" s="1231">
        <v>44713</v>
      </c>
      <c r="H293" s="1231">
        <v>44713</v>
      </c>
      <c r="I293" s="1194" t="s">
        <v>1481</v>
      </c>
      <c r="J293" s="1195" t="s">
        <v>1447</v>
      </c>
      <c r="K293" s="1176" t="s">
        <v>676</v>
      </c>
      <c r="L293" s="1233" t="s">
        <v>959</v>
      </c>
      <c r="M293" s="1179">
        <v>100000000</v>
      </c>
      <c r="N293" s="1175" t="s">
        <v>746</v>
      </c>
      <c r="O293" s="1175" t="s">
        <v>1499</v>
      </c>
    </row>
    <row r="294" spans="1:15" s="1159" customFormat="1" ht="90" x14ac:dyDescent="0.25">
      <c r="A294" s="1172">
        <v>2022288</v>
      </c>
      <c r="B294" s="1172">
        <v>7658</v>
      </c>
      <c r="C294" s="1172" t="s">
        <v>681</v>
      </c>
      <c r="D294" s="1190" t="s">
        <v>691</v>
      </c>
      <c r="E294" s="1230" t="s">
        <v>962</v>
      </c>
      <c r="F294" s="1232" t="s">
        <v>1509</v>
      </c>
      <c r="G294" s="1231">
        <v>44743</v>
      </c>
      <c r="H294" s="1231">
        <v>44743</v>
      </c>
      <c r="I294" s="1194" t="s">
        <v>1481</v>
      </c>
      <c r="J294" s="1195" t="s">
        <v>1447</v>
      </c>
      <c r="K294" s="1176" t="s">
        <v>676</v>
      </c>
      <c r="L294" s="1233" t="s">
        <v>959</v>
      </c>
      <c r="M294" s="1179">
        <v>80000000</v>
      </c>
      <c r="N294" s="1175" t="s">
        <v>746</v>
      </c>
      <c r="O294" s="1175" t="s">
        <v>1499</v>
      </c>
    </row>
    <row r="295" spans="1:15" s="1159" customFormat="1" ht="105" x14ac:dyDescent="0.25">
      <c r="A295" s="1172">
        <v>2022289</v>
      </c>
      <c r="B295" s="1172">
        <v>7658</v>
      </c>
      <c r="C295" s="1172" t="s">
        <v>681</v>
      </c>
      <c r="D295" s="1190" t="s">
        <v>691</v>
      </c>
      <c r="E295" s="1230" t="s">
        <v>1510</v>
      </c>
      <c r="F295" s="1232" t="s">
        <v>1511</v>
      </c>
      <c r="G295" s="1231">
        <v>44621</v>
      </c>
      <c r="H295" s="1231">
        <v>44621</v>
      </c>
      <c r="I295" s="1194" t="s">
        <v>1484</v>
      </c>
      <c r="J295" s="1195" t="s">
        <v>1447</v>
      </c>
      <c r="K295" s="1176" t="s">
        <v>676</v>
      </c>
      <c r="L295" s="1233" t="s">
        <v>959</v>
      </c>
      <c r="M295" s="1179">
        <v>70000000</v>
      </c>
      <c r="N295" s="1175" t="s">
        <v>746</v>
      </c>
      <c r="O295" s="1175" t="s">
        <v>1499</v>
      </c>
    </row>
    <row r="296" spans="1:15" s="1159" customFormat="1" ht="90" x14ac:dyDescent="0.25">
      <c r="A296" s="1172">
        <v>2022290</v>
      </c>
      <c r="B296" s="1172">
        <v>7658</v>
      </c>
      <c r="C296" s="1172" t="s">
        <v>681</v>
      </c>
      <c r="D296" s="1190" t="s">
        <v>691</v>
      </c>
      <c r="E296" s="1230" t="s">
        <v>964</v>
      </c>
      <c r="F296" s="1232" t="s">
        <v>965</v>
      </c>
      <c r="G296" s="1231">
        <v>44593</v>
      </c>
      <c r="H296" s="1231">
        <v>44593</v>
      </c>
      <c r="I296" s="1194" t="s">
        <v>1442</v>
      </c>
      <c r="J296" s="1195" t="s">
        <v>1447</v>
      </c>
      <c r="K296" s="1176" t="s">
        <v>676</v>
      </c>
      <c r="L296" s="1233" t="s">
        <v>959</v>
      </c>
      <c r="M296" s="1179">
        <v>20000000</v>
      </c>
      <c r="N296" s="1175" t="s">
        <v>746</v>
      </c>
      <c r="O296" s="1175" t="s">
        <v>1499</v>
      </c>
    </row>
    <row r="297" spans="1:15" s="1159" customFormat="1" ht="60" x14ac:dyDescent="0.25">
      <c r="A297" s="1172">
        <v>2022291</v>
      </c>
      <c r="B297" s="1172">
        <v>7658</v>
      </c>
      <c r="C297" s="1172" t="s">
        <v>681</v>
      </c>
      <c r="D297" s="1190" t="s">
        <v>691</v>
      </c>
      <c r="E297" s="1230" t="s">
        <v>966</v>
      </c>
      <c r="F297" s="1232" t="s">
        <v>1512</v>
      </c>
      <c r="G297" s="1231">
        <v>44593</v>
      </c>
      <c r="H297" s="1231">
        <v>44593</v>
      </c>
      <c r="I297" s="1194" t="s">
        <v>1484</v>
      </c>
      <c r="J297" s="1195" t="s">
        <v>1513</v>
      </c>
      <c r="K297" s="1176" t="s">
        <v>772</v>
      </c>
      <c r="L297" s="1178" t="s">
        <v>968</v>
      </c>
      <c r="M297" s="1179">
        <v>900000000</v>
      </c>
      <c r="N297" s="1175" t="s">
        <v>724</v>
      </c>
      <c r="O297" s="1175" t="s">
        <v>1514</v>
      </c>
    </row>
    <row r="298" spans="1:15" s="1159" customFormat="1" ht="75" x14ac:dyDescent="0.25">
      <c r="A298" s="1172">
        <v>2022292</v>
      </c>
      <c r="B298" s="1172">
        <v>7658</v>
      </c>
      <c r="C298" s="1172" t="s">
        <v>681</v>
      </c>
      <c r="D298" s="1190" t="s">
        <v>691</v>
      </c>
      <c r="E298" s="1230" t="s">
        <v>969</v>
      </c>
      <c r="F298" s="1232" t="s">
        <v>1515</v>
      </c>
      <c r="G298" s="1231">
        <v>44593</v>
      </c>
      <c r="H298" s="1231">
        <v>44593</v>
      </c>
      <c r="I298" s="1194" t="s">
        <v>1442</v>
      </c>
      <c r="J298" s="1195" t="s">
        <v>1513</v>
      </c>
      <c r="K298" s="1176" t="s">
        <v>772</v>
      </c>
      <c r="L298" s="1178" t="s">
        <v>968</v>
      </c>
      <c r="M298" s="1179">
        <v>180000000</v>
      </c>
      <c r="N298" s="1175" t="s">
        <v>724</v>
      </c>
      <c r="O298" s="1175" t="s">
        <v>1514</v>
      </c>
    </row>
    <row r="299" spans="1:15" s="1159" customFormat="1" ht="60" x14ac:dyDescent="0.25">
      <c r="A299" s="1172">
        <v>2022293</v>
      </c>
      <c r="B299" s="1172">
        <v>7658</v>
      </c>
      <c r="C299" s="1172" t="s">
        <v>681</v>
      </c>
      <c r="D299" s="1190" t="s">
        <v>691</v>
      </c>
      <c r="E299" s="1230" t="s">
        <v>966</v>
      </c>
      <c r="F299" s="1232" t="s">
        <v>1516</v>
      </c>
      <c r="G299" s="1231">
        <v>44593</v>
      </c>
      <c r="H299" s="1231">
        <v>44593</v>
      </c>
      <c r="I299" s="1194" t="s">
        <v>1484</v>
      </c>
      <c r="J299" s="1195" t="s">
        <v>1513</v>
      </c>
      <c r="K299" s="1176" t="s">
        <v>772</v>
      </c>
      <c r="L299" s="1178" t="s">
        <v>968</v>
      </c>
      <c r="M299" s="1179">
        <v>450000000</v>
      </c>
      <c r="N299" s="1175" t="s">
        <v>724</v>
      </c>
      <c r="O299" s="1175" t="s">
        <v>1514</v>
      </c>
    </row>
    <row r="300" spans="1:15" s="1159" customFormat="1" ht="75" x14ac:dyDescent="0.25">
      <c r="A300" s="1172">
        <v>2022294</v>
      </c>
      <c r="B300" s="1172">
        <v>7658</v>
      </c>
      <c r="C300" s="1172" t="s">
        <v>681</v>
      </c>
      <c r="D300" s="1190" t="s">
        <v>691</v>
      </c>
      <c r="E300" s="1234" t="s">
        <v>969</v>
      </c>
      <c r="F300" s="1232" t="s">
        <v>972</v>
      </c>
      <c r="G300" s="1231">
        <v>44593</v>
      </c>
      <c r="H300" s="1231">
        <v>44593</v>
      </c>
      <c r="I300" s="1194" t="s">
        <v>1442</v>
      </c>
      <c r="J300" s="1195" t="s">
        <v>1513</v>
      </c>
      <c r="K300" s="1176" t="s">
        <v>772</v>
      </c>
      <c r="L300" s="1178" t="s">
        <v>968</v>
      </c>
      <c r="M300" s="1179">
        <v>90000000</v>
      </c>
      <c r="N300" s="1175" t="s">
        <v>724</v>
      </c>
      <c r="O300" s="1175" t="s">
        <v>1514</v>
      </c>
    </row>
    <row r="301" spans="1:15" s="1159" customFormat="1" ht="90" x14ac:dyDescent="0.25">
      <c r="A301" s="1172">
        <v>2022295</v>
      </c>
      <c r="B301" s="1172">
        <v>7658</v>
      </c>
      <c r="C301" s="1172" t="s">
        <v>681</v>
      </c>
      <c r="D301" s="1190" t="s">
        <v>691</v>
      </c>
      <c r="E301" s="1230" t="s">
        <v>973</v>
      </c>
      <c r="F301" s="1232" t="s">
        <v>974</v>
      </c>
      <c r="G301" s="1231">
        <v>44593</v>
      </c>
      <c r="H301" s="1231">
        <v>44593</v>
      </c>
      <c r="I301" s="1194" t="s">
        <v>1481</v>
      </c>
      <c r="J301" s="1195" t="s">
        <v>1447</v>
      </c>
      <c r="K301" s="1176" t="s">
        <v>676</v>
      </c>
      <c r="L301" s="1233" t="s">
        <v>959</v>
      </c>
      <c r="M301" s="1179">
        <v>70000000</v>
      </c>
      <c r="N301" s="1175" t="s">
        <v>746</v>
      </c>
      <c r="O301" s="1175" t="s">
        <v>1499</v>
      </c>
    </row>
    <row r="302" spans="1:15" s="1159" customFormat="1" ht="90" x14ac:dyDescent="0.25">
      <c r="A302" s="1172">
        <v>2022296</v>
      </c>
      <c r="B302" s="1172">
        <v>7658</v>
      </c>
      <c r="C302" s="1172" t="s">
        <v>681</v>
      </c>
      <c r="D302" s="1190" t="s">
        <v>691</v>
      </c>
      <c r="E302" s="1230" t="s">
        <v>975</v>
      </c>
      <c r="F302" s="1232" t="s">
        <v>1517</v>
      </c>
      <c r="G302" s="1231">
        <v>44652</v>
      </c>
      <c r="H302" s="1231">
        <v>44652</v>
      </c>
      <c r="I302" s="1194" t="s">
        <v>1486</v>
      </c>
      <c r="J302" s="1195" t="s">
        <v>1462</v>
      </c>
      <c r="K302" s="1176" t="s">
        <v>676</v>
      </c>
      <c r="L302" s="1178" t="s">
        <v>1518</v>
      </c>
      <c r="M302" s="1179">
        <v>300000000</v>
      </c>
      <c r="N302" s="1175" t="s">
        <v>746</v>
      </c>
      <c r="O302" s="1175" t="s">
        <v>1499</v>
      </c>
    </row>
    <row r="303" spans="1:15" s="1159" customFormat="1" ht="90" x14ac:dyDescent="0.25">
      <c r="A303" s="1172">
        <v>2022297</v>
      </c>
      <c r="B303" s="1172">
        <v>7658</v>
      </c>
      <c r="C303" s="1172" t="s">
        <v>681</v>
      </c>
      <c r="D303" s="1190" t="s">
        <v>691</v>
      </c>
      <c r="E303" s="1191" t="s">
        <v>977</v>
      </c>
      <c r="F303" s="1232" t="s">
        <v>1519</v>
      </c>
      <c r="G303" s="1231">
        <v>44593</v>
      </c>
      <c r="H303" s="1231">
        <v>44593</v>
      </c>
      <c r="I303" s="1194" t="s">
        <v>1442</v>
      </c>
      <c r="J303" s="1195" t="s">
        <v>1328</v>
      </c>
      <c r="K303" s="1176" t="s">
        <v>676</v>
      </c>
      <c r="L303" s="1178" t="s">
        <v>968</v>
      </c>
      <c r="M303" s="1179">
        <v>1119870000</v>
      </c>
      <c r="N303" s="1175" t="s">
        <v>746</v>
      </c>
      <c r="O303" s="1175" t="s">
        <v>1499</v>
      </c>
    </row>
    <row r="304" spans="1:15" s="1159" customFormat="1" ht="90" x14ac:dyDescent="0.25">
      <c r="A304" s="1172">
        <v>2022298</v>
      </c>
      <c r="B304" s="1172">
        <v>7658</v>
      </c>
      <c r="C304" s="1172" t="s">
        <v>681</v>
      </c>
      <c r="D304" s="1190" t="s">
        <v>691</v>
      </c>
      <c r="E304" s="1191" t="s">
        <v>969</v>
      </c>
      <c r="F304" s="1232" t="s">
        <v>979</v>
      </c>
      <c r="G304" s="1231">
        <v>44593</v>
      </c>
      <c r="H304" s="1231">
        <v>44593</v>
      </c>
      <c r="I304" s="1194" t="s">
        <v>1442</v>
      </c>
      <c r="J304" s="1195" t="s">
        <v>1513</v>
      </c>
      <c r="K304" s="1176" t="s">
        <v>676</v>
      </c>
      <c r="L304" s="1178" t="s">
        <v>968</v>
      </c>
      <c r="M304" s="1179">
        <v>420000000</v>
      </c>
      <c r="N304" s="1175" t="s">
        <v>746</v>
      </c>
      <c r="O304" s="1175" t="s">
        <v>1499</v>
      </c>
    </row>
    <row r="305" spans="1:15" s="1159" customFormat="1" ht="90" x14ac:dyDescent="0.25">
      <c r="A305" s="1172">
        <v>2022299</v>
      </c>
      <c r="B305" s="1172">
        <v>7658</v>
      </c>
      <c r="C305" s="1172" t="s">
        <v>681</v>
      </c>
      <c r="D305" s="1190" t="s">
        <v>691</v>
      </c>
      <c r="E305" s="1230" t="s">
        <v>1520</v>
      </c>
      <c r="F305" s="1232" t="s">
        <v>1521</v>
      </c>
      <c r="G305" s="1231">
        <v>44621</v>
      </c>
      <c r="H305" s="1231">
        <v>44621</v>
      </c>
      <c r="I305" s="1194" t="s">
        <v>1522</v>
      </c>
      <c r="J305" s="1195" t="s">
        <v>1523</v>
      </c>
      <c r="K305" s="1176" t="s">
        <v>772</v>
      </c>
      <c r="L305" s="1178" t="s">
        <v>1518</v>
      </c>
      <c r="M305" s="1179">
        <v>500000000</v>
      </c>
      <c r="N305" s="1175" t="s">
        <v>746</v>
      </c>
      <c r="O305" s="1175" t="s">
        <v>1499</v>
      </c>
    </row>
    <row r="306" spans="1:15" s="1159" customFormat="1" ht="90" x14ac:dyDescent="0.25">
      <c r="A306" s="1172">
        <v>2022300</v>
      </c>
      <c r="B306" s="1172">
        <v>7658</v>
      </c>
      <c r="C306" s="1172" t="s">
        <v>681</v>
      </c>
      <c r="D306" s="1190" t="s">
        <v>691</v>
      </c>
      <c r="E306" s="1234" t="s">
        <v>980</v>
      </c>
      <c r="F306" s="1235" t="s">
        <v>1524</v>
      </c>
      <c r="G306" s="1231">
        <v>44621</v>
      </c>
      <c r="H306" s="1231">
        <v>44621</v>
      </c>
      <c r="I306" s="1194" t="s">
        <v>1483</v>
      </c>
      <c r="J306" s="1195" t="s">
        <v>1523</v>
      </c>
      <c r="K306" s="1176" t="s">
        <v>772</v>
      </c>
      <c r="L306" s="1178" t="s">
        <v>1518</v>
      </c>
      <c r="M306" s="1179">
        <v>300000000</v>
      </c>
      <c r="N306" s="1175" t="s">
        <v>746</v>
      </c>
      <c r="O306" s="1175" t="s">
        <v>1499</v>
      </c>
    </row>
    <row r="307" spans="1:15" s="1159" customFormat="1" ht="60" x14ac:dyDescent="0.25">
      <c r="A307" s="1172">
        <v>2022301</v>
      </c>
      <c r="B307" s="1172">
        <v>7658</v>
      </c>
      <c r="C307" s="1172" t="s">
        <v>681</v>
      </c>
      <c r="D307" s="1190" t="s">
        <v>691</v>
      </c>
      <c r="E307" s="1191" t="s">
        <v>97</v>
      </c>
      <c r="F307" s="1232" t="s">
        <v>982</v>
      </c>
      <c r="G307" s="1231">
        <v>44621</v>
      </c>
      <c r="H307" s="1231">
        <v>44621</v>
      </c>
      <c r="I307" s="1212" t="s">
        <v>97</v>
      </c>
      <c r="J307" s="1195" t="s">
        <v>816</v>
      </c>
      <c r="K307" s="1176" t="s">
        <v>676</v>
      </c>
      <c r="L307" s="1178" t="s">
        <v>968</v>
      </c>
      <c r="M307" s="1179">
        <v>170000000</v>
      </c>
      <c r="N307" s="1178" t="s">
        <v>724</v>
      </c>
      <c r="O307" s="1178" t="s">
        <v>1514</v>
      </c>
    </row>
    <row r="308" spans="1:15" s="1159" customFormat="1" ht="90" x14ac:dyDescent="0.25">
      <c r="A308" s="1182">
        <v>2022302</v>
      </c>
      <c r="B308" s="1182">
        <v>7658</v>
      </c>
      <c r="C308" s="1182" t="s">
        <v>681</v>
      </c>
      <c r="D308" s="1227" t="s">
        <v>691</v>
      </c>
      <c r="E308" s="1236" t="s">
        <v>985</v>
      </c>
      <c r="F308" s="1237" t="s">
        <v>986</v>
      </c>
      <c r="G308" s="1238">
        <v>44652</v>
      </c>
      <c r="H308" s="1238">
        <v>44652</v>
      </c>
      <c r="I308" s="1239" t="s">
        <v>1484</v>
      </c>
      <c r="J308" s="1240" t="s">
        <v>1328</v>
      </c>
      <c r="K308" s="1184" t="s">
        <v>676</v>
      </c>
      <c r="L308" s="1183" t="s">
        <v>987</v>
      </c>
      <c r="M308" s="1186">
        <v>308129000</v>
      </c>
      <c r="N308" s="1185" t="s">
        <v>746</v>
      </c>
      <c r="O308" s="1185" t="s">
        <v>1499</v>
      </c>
    </row>
    <row r="309" spans="1:15" s="1159" customFormat="1" ht="90" x14ac:dyDescent="0.25">
      <c r="A309" s="1172">
        <v>2022303</v>
      </c>
      <c r="B309" s="1172">
        <v>7658</v>
      </c>
      <c r="C309" s="1172" t="s">
        <v>681</v>
      </c>
      <c r="D309" s="1190" t="s">
        <v>691</v>
      </c>
      <c r="E309" s="1234" t="s">
        <v>988</v>
      </c>
      <c r="F309" s="1235" t="s">
        <v>989</v>
      </c>
      <c r="G309" s="1231">
        <v>44575</v>
      </c>
      <c r="H309" s="1231">
        <v>44575</v>
      </c>
      <c r="I309" s="1194" t="s">
        <v>1526</v>
      </c>
      <c r="J309" s="1195" t="s">
        <v>1501</v>
      </c>
      <c r="K309" s="1176" t="s">
        <v>676</v>
      </c>
      <c r="L309" s="1178" t="s">
        <v>990</v>
      </c>
      <c r="M309" s="1179">
        <v>10600000</v>
      </c>
      <c r="N309" s="1175" t="s">
        <v>746</v>
      </c>
      <c r="O309" s="1175" t="s">
        <v>1499</v>
      </c>
    </row>
    <row r="310" spans="1:15" s="1159" customFormat="1" ht="90" x14ac:dyDescent="0.25">
      <c r="A310" s="1172">
        <v>2022304</v>
      </c>
      <c r="B310" s="1172">
        <v>7658</v>
      </c>
      <c r="C310" s="1172" t="s">
        <v>681</v>
      </c>
      <c r="D310" s="1190" t="s">
        <v>691</v>
      </c>
      <c r="E310" s="1234" t="s">
        <v>988</v>
      </c>
      <c r="F310" s="1235" t="s">
        <v>991</v>
      </c>
      <c r="G310" s="1231">
        <v>44606</v>
      </c>
      <c r="H310" s="1231">
        <v>44606</v>
      </c>
      <c r="I310" s="1194" t="s">
        <v>1500</v>
      </c>
      <c r="J310" s="1195" t="s">
        <v>1501</v>
      </c>
      <c r="K310" s="1176" t="s">
        <v>676</v>
      </c>
      <c r="L310" s="1178" t="s">
        <v>990</v>
      </c>
      <c r="M310" s="1179">
        <v>109400000</v>
      </c>
      <c r="N310" s="1175" t="s">
        <v>746</v>
      </c>
      <c r="O310" s="1175" t="s">
        <v>1499</v>
      </c>
    </row>
    <row r="311" spans="1:15" s="1159" customFormat="1" ht="60" x14ac:dyDescent="0.25">
      <c r="A311" s="1172">
        <v>2022305</v>
      </c>
      <c r="B311" s="1172">
        <v>7658</v>
      </c>
      <c r="C311" s="1172" t="s">
        <v>681</v>
      </c>
      <c r="D311" s="1190" t="s">
        <v>691</v>
      </c>
      <c r="E311" s="1234" t="s">
        <v>1527</v>
      </c>
      <c r="F311" s="1235" t="s">
        <v>1528</v>
      </c>
      <c r="G311" s="1231">
        <v>44606</v>
      </c>
      <c r="H311" s="1231">
        <v>44606</v>
      </c>
      <c r="I311" s="1194" t="s">
        <v>1482</v>
      </c>
      <c r="J311" s="1195" t="s">
        <v>1447</v>
      </c>
      <c r="K311" s="1176" t="s">
        <v>772</v>
      </c>
      <c r="L311" s="1178" t="s">
        <v>968</v>
      </c>
      <c r="M311" s="1179">
        <v>205000000</v>
      </c>
      <c r="N311" s="1175" t="s">
        <v>724</v>
      </c>
      <c r="O311" s="1175" t="s">
        <v>1514</v>
      </c>
    </row>
    <row r="312" spans="1:15" s="1159" customFormat="1" ht="90" x14ac:dyDescent="0.25">
      <c r="A312" s="1172">
        <v>2022306</v>
      </c>
      <c r="B312" s="1172">
        <v>7658</v>
      </c>
      <c r="C312" s="1172" t="s">
        <v>681</v>
      </c>
      <c r="D312" s="1190" t="s">
        <v>691</v>
      </c>
      <c r="E312" s="1234" t="s">
        <v>969</v>
      </c>
      <c r="F312" s="1235" t="s">
        <v>994</v>
      </c>
      <c r="G312" s="1231">
        <v>44606</v>
      </c>
      <c r="H312" s="1231">
        <v>44606</v>
      </c>
      <c r="I312" s="1194" t="s">
        <v>1486</v>
      </c>
      <c r="J312" s="1195" t="s">
        <v>1513</v>
      </c>
      <c r="K312" s="1176" t="s">
        <v>772</v>
      </c>
      <c r="L312" s="1178" t="s">
        <v>968</v>
      </c>
      <c r="M312" s="1179">
        <v>21000000</v>
      </c>
      <c r="N312" s="1175" t="s">
        <v>724</v>
      </c>
      <c r="O312" s="1175" t="s">
        <v>1514</v>
      </c>
    </row>
    <row r="313" spans="1:15" s="1159" customFormat="1" ht="60" x14ac:dyDescent="0.25">
      <c r="A313" s="1172">
        <v>2022307</v>
      </c>
      <c r="B313" s="1172">
        <v>7658</v>
      </c>
      <c r="C313" s="1172" t="s">
        <v>681</v>
      </c>
      <c r="D313" s="1190" t="s">
        <v>691</v>
      </c>
      <c r="E313" s="1230" t="s">
        <v>973</v>
      </c>
      <c r="F313" s="1235" t="s">
        <v>1529</v>
      </c>
      <c r="G313" s="1231">
        <v>44634</v>
      </c>
      <c r="H313" s="1231">
        <v>44634</v>
      </c>
      <c r="I313" s="1194" t="s">
        <v>1487</v>
      </c>
      <c r="J313" s="1195" t="s">
        <v>1328</v>
      </c>
      <c r="K313" s="1176" t="s">
        <v>772</v>
      </c>
      <c r="L313" s="1178" t="s">
        <v>968</v>
      </c>
      <c r="M313" s="1179">
        <v>1000000000</v>
      </c>
      <c r="N313" s="1175" t="s">
        <v>724</v>
      </c>
      <c r="O313" s="1175" t="s">
        <v>1514</v>
      </c>
    </row>
    <row r="314" spans="1:15" s="1159" customFormat="1" ht="60" x14ac:dyDescent="0.25">
      <c r="A314" s="1172">
        <v>2022308</v>
      </c>
      <c r="B314" s="1172">
        <v>7658</v>
      </c>
      <c r="C314" s="1172" t="s">
        <v>681</v>
      </c>
      <c r="D314" s="1190" t="s">
        <v>691</v>
      </c>
      <c r="E314" s="1234" t="s">
        <v>969</v>
      </c>
      <c r="F314" s="1235" t="s">
        <v>1530</v>
      </c>
      <c r="G314" s="1231">
        <v>44634</v>
      </c>
      <c r="H314" s="1231">
        <v>44634</v>
      </c>
      <c r="I314" s="1194" t="s">
        <v>1531</v>
      </c>
      <c r="J314" s="1195" t="s">
        <v>1513</v>
      </c>
      <c r="K314" s="1176" t="s">
        <v>772</v>
      </c>
      <c r="L314" s="1178" t="s">
        <v>968</v>
      </c>
      <c r="M314" s="1179">
        <v>345000000</v>
      </c>
      <c r="N314" s="1175" t="s">
        <v>724</v>
      </c>
      <c r="O314" s="1175" t="s">
        <v>1514</v>
      </c>
    </row>
    <row r="315" spans="1:15" s="1159" customFormat="1" ht="75" x14ac:dyDescent="0.25">
      <c r="A315" s="1172">
        <v>2022309</v>
      </c>
      <c r="B315" s="1172">
        <v>7658</v>
      </c>
      <c r="C315" s="1172" t="s">
        <v>681</v>
      </c>
      <c r="D315" s="1190" t="s">
        <v>691</v>
      </c>
      <c r="E315" s="1230" t="s">
        <v>1532</v>
      </c>
      <c r="F315" s="1232" t="s">
        <v>1533</v>
      </c>
      <c r="G315" s="1231">
        <v>44695</v>
      </c>
      <c r="H315" s="1231">
        <v>44695</v>
      </c>
      <c r="I315" s="1194" t="s">
        <v>1481</v>
      </c>
      <c r="J315" s="1195" t="s">
        <v>1328</v>
      </c>
      <c r="K315" s="1176" t="s">
        <v>772</v>
      </c>
      <c r="L315" s="1178" t="s">
        <v>968</v>
      </c>
      <c r="M315" s="1196">
        <v>175000000</v>
      </c>
      <c r="N315" s="1175" t="s">
        <v>761</v>
      </c>
      <c r="O315" s="1175" t="s">
        <v>1534</v>
      </c>
    </row>
    <row r="316" spans="1:15" s="1159" customFormat="1" ht="75" x14ac:dyDescent="0.25">
      <c r="A316" s="1172">
        <v>2022310</v>
      </c>
      <c r="B316" s="1172">
        <v>7658</v>
      </c>
      <c r="C316" s="1172" t="s">
        <v>681</v>
      </c>
      <c r="D316" s="1190" t="s">
        <v>697</v>
      </c>
      <c r="E316" s="1230">
        <v>80111600</v>
      </c>
      <c r="F316" s="1199" t="s">
        <v>1000</v>
      </c>
      <c r="G316" s="1193" t="s">
        <v>1440</v>
      </c>
      <c r="H316" s="1212" t="s">
        <v>1440</v>
      </c>
      <c r="I316" s="1194" t="s">
        <v>1482</v>
      </c>
      <c r="J316" s="1195" t="s">
        <v>1479</v>
      </c>
      <c r="K316" s="1176" t="s">
        <v>676</v>
      </c>
      <c r="L316" s="1241" t="s">
        <v>677</v>
      </c>
      <c r="M316" s="1196">
        <v>30429000</v>
      </c>
      <c r="N316" s="1175" t="s">
        <v>1535</v>
      </c>
      <c r="O316" s="1175" t="s">
        <v>1536</v>
      </c>
    </row>
    <row r="317" spans="1:15" s="1159" customFormat="1" ht="75" x14ac:dyDescent="0.25">
      <c r="A317" s="1172">
        <v>2022311</v>
      </c>
      <c r="B317" s="1172">
        <v>7658</v>
      </c>
      <c r="C317" s="1172" t="s">
        <v>681</v>
      </c>
      <c r="D317" s="1190" t="s">
        <v>697</v>
      </c>
      <c r="E317" s="1230">
        <v>80111600</v>
      </c>
      <c r="F317" s="1199" t="s">
        <v>1001</v>
      </c>
      <c r="G317" s="1193" t="s">
        <v>1440</v>
      </c>
      <c r="H317" s="1212" t="s">
        <v>1440</v>
      </c>
      <c r="I317" s="1194" t="s">
        <v>1442</v>
      </c>
      <c r="J317" s="1195" t="s">
        <v>1479</v>
      </c>
      <c r="K317" s="1176" t="s">
        <v>676</v>
      </c>
      <c r="L317" s="1241" t="s">
        <v>677</v>
      </c>
      <c r="M317" s="1196">
        <v>26950000</v>
      </c>
      <c r="N317" s="1175" t="s">
        <v>1535</v>
      </c>
      <c r="O317" s="1175" t="s">
        <v>1536</v>
      </c>
    </row>
    <row r="318" spans="1:15" s="1159" customFormat="1" ht="75" x14ac:dyDescent="0.25">
      <c r="A318" s="1172">
        <v>2022312</v>
      </c>
      <c r="B318" s="1172">
        <v>7658</v>
      </c>
      <c r="C318" s="1172" t="s">
        <v>681</v>
      </c>
      <c r="D318" s="1190" t="s">
        <v>697</v>
      </c>
      <c r="E318" s="1230">
        <v>80111600</v>
      </c>
      <c r="F318" s="1199" t="s">
        <v>1001</v>
      </c>
      <c r="G318" s="1193" t="s">
        <v>1440</v>
      </c>
      <c r="H318" s="1212" t="s">
        <v>1440</v>
      </c>
      <c r="I318" s="1194" t="s">
        <v>1442</v>
      </c>
      <c r="J318" s="1195" t="s">
        <v>1479</v>
      </c>
      <c r="K318" s="1176" t="s">
        <v>676</v>
      </c>
      <c r="L318" s="1241" t="s">
        <v>677</v>
      </c>
      <c r="M318" s="1196">
        <v>26950000</v>
      </c>
      <c r="N318" s="1175" t="s">
        <v>1535</v>
      </c>
      <c r="O318" s="1175" t="s">
        <v>1536</v>
      </c>
    </row>
    <row r="319" spans="1:15" s="1159" customFormat="1" ht="75" x14ac:dyDescent="0.25">
      <c r="A319" s="1172">
        <v>2022313</v>
      </c>
      <c r="B319" s="1172">
        <v>7658</v>
      </c>
      <c r="C319" s="1172" t="s">
        <v>681</v>
      </c>
      <c r="D319" s="1190" t="s">
        <v>697</v>
      </c>
      <c r="E319" s="1230">
        <v>80111600</v>
      </c>
      <c r="F319" s="1199" t="s">
        <v>1002</v>
      </c>
      <c r="G319" s="1193" t="s">
        <v>1440</v>
      </c>
      <c r="H319" s="1212" t="s">
        <v>1440</v>
      </c>
      <c r="I319" s="1194" t="s">
        <v>1442</v>
      </c>
      <c r="J319" s="1195" t="s">
        <v>1479</v>
      </c>
      <c r="K319" s="1176" t="s">
        <v>676</v>
      </c>
      <c r="L319" s="1241" t="s">
        <v>677</v>
      </c>
      <c r="M319" s="1196">
        <v>59202000</v>
      </c>
      <c r="N319" s="1175" t="s">
        <v>1535</v>
      </c>
      <c r="O319" s="1175" t="s">
        <v>1536</v>
      </c>
    </row>
    <row r="320" spans="1:15" s="1159" customFormat="1" ht="75" x14ac:dyDescent="0.25">
      <c r="A320" s="1172">
        <v>2022314</v>
      </c>
      <c r="B320" s="1172">
        <v>7658</v>
      </c>
      <c r="C320" s="1172" t="s">
        <v>681</v>
      </c>
      <c r="D320" s="1190" t="s">
        <v>697</v>
      </c>
      <c r="E320" s="1230">
        <v>80111600</v>
      </c>
      <c r="F320" s="1199" t="s">
        <v>1003</v>
      </c>
      <c r="G320" s="1193" t="s">
        <v>1440</v>
      </c>
      <c r="H320" s="1212" t="s">
        <v>1440</v>
      </c>
      <c r="I320" s="1194" t="s">
        <v>1442</v>
      </c>
      <c r="J320" s="1195" t="s">
        <v>1479</v>
      </c>
      <c r="K320" s="1176" t="s">
        <v>676</v>
      </c>
      <c r="L320" s="1241" t="s">
        <v>677</v>
      </c>
      <c r="M320" s="1196">
        <v>36850000</v>
      </c>
      <c r="N320" s="1175" t="s">
        <v>1535</v>
      </c>
      <c r="O320" s="1175" t="s">
        <v>1536</v>
      </c>
    </row>
    <row r="321" spans="1:18" s="1159" customFormat="1" ht="75" x14ac:dyDescent="0.25">
      <c r="A321" s="1172">
        <v>2022315</v>
      </c>
      <c r="B321" s="1172">
        <v>7658</v>
      </c>
      <c r="C321" s="1172" t="s">
        <v>681</v>
      </c>
      <c r="D321" s="1190" t="s">
        <v>697</v>
      </c>
      <c r="E321" s="1230">
        <v>80111600</v>
      </c>
      <c r="F321" s="1199" t="s">
        <v>1004</v>
      </c>
      <c r="G321" s="1193" t="s">
        <v>1440</v>
      </c>
      <c r="H321" s="1212" t="s">
        <v>1440</v>
      </c>
      <c r="I321" s="1194" t="s">
        <v>1442</v>
      </c>
      <c r="J321" s="1195" t="s">
        <v>1479</v>
      </c>
      <c r="K321" s="1176" t="s">
        <v>676</v>
      </c>
      <c r="L321" s="1241" t="s">
        <v>677</v>
      </c>
      <c r="M321" s="1196">
        <v>47817000</v>
      </c>
      <c r="N321" s="1175" t="s">
        <v>1535</v>
      </c>
      <c r="O321" s="1175" t="s">
        <v>1536</v>
      </c>
    </row>
    <row r="322" spans="1:18" s="1159" customFormat="1" ht="75" x14ac:dyDescent="0.25">
      <c r="A322" s="1172">
        <v>2022316</v>
      </c>
      <c r="B322" s="1172">
        <v>7658</v>
      </c>
      <c r="C322" s="1172" t="s">
        <v>681</v>
      </c>
      <c r="D322" s="1190" t="s">
        <v>697</v>
      </c>
      <c r="E322" s="1230">
        <v>80111600</v>
      </c>
      <c r="F322" s="1199" t="s">
        <v>1005</v>
      </c>
      <c r="G322" s="1193" t="s">
        <v>1440</v>
      </c>
      <c r="H322" s="1212" t="s">
        <v>1440</v>
      </c>
      <c r="I322" s="1194" t="s">
        <v>1442</v>
      </c>
      <c r="J322" s="1195" t="s">
        <v>1479</v>
      </c>
      <c r="K322" s="1176" t="s">
        <v>676</v>
      </c>
      <c r="L322" s="1241" t="s">
        <v>677</v>
      </c>
      <c r="M322" s="1196">
        <v>59202000</v>
      </c>
      <c r="N322" s="1175" t="s">
        <v>1535</v>
      </c>
      <c r="O322" s="1175" t="s">
        <v>1536</v>
      </c>
    </row>
    <row r="323" spans="1:18" s="1159" customFormat="1" ht="75" x14ac:dyDescent="0.25">
      <c r="A323" s="1172">
        <v>2022317</v>
      </c>
      <c r="B323" s="1172">
        <v>7658</v>
      </c>
      <c r="C323" s="1172" t="s">
        <v>681</v>
      </c>
      <c r="D323" s="1190" t="s">
        <v>697</v>
      </c>
      <c r="E323" s="1230">
        <v>80111600</v>
      </c>
      <c r="F323" s="1199" t="s">
        <v>1006</v>
      </c>
      <c r="G323" s="1193" t="s">
        <v>1440</v>
      </c>
      <c r="H323" s="1212" t="s">
        <v>1440</v>
      </c>
      <c r="I323" s="1194" t="s">
        <v>1442</v>
      </c>
      <c r="J323" s="1195" t="s">
        <v>1479</v>
      </c>
      <c r="K323" s="1176" t="s">
        <v>676</v>
      </c>
      <c r="L323" s="1241" t="s">
        <v>677</v>
      </c>
      <c r="M323" s="1196">
        <v>31880000</v>
      </c>
      <c r="N323" s="1175" t="s">
        <v>1535</v>
      </c>
      <c r="O323" s="1175" t="s">
        <v>1536</v>
      </c>
    </row>
    <row r="324" spans="1:18" s="1159" customFormat="1" ht="75" x14ac:dyDescent="0.25">
      <c r="A324" s="1172">
        <v>2022318</v>
      </c>
      <c r="B324" s="1172">
        <v>7658</v>
      </c>
      <c r="C324" s="1172" t="s">
        <v>681</v>
      </c>
      <c r="D324" s="1190" t="s">
        <v>697</v>
      </c>
      <c r="E324" s="1230">
        <v>80111600</v>
      </c>
      <c r="F324" s="1199" t="s">
        <v>1007</v>
      </c>
      <c r="G324" s="1193" t="s">
        <v>1440</v>
      </c>
      <c r="H324" s="1212" t="s">
        <v>1440</v>
      </c>
      <c r="I324" s="1194" t="s">
        <v>1442</v>
      </c>
      <c r="J324" s="1195" t="s">
        <v>1479</v>
      </c>
      <c r="K324" s="1176" t="s">
        <v>676</v>
      </c>
      <c r="L324" s="1241" t="s">
        <v>677</v>
      </c>
      <c r="M324" s="1196">
        <v>16146000</v>
      </c>
      <c r="N324" s="1175" t="s">
        <v>1535</v>
      </c>
      <c r="O324" s="1175" t="s">
        <v>1536</v>
      </c>
    </row>
    <row r="325" spans="1:18" s="1159" customFormat="1" ht="75" x14ac:dyDescent="0.25">
      <c r="A325" s="1172">
        <v>2022319</v>
      </c>
      <c r="B325" s="1172">
        <v>7658</v>
      </c>
      <c r="C325" s="1172" t="s">
        <v>681</v>
      </c>
      <c r="D325" s="1190" t="s">
        <v>697</v>
      </c>
      <c r="E325" s="1230">
        <v>80111600</v>
      </c>
      <c r="F325" s="1199" t="s">
        <v>1008</v>
      </c>
      <c r="G325" s="1193" t="s">
        <v>1440</v>
      </c>
      <c r="H325" s="1212" t="s">
        <v>1440</v>
      </c>
      <c r="I325" s="1194" t="s">
        <v>1442</v>
      </c>
      <c r="J325" s="1195" t="s">
        <v>1479</v>
      </c>
      <c r="K325" s="1176" t="s">
        <v>676</v>
      </c>
      <c r="L325" s="1241" t="s">
        <v>677</v>
      </c>
      <c r="M325" s="1196">
        <v>80300000</v>
      </c>
      <c r="N325" s="1175" t="s">
        <v>1535</v>
      </c>
      <c r="O325" s="1175" t="s">
        <v>1536</v>
      </c>
    </row>
    <row r="326" spans="1:18" s="1159" customFormat="1" ht="75" x14ac:dyDescent="0.25">
      <c r="A326" s="1172">
        <v>2022320</v>
      </c>
      <c r="B326" s="1172">
        <v>7658</v>
      </c>
      <c r="C326" s="1172" t="s">
        <v>681</v>
      </c>
      <c r="D326" s="1190" t="s">
        <v>697</v>
      </c>
      <c r="E326" s="1230">
        <v>80111600</v>
      </c>
      <c r="F326" s="1199" t="s">
        <v>1009</v>
      </c>
      <c r="G326" s="1193" t="s">
        <v>1440</v>
      </c>
      <c r="H326" s="1212" t="s">
        <v>1440</v>
      </c>
      <c r="I326" s="1194" t="s">
        <v>1442</v>
      </c>
      <c r="J326" s="1195" t="s">
        <v>1479</v>
      </c>
      <c r="K326" s="1176" t="s">
        <v>676</v>
      </c>
      <c r="L326" s="1241" t="s">
        <v>677</v>
      </c>
      <c r="M326" s="1196">
        <v>56925000</v>
      </c>
      <c r="N326" s="1175" t="s">
        <v>1535</v>
      </c>
      <c r="O326" s="1175" t="s">
        <v>1536</v>
      </c>
    </row>
    <row r="327" spans="1:18" s="1159" customFormat="1" ht="75" x14ac:dyDescent="0.25">
      <c r="A327" s="1172">
        <v>2022321</v>
      </c>
      <c r="B327" s="1172">
        <v>7658</v>
      </c>
      <c r="C327" s="1172" t="s">
        <v>681</v>
      </c>
      <c r="D327" s="1190" t="s">
        <v>697</v>
      </c>
      <c r="E327" s="1230">
        <v>80111600</v>
      </c>
      <c r="F327" s="1199" t="s">
        <v>1010</v>
      </c>
      <c r="G327" s="1193" t="s">
        <v>1440</v>
      </c>
      <c r="H327" s="1212" t="s">
        <v>1440</v>
      </c>
      <c r="I327" s="1194" t="s">
        <v>1484</v>
      </c>
      <c r="J327" s="1195" t="s">
        <v>1479</v>
      </c>
      <c r="K327" s="1176" t="s">
        <v>676</v>
      </c>
      <c r="L327" s="1241" t="s">
        <v>677</v>
      </c>
      <c r="M327" s="1196">
        <v>23100000</v>
      </c>
      <c r="N327" s="1175" t="s">
        <v>1535</v>
      </c>
      <c r="O327" s="1175" t="s">
        <v>1536</v>
      </c>
    </row>
    <row r="328" spans="1:18" s="1159" customFormat="1" ht="75" x14ac:dyDescent="0.25">
      <c r="A328" s="1172">
        <v>2022322</v>
      </c>
      <c r="B328" s="1172">
        <v>7658</v>
      </c>
      <c r="C328" s="1172" t="s">
        <v>681</v>
      </c>
      <c r="D328" s="1190" t="s">
        <v>697</v>
      </c>
      <c r="E328" s="1230">
        <v>80111600</v>
      </c>
      <c r="F328" s="1199" t="s">
        <v>1011</v>
      </c>
      <c r="G328" s="1193" t="s">
        <v>1440</v>
      </c>
      <c r="H328" s="1212" t="s">
        <v>1440</v>
      </c>
      <c r="I328" s="1194" t="s">
        <v>1483</v>
      </c>
      <c r="J328" s="1195" t="s">
        <v>1479</v>
      </c>
      <c r="K328" s="1176" t="s">
        <v>676</v>
      </c>
      <c r="L328" s="1241" t="s">
        <v>677</v>
      </c>
      <c r="M328" s="1196">
        <v>26950000</v>
      </c>
      <c r="N328" s="1175" t="s">
        <v>1535</v>
      </c>
      <c r="O328" s="1175" t="s">
        <v>1536</v>
      </c>
    </row>
    <row r="329" spans="1:18" s="1159" customFormat="1" ht="118.5" customHeight="1" x14ac:dyDescent="0.25">
      <c r="A329" s="1172">
        <v>2022323</v>
      </c>
      <c r="B329" s="1172">
        <v>7658</v>
      </c>
      <c r="C329" s="1172" t="s">
        <v>681</v>
      </c>
      <c r="D329" s="1190" t="s">
        <v>697</v>
      </c>
      <c r="E329" s="1234">
        <v>80111600</v>
      </c>
      <c r="F329" s="1175" t="s">
        <v>1012</v>
      </c>
      <c r="G329" s="1193" t="s">
        <v>1440</v>
      </c>
      <c r="H329" s="1212" t="s">
        <v>1440</v>
      </c>
      <c r="I329" s="1194" t="s">
        <v>1442</v>
      </c>
      <c r="J329" s="1195" t="s">
        <v>1479</v>
      </c>
      <c r="K329" s="1176" t="s">
        <v>676</v>
      </c>
      <c r="L329" s="1241" t="s">
        <v>677</v>
      </c>
      <c r="M329" s="1179">
        <v>47817000</v>
      </c>
      <c r="N329" s="1175" t="s">
        <v>1535</v>
      </c>
      <c r="O329" s="1175" t="s">
        <v>1536</v>
      </c>
    </row>
    <row r="330" spans="1:18" s="1159" customFormat="1" ht="330" x14ac:dyDescent="0.25">
      <c r="A330" s="1172">
        <v>2022324</v>
      </c>
      <c r="B330" s="1172">
        <v>7658</v>
      </c>
      <c r="C330" s="1172" t="s">
        <v>681</v>
      </c>
      <c r="D330" s="1190" t="s">
        <v>697</v>
      </c>
      <c r="E330" s="1242" t="s">
        <v>1013</v>
      </c>
      <c r="F330" s="1175" t="s">
        <v>1014</v>
      </c>
      <c r="G330" s="1193" t="s">
        <v>1445</v>
      </c>
      <c r="H330" s="1212" t="s">
        <v>1453</v>
      </c>
      <c r="I330" s="1194" t="s">
        <v>1481</v>
      </c>
      <c r="J330" s="1195" t="s">
        <v>1537</v>
      </c>
      <c r="K330" s="1176" t="s">
        <v>772</v>
      </c>
      <c r="L330" s="1178" t="s">
        <v>1518</v>
      </c>
      <c r="M330" s="1196">
        <v>200000000</v>
      </c>
      <c r="N330" s="1175" t="s">
        <v>1535</v>
      </c>
      <c r="O330" s="1175" t="s">
        <v>1536</v>
      </c>
    </row>
    <row r="331" spans="1:18" s="1159" customFormat="1" ht="90" x14ac:dyDescent="0.25">
      <c r="A331" s="1172">
        <v>2022325</v>
      </c>
      <c r="B331" s="1172">
        <v>7658</v>
      </c>
      <c r="C331" s="1172" t="s">
        <v>681</v>
      </c>
      <c r="D331" s="1190" t="s">
        <v>697</v>
      </c>
      <c r="E331" s="1234" t="s">
        <v>1015</v>
      </c>
      <c r="F331" s="1175" t="s">
        <v>1538</v>
      </c>
      <c r="G331" s="1193" t="s">
        <v>1440</v>
      </c>
      <c r="H331" s="1212" t="s">
        <v>1445</v>
      </c>
      <c r="I331" s="1194" t="s">
        <v>1481</v>
      </c>
      <c r="J331" s="1195" t="s">
        <v>1328</v>
      </c>
      <c r="K331" s="1176" t="s">
        <v>676</v>
      </c>
      <c r="L331" s="1241" t="s">
        <v>677</v>
      </c>
      <c r="M331" s="1179">
        <v>770904000</v>
      </c>
      <c r="N331" s="1175" t="s">
        <v>1535</v>
      </c>
      <c r="O331" s="1175" t="s">
        <v>1536</v>
      </c>
    </row>
    <row r="332" spans="1:18" s="1159" customFormat="1" ht="75" x14ac:dyDescent="0.25">
      <c r="A332" s="1172">
        <v>2022326</v>
      </c>
      <c r="B332" s="1172">
        <v>7658</v>
      </c>
      <c r="C332" s="1172" t="s">
        <v>681</v>
      </c>
      <c r="D332" s="1190" t="s">
        <v>697</v>
      </c>
      <c r="E332" s="1230">
        <v>46201002</v>
      </c>
      <c r="F332" s="1199" t="s">
        <v>1539</v>
      </c>
      <c r="G332" s="1193" t="s">
        <v>1440</v>
      </c>
      <c r="H332" s="1212" t="s">
        <v>1445</v>
      </c>
      <c r="I332" s="1194" t="s">
        <v>1481</v>
      </c>
      <c r="J332" s="1195" t="s">
        <v>1328</v>
      </c>
      <c r="K332" s="1176" t="s">
        <v>772</v>
      </c>
      <c r="L332" s="1178" t="s">
        <v>1518</v>
      </c>
      <c r="M332" s="1196">
        <v>1100000000</v>
      </c>
      <c r="N332" s="1175" t="s">
        <v>1535</v>
      </c>
      <c r="O332" s="1175" t="s">
        <v>1536</v>
      </c>
      <c r="P332" s="1243"/>
    </row>
    <row r="333" spans="1:18" s="1159" customFormat="1" ht="75" x14ac:dyDescent="0.25">
      <c r="A333" s="1182">
        <v>2022327</v>
      </c>
      <c r="B333" s="1182">
        <v>7658</v>
      </c>
      <c r="C333" s="1182" t="s">
        <v>681</v>
      </c>
      <c r="D333" s="1227" t="s">
        <v>697</v>
      </c>
      <c r="E333" s="1228">
        <v>90121800</v>
      </c>
      <c r="F333" s="1244" t="s">
        <v>1019</v>
      </c>
      <c r="G333" s="1245" t="s">
        <v>1440</v>
      </c>
      <c r="H333" s="1246" t="s">
        <v>1440</v>
      </c>
      <c r="I333" s="1239" t="s">
        <v>1485</v>
      </c>
      <c r="J333" s="1240" t="s">
        <v>816</v>
      </c>
      <c r="K333" s="1184" t="s">
        <v>676</v>
      </c>
      <c r="L333" s="1247" t="s">
        <v>677</v>
      </c>
      <c r="M333" s="1188">
        <f>40000000+10000000+10000000</f>
        <v>60000000</v>
      </c>
      <c r="N333" s="1185" t="s">
        <v>1535</v>
      </c>
      <c r="O333" s="1185" t="s">
        <v>1536</v>
      </c>
      <c r="P333" s="1248"/>
      <c r="R333" s="1180"/>
    </row>
    <row r="334" spans="1:18" s="1159" customFormat="1" ht="75" x14ac:dyDescent="0.25">
      <c r="A334" s="1172">
        <v>2022328</v>
      </c>
      <c r="B334" s="1172">
        <v>7658</v>
      </c>
      <c r="C334" s="1172" t="s">
        <v>681</v>
      </c>
      <c r="D334" s="1190" t="s">
        <v>697</v>
      </c>
      <c r="E334" s="1230">
        <v>90121800</v>
      </c>
      <c r="F334" s="1199" t="s">
        <v>1020</v>
      </c>
      <c r="G334" s="1193" t="s">
        <v>1440</v>
      </c>
      <c r="H334" s="1212" t="s">
        <v>1440</v>
      </c>
      <c r="I334" s="1194" t="s">
        <v>1485</v>
      </c>
      <c r="J334" s="1195" t="s">
        <v>816</v>
      </c>
      <c r="K334" s="1176" t="s">
        <v>676</v>
      </c>
      <c r="L334" s="1241" t="s">
        <v>677</v>
      </c>
      <c r="M334" s="1249">
        <v>80000000</v>
      </c>
      <c r="N334" s="1175" t="s">
        <v>1535</v>
      </c>
      <c r="O334" s="1175" t="s">
        <v>1536</v>
      </c>
      <c r="P334" s="1248"/>
    </row>
    <row r="335" spans="1:18" s="1159" customFormat="1" ht="75" x14ac:dyDescent="0.25">
      <c r="A335" s="1172">
        <v>2022329</v>
      </c>
      <c r="B335" s="1172">
        <v>7658</v>
      </c>
      <c r="C335" s="1172" t="s">
        <v>681</v>
      </c>
      <c r="D335" s="1190" t="s">
        <v>697</v>
      </c>
      <c r="E335" s="1230">
        <v>80111600</v>
      </c>
      <c r="F335" s="1199" t="s">
        <v>1021</v>
      </c>
      <c r="G335" s="1193" t="s">
        <v>1440</v>
      </c>
      <c r="H335" s="1212" t="s">
        <v>1440</v>
      </c>
      <c r="I335" s="1194" t="s">
        <v>1484</v>
      </c>
      <c r="J335" s="1195" t="s">
        <v>1479</v>
      </c>
      <c r="K335" s="1176" t="s">
        <v>676</v>
      </c>
      <c r="L335" s="1241" t="s">
        <v>677</v>
      </c>
      <c r="M335" s="1250">
        <v>39357000</v>
      </c>
      <c r="N335" s="1175" t="s">
        <v>1535</v>
      </c>
      <c r="O335" s="1175" t="s">
        <v>1536</v>
      </c>
      <c r="P335" s="1251"/>
    </row>
    <row r="336" spans="1:18" s="1159" customFormat="1" ht="90" x14ac:dyDescent="0.25">
      <c r="A336" s="1172">
        <v>2022330</v>
      </c>
      <c r="B336" s="1172">
        <v>7658</v>
      </c>
      <c r="C336" s="1172" t="s">
        <v>681</v>
      </c>
      <c r="D336" s="1190" t="s">
        <v>703</v>
      </c>
      <c r="E336" s="1230" t="s">
        <v>1022</v>
      </c>
      <c r="F336" s="1199" t="s">
        <v>1023</v>
      </c>
      <c r="G336" s="1193" t="s">
        <v>1440</v>
      </c>
      <c r="H336" s="1212" t="s">
        <v>1445</v>
      </c>
      <c r="I336" s="1194" t="s">
        <v>1485</v>
      </c>
      <c r="J336" s="1195" t="s">
        <v>1328</v>
      </c>
      <c r="K336" s="1176" t="s">
        <v>772</v>
      </c>
      <c r="L336" s="1178" t="s">
        <v>983</v>
      </c>
      <c r="M336" s="1196">
        <v>5600000000</v>
      </c>
      <c r="N336" s="1175" t="s">
        <v>754</v>
      </c>
      <c r="O336" s="1175" t="s">
        <v>1499</v>
      </c>
    </row>
    <row r="337" spans="1:15" s="1313" customFormat="1" ht="90" x14ac:dyDescent="0.25">
      <c r="A337" s="1301">
        <v>2022331</v>
      </c>
      <c r="B337" s="1301">
        <v>7658</v>
      </c>
      <c r="C337" s="1301" t="s">
        <v>681</v>
      </c>
      <c r="D337" s="1302" t="s">
        <v>703</v>
      </c>
      <c r="E337" s="1303" t="s">
        <v>1024</v>
      </c>
      <c r="F337" s="1304" t="s">
        <v>1025</v>
      </c>
      <c r="G337" s="1305" t="s">
        <v>1440</v>
      </c>
      <c r="H337" s="1306" t="s">
        <v>1445</v>
      </c>
      <c r="I337" s="1307" t="s">
        <v>1540</v>
      </c>
      <c r="J337" s="1308" t="s">
        <v>1328</v>
      </c>
      <c r="K337" s="1309" t="s">
        <v>772</v>
      </c>
      <c r="L337" s="1310" t="s">
        <v>983</v>
      </c>
      <c r="M337" s="1311">
        <v>1325000000</v>
      </c>
      <c r="N337" s="1312" t="s">
        <v>751</v>
      </c>
      <c r="O337" s="1312" t="s">
        <v>1499</v>
      </c>
    </row>
    <row r="338" spans="1:15" s="1159" customFormat="1" ht="90" x14ac:dyDescent="0.25">
      <c r="A338" s="1172">
        <v>2022332</v>
      </c>
      <c r="B338" s="1172">
        <v>7658</v>
      </c>
      <c r="C338" s="1172" t="s">
        <v>681</v>
      </c>
      <c r="D338" s="1190" t="s">
        <v>703</v>
      </c>
      <c r="E338" s="1230" t="s">
        <v>1024</v>
      </c>
      <c r="F338" s="1199" t="s">
        <v>1025</v>
      </c>
      <c r="G338" s="1193" t="s">
        <v>1440</v>
      </c>
      <c r="H338" s="1212" t="s">
        <v>1445</v>
      </c>
      <c r="I338" s="1194" t="s">
        <v>1540</v>
      </c>
      <c r="J338" s="1195" t="s">
        <v>1328</v>
      </c>
      <c r="K338" s="1176" t="s">
        <v>676</v>
      </c>
      <c r="L338" s="1178" t="s">
        <v>983</v>
      </c>
      <c r="M338" s="1196">
        <v>548720000</v>
      </c>
      <c r="N338" s="1175" t="s">
        <v>751</v>
      </c>
      <c r="O338" s="1175" t="s">
        <v>1499</v>
      </c>
    </row>
    <row r="339" spans="1:15" s="1159" customFormat="1" ht="90" x14ac:dyDescent="0.25">
      <c r="A339" s="1172">
        <v>2022333</v>
      </c>
      <c r="B339" s="1172">
        <v>7658</v>
      </c>
      <c r="C339" s="1172" t="s">
        <v>681</v>
      </c>
      <c r="D339" s="1190" t="s">
        <v>703</v>
      </c>
      <c r="E339" s="1230" t="s">
        <v>1541</v>
      </c>
      <c r="F339" s="1199" t="s">
        <v>1028</v>
      </c>
      <c r="G339" s="1193" t="s">
        <v>1440</v>
      </c>
      <c r="H339" s="1212" t="s">
        <v>1542</v>
      </c>
      <c r="I339" s="1194" t="s">
        <v>1540</v>
      </c>
      <c r="J339" s="1195" t="s">
        <v>1328</v>
      </c>
      <c r="K339" s="1176" t="s">
        <v>772</v>
      </c>
      <c r="L339" s="1178" t="s">
        <v>983</v>
      </c>
      <c r="M339" s="1196">
        <v>1078000000</v>
      </c>
      <c r="N339" s="1175" t="s">
        <v>751</v>
      </c>
      <c r="O339" s="1175" t="s">
        <v>1499</v>
      </c>
    </row>
    <row r="340" spans="1:15" s="1159" customFormat="1" ht="90" x14ac:dyDescent="0.25">
      <c r="A340" s="1172">
        <v>2022334</v>
      </c>
      <c r="B340" s="1172">
        <v>7658</v>
      </c>
      <c r="C340" s="1172" t="s">
        <v>681</v>
      </c>
      <c r="D340" s="1190" t="s">
        <v>703</v>
      </c>
      <c r="E340" s="1230" t="s">
        <v>1541</v>
      </c>
      <c r="F340" s="1199" t="s">
        <v>1028</v>
      </c>
      <c r="G340" s="1193" t="s">
        <v>1440</v>
      </c>
      <c r="H340" s="1212" t="s">
        <v>1542</v>
      </c>
      <c r="I340" s="1194" t="s">
        <v>1540</v>
      </c>
      <c r="J340" s="1195" t="s">
        <v>1328</v>
      </c>
      <c r="K340" s="1176" t="s">
        <v>676</v>
      </c>
      <c r="L340" s="1178" t="s">
        <v>983</v>
      </c>
      <c r="M340" s="1196">
        <v>204051000</v>
      </c>
      <c r="N340" s="1175" t="s">
        <v>751</v>
      </c>
      <c r="O340" s="1175" t="s">
        <v>1499</v>
      </c>
    </row>
    <row r="341" spans="1:15" s="1159" customFormat="1" ht="90" x14ac:dyDescent="0.25">
      <c r="A341" s="1172">
        <v>2022335</v>
      </c>
      <c r="B341" s="1172">
        <v>7658</v>
      </c>
      <c r="C341" s="1172" t="s">
        <v>681</v>
      </c>
      <c r="D341" s="1190" t="s">
        <v>703</v>
      </c>
      <c r="E341" s="1230" t="s">
        <v>1543</v>
      </c>
      <c r="F341" s="1199" t="s">
        <v>1544</v>
      </c>
      <c r="G341" s="1193" t="s">
        <v>1440</v>
      </c>
      <c r="H341" s="1212" t="s">
        <v>1542</v>
      </c>
      <c r="I341" s="1194" t="s">
        <v>1545</v>
      </c>
      <c r="J341" s="1195" t="s">
        <v>1447</v>
      </c>
      <c r="K341" s="1176" t="s">
        <v>676</v>
      </c>
      <c r="L341" s="1178" t="s">
        <v>983</v>
      </c>
      <c r="M341" s="1196">
        <v>40000000</v>
      </c>
      <c r="N341" s="1175" t="s">
        <v>751</v>
      </c>
      <c r="O341" s="1175" t="s">
        <v>1499</v>
      </c>
    </row>
    <row r="342" spans="1:15" s="1159" customFormat="1" ht="90" x14ac:dyDescent="0.25">
      <c r="A342" s="1172">
        <v>2022336</v>
      </c>
      <c r="B342" s="1172">
        <v>7658</v>
      </c>
      <c r="C342" s="1172" t="s">
        <v>681</v>
      </c>
      <c r="D342" s="1190" t="s">
        <v>703</v>
      </c>
      <c r="E342" s="1230" t="s">
        <v>1029</v>
      </c>
      <c r="F342" s="1199" t="s">
        <v>1030</v>
      </c>
      <c r="G342" s="1193" t="s">
        <v>1440</v>
      </c>
      <c r="H342" s="1193" t="s">
        <v>1449</v>
      </c>
      <c r="I342" s="1194" t="s">
        <v>1545</v>
      </c>
      <c r="J342" s="1195" t="s">
        <v>1447</v>
      </c>
      <c r="K342" s="1176" t="s">
        <v>676</v>
      </c>
      <c r="L342" s="1178" t="s">
        <v>983</v>
      </c>
      <c r="M342" s="1196">
        <v>125000000</v>
      </c>
      <c r="N342" s="1175" t="s">
        <v>751</v>
      </c>
      <c r="O342" s="1175" t="s">
        <v>1499</v>
      </c>
    </row>
    <row r="343" spans="1:15" s="1159" customFormat="1" ht="90" x14ac:dyDescent="0.25">
      <c r="A343" s="1172">
        <v>2022337</v>
      </c>
      <c r="B343" s="1172">
        <v>7658</v>
      </c>
      <c r="C343" s="1172" t="s">
        <v>681</v>
      </c>
      <c r="D343" s="1190" t="s">
        <v>703</v>
      </c>
      <c r="E343" s="1230">
        <v>80111600</v>
      </c>
      <c r="F343" s="1199" t="s">
        <v>1031</v>
      </c>
      <c r="G343" s="1193" t="s">
        <v>1440</v>
      </c>
      <c r="H343" s="1212" t="s">
        <v>1440</v>
      </c>
      <c r="I343" s="1194" t="s">
        <v>1485</v>
      </c>
      <c r="J343" s="1195" t="s">
        <v>1479</v>
      </c>
      <c r="K343" s="1176" t="s">
        <v>676</v>
      </c>
      <c r="L343" s="1241" t="s">
        <v>677</v>
      </c>
      <c r="M343" s="1196">
        <v>25980000</v>
      </c>
      <c r="N343" s="1175" t="s">
        <v>751</v>
      </c>
      <c r="O343" s="1175" t="s">
        <v>1499</v>
      </c>
    </row>
    <row r="344" spans="1:15" s="1159" customFormat="1" ht="90" x14ac:dyDescent="0.25">
      <c r="A344" s="1172">
        <v>2022338</v>
      </c>
      <c r="B344" s="1172">
        <v>7658</v>
      </c>
      <c r="C344" s="1172" t="s">
        <v>681</v>
      </c>
      <c r="D344" s="1190" t="s">
        <v>703</v>
      </c>
      <c r="E344" s="1230">
        <v>80111600</v>
      </c>
      <c r="F344" s="1199" t="s">
        <v>1031</v>
      </c>
      <c r="G344" s="1193" t="s">
        <v>1440</v>
      </c>
      <c r="H344" s="1212" t="s">
        <v>1440</v>
      </c>
      <c r="I344" s="1194" t="s">
        <v>1485</v>
      </c>
      <c r="J344" s="1195" t="s">
        <v>1479</v>
      </c>
      <c r="K344" s="1176" t="s">
        <v>676</v>
      </c>
      <c r="L344" s="1241" t="s">
        <v>677</v>
      </c>
      <c r="M344" s="1196">
        <v>25980000</v>
      </c>
      <c r="N344" s="1175" t="s">
        <v>751</v>
      </c>
      <c r="O344" s="1175" t="s">
        <v>1499</v>
      </c>
    </row>
    <row r="345" spans="1:15" s="1159" customFormat="1" ht="90" x14ac:dyDescent="0.25">
      <c r="A345" s="1172">
        <v>2022339</v>
      </c>
      <c r="B345" s="1172">
        <v>7658</v>
      </c>
      <c r="C345" s="1172" t="s">
        <v>681</v>
      </c>
      <c r="D345" s="1190" t="s">
        <v>703</v>
      </c>
      <c r="E345" s="1230">
        <v>80111600</v>
      </c>
      <c r="F345" s="1199" t="s">
        <v>1031</v>
      </c>
      <c r="G345" s="1193" t="s">
        <v>1440</v>
      </c>
      <c r="H345" s="1212" t="s">
        <v>1440</v>
      </c>
      <c r="I345" s="1194" t="s">
        <v>1485</v>
      </c>
      <c r="J345" s="1195" t="s">
        <v>1479</v>
      </c>
      <c r="K345" s="1176" t="s">
        <v>676</v>
      </c>
      <c r="L345" s="1241" t="s">
        <v>677</v>
      </c>
      <c r="M345" s="1196">
        <v>25980000</v>
      </c>
      <c r="N345" s="1175" t="s">
        <v>751</v>
      </c>
      <c r="O345" s="1175" t="s">
        <v>1499</v>
      </c>
    </row>
    <row r="346" spans="1:15" s="1159" customFormat="1" ht="90" x14ac:dyDescent="0.25">
      <c r="A346" s="1172">
        <v>2022340</v>
      </c>
      <c r="B346" s="1172">
        <v>7658</v>
      </c>
      <c r="C346" s="1172" t="s">
        <v>681</v>
      </c>
      <c r="D346" s="1190" t="s">
        <v>703</v>
      </c>
      <c r="E346" s="1230">
        <v>80111600</v>
      </c>
      <c r="F346" s="1199" t="s">
        <v>1031</v>
      </c>
      <c r="G346" s="1193" t="s">
        <v>1440</v>
      </c>
      <c r="H346" s="1212" t="s">
        <v>1440</v>
      </c>
      <c r="I346" s="1194" t="s">
        <v>1485</v>
      </c>
      <c r="J346" s="1195" t="s">
        <v>1479</v>
      </c>
      <c r="K346" s="1176" t="s">
        <v>676</v>
      </c>
      <c r="L346" s="1241" t="s">
        <v>677</v>
      </c>
      <c r="M346" s="1196">
        <v>25980000</v>
      </c>
      <c r="N346" s="1175" t="s">
        <v>751</v>
      </c>
      <c r="O346" s="1175" t="s">
        <v>1499</v>
      </c>
    </row>
    <row r="347" spans="1:15" s="1159" customFormat="1" ht="90" x14ac:dyDescent="0.25">
      <c r="A347" s="1172">
        <v>2022341</v>
      </c>
      <c r="B347" s="1172">
        <v>7658</v>
      </c>
      <c r="C347" s="1172" t="s">
        <v>681</v>
      </c>
      <c r="D347" s="1190" t="s">
        <v>703</v>
      </c>
      <c r="E347" s="1230">
        <v>80111600</v>
      </c>
      <c r="F347" s="1199" t="s">
        <v>1031</v>
      </c>
      <c r="G347" s="1193" t="s">
        <v>1440</v>
      </c>
      <c r="H347" s="1212" t="s">
        <v>1440</v>
      </c>
      <c r="I347" s="1194" t="s">
        <v>1485</v>
      </c>
      <c r="J347" s="1195" t="s">
        <v>1479</v>
      </c>
      <c r="K347" s="1176" t="s">
        <v>676</v>
      </c>
      <c r="L347" s="1241" t="s">
        <v>677</v>
      </c>
      <c r="M347" s="1196">
        <v>25980000</v>
      </c>
      <c r="N347" s="1175" t="s">
        <v>751</v>
      </c>
      <c r="O347" s="1175" t="s">
        <v>1499</v>
      </c>
    </row>
    <row r="348" spans="1:15" s="1159" customFormat="1" ht="90" x14ac:dyDescent="0.25">
      <c r="A348" s="1172">
        <v>2022342</v>
      </c>
      <c r="B348" s="1172">
        <v>7658</v>
      </c>
      <c r="C348" s="1172" t="s">
        <v>681</v>
      </c>
      <c r="D348" s="1190" t="s">
        <v>703</v>
      </c>
      <c r="E348" s="1230">
        <v>80111600</v>
      </c>
      <c r="F348" s="1199" t="s">
        <v>1031</v>
      </c>
      <c r="G348" s="1193" t="s">
        <v>1440</v>
      </c>
      <c r="H348" s="1212" t="s">
        <v>1440</v>
      </c>
      <c r="I348" s="1194" t="s">
        <v>1485</v>
      </c>
      <c r="J348" s="1195" t="s">
        <v>1479</v>
      </c>
      <c r="K348" s="1176" t="s">
        <v>676</v>
      </c>
      <c r="L348" s="1241" t="s">
        <v>677</v>
      </c>
      <c r="M348" s="1196">
        <v>25980000</v>
      </c>
      <c r="N348" s="1175" t="s">
        <v>751</v>
      </c>
      <c r="O348" s="1175" t="s">
        <v>1499</v>
      </c>
    </row>
    <row r="349" spans="1:15" s="1159" customFormat="1" ht="90" x14ac:dyDescent="0.25">
      <c r="A349" s="1172">
        <v>2022343</v>
      </c>
      <c r="B349" s="1172">
        <v>7658</v>
      </c>
      <c r="C349" s="1172" t="s">
        <v>681</v>
      </c>
      <c r="D349" s="1190" t="s">
        <v>703</v>
      </c>
      <c r="E349" s="1230">
        <v>80111600</v>
      </c>
      <c r="F349" s="1199" t="s">
        <v>1031</v>
      </c>
      <c r="G349" s="1193" t="s">
        <v>1440</v>
      </c>
      <c r="H349" s="1212" t="s">
        <v>1440</v>
      </c>
      <c r="I349" s="1194" t="s">
        <v>1485</v>
      </c>
      <c r="J349" s="1195" t="s">
        <v>1479</v>
      </c>
      <c r="K349" s="1176" t="s">
        <v>676</v>
      </c>
      <c r="L349" s="1241" t="s">
        <v>677</v>
      </c>
      <c r="M349" s="1196">
        <v>25980000</v>
      </c>
      <c r="N349" s="1175" t="s">
        <v>751</v>
      </c>
      <c r="O349" s="1175" t="s">
        <v>1499</v>
      </c>
    </row>
    <row r="350" spans="1:15" s="1159" customFormat="1" ht="90" x14ac:dyDescent="0.25">
      <c r="A350" s="1172">
        <v>2022344</v>
      </c>
      <c r="B350" s="1172">
        <v>7658</v>
      </c>
      <c r="C350" s="1172" t="s">
        <v>681</v>
      </c>
      <c r="D350" s="1190" t="s">
        <v>703</v>
      </c>
      <c r="E350" s="1230">
        <v>80111600</v>
      </c>
      <c r="F350" s="1199" t="s">
        <v>1031</v>
      </c>
      <c r="G350" s="1193" t="s">
        <v>1440</v>
      </c>
      <c r="H350" s="1212" t="s">
        <v>1440</v>
      </c>
      <c r="I350" s="1194" t="s">
        <v>1485</v>
      </c>
      <c r="J350" s="1195" t="s">
        <v>1479</v>
      </c>
      <c r="K350" s="1176" t="s">
        <v>676</v>
      </c>
      <c r="L350" s="1241" t="s">
        <v>677</v>
      </c>
      <c r="M350" s="1196">
        <v>25980000</v>
      </c>
      <c r="N350" s="1175" t="s">
        <v>751</v>
      </c>
      <c r="O350" s="1175" t="s">
        <v>1499</v>
      </c>
    </row>
    <row r="351" spans="1:15" s="1159" customFormat="1" ht="90" x14ac:dyDescent="0.25">
      <c r="A351" s="1172">
        <v>2022345</v>
      </c>
      <c r="B351" s="1172">
        <v>7658</v>
      </c>
      <c r="C351" s="1172" t="s">
        <v>681</v>
      </c>
      <c r="D351" s="1190" t="s">
        <v>703</v>
      </c>
      <c r="E351" s="1230">
        <v>80111600</v>
      </c>
      <c r="F351" s="1199" t="s">
        <v>1031</v>
      </c>
      <c r="G351" s="1193" t="s">
        <v>1440</v>
      </c>
      <c r="H351" s="1212" t="s">
        <v>1440</v>
      </c>
      <c r="I351" s="1194" t="s">
        <v>1485</v>
      </c>
      <c r="J351" s="1195" t="s">
        <v>1479</v>
      </c>
      <c r="K351" s="1176" t="s">
        <v>676</v>
      </c>
      <c r="L351" s="1241" t="s">
        <v>677</v>
      </c>
      <c r="M351" s="1196">
        <v>25980000</v>
      </c>
      <c r="N351" s="1175" t="s">
        <v>751</v>
      </c>
      <c r="O351" s="1175" t="s">
        <v>1499</v>
      </c>
    </row>
    <row r="352" spans="1:15" s="1159" customFormat="1" ht="90" x14ac:dyDescent="0.25">
      <c r="A352" s="1172">
        <v>2022346</v>
      </c>
      <c r="B352" s="1172">
        <v>7658</v>
      </c>
      <c r="C352" s="1172" t="s">
        <v>681</v>
      </c>
      <c r="D352" s="1190" t="s">
        <v>703</v>
      </c>
      <c r="E352" s="1230">
        <v>80111600</v>
      </c>
      <c r="F352" s="1199" t="s">
        <v>1031</v>
      </c>
      <c r="G352" s="1193" t="s">
        <v>1440</v>
      </c>
      <c r="H352" s="1212" t="s">
        <v>1440</v>
      </c>
      <c r="I352" s="1194" t="s">
        <v>1485</v>
      </c>
      <c r="J352" s="1195" t="s">
        <v>1479</v>
      </c>
      <c r="K352" s="1176" t="s">
        <v>676</v>
      </c>
      <c r="L352" s="1241" t="s">
        <v>677</v>
      </c>
      <c r="M352" s="1196">
        <v>25980000</v>
      </c>
      <c r="N352" s="1175" t="s">
        <v>751</v>
      </c>
      <c r="O352" s="1175" t="s">
        <v>1499</v>
      </c>
    </row>
    <row r="353" spans="1:15" s="1159" customFormat="1" ht="90" x14ac:dyDescent="0.25">
      <c r="A353" s="1172">
        <v>2022347</v>
      </c>
      <c r="B353" s="1172">
        <v>7658</v>
      </c>
      <c r="C353" s="1172" t="s">
        <v>681</v>
      </c>
      <c r="D353" s="1190" t="s">
        <v>703</v>
      </c>
      <c r="E353" s="1230">
        <v>80111600</v>
      </c>
      <c r="F353" s="1199" t="s">
        <v>1031</v>
      </c>
      <c r="G353" s="1193" t="s">
        <v>1440</v>
      </c>
      <c r="H353" s="1212" t="s">
        <v>1440</v>
      </c>
      <c r="I353" s="1194" t="s">
        <v>1485</v>
      </c>
      <c r="J353" s="1195" t="s">
        <v>1479</v>
      </c>
      <c r="K353" s="1176" t="s">
        <v>676</v>
      </c>
      <c r="L353" s="1241" t="s">
        <v>677</v>
      </c>
      <c r="M353" s="1196">
        <f>25980000-25980000</f>
        <v>0</v>
      </c>
      <c r="N353" s="1175" t="s">
        <v>751</v>
      </c>
      <c r="O353" s="1175" t="s">
        <v>1499</v>
      </c>
    </row>
    <row r="354" spans="1:15" s="1159" customFormat="1" ht="90" x14ac:dyDescent="0.25">
      <c r="A354" s="1172">
        <v>2022348</v>
      </c>
      <c r="B354" s="1172">
        <v>7658</v>
      </c>
      <c r="C354" s="1172" t="s">
        <v>681</v>
      </c>
      <c r="D354" s="1190" t="s">
        <v>703</v>
      </c>
      <c r="E354" s="1230">
        <v>80111600</v>
      </c>
      <c r="F354" s="1199" t="s">
        <v>1031</v>
      </c>
      <c r="G354" s="1193" t="s">
        <v>1440</v>
      </c>
      <c r="H354" s="1212" t="s">
        <v>1440</v>
      </c>
      <c r="I354" s="1194" t="s">
        <v>1485</v>
      </c>
      <c r="J354" s="1195" t="s">
        <v>1479</v>
      </c>
      <c r="K354" s="1176" t="s">
        <v>676</v>
      </c>
      <c r="L354" s="1241" t="s">
        <v>677</v>
      </c>
      <c r="M354" s="1196">
        <v>25980000</v>
      </c>
      <c r="N354" s="1175" t="s">
        <v>751</v>
      </c>
      <c r="O354" s="1175" t="s">
        <v>1499</v>
      </c>
    </row>
    <row r="355" spans="1:15" s="1159" customFormat="1" ht="90" x14ac:dyDescent="0.25">
      <c r="A355" s="1172">
        <v>2022349</v>
      </c>
      <c r="B355" s="1172">
        <v>7658</v>
      </c>
      <c r="C355" s="1172" t="s">
        <v>681</v>
      </c>
      <c r="D355" s="1190" t="s">
        <v>703</v>
      </c>
      <c r="E355" s="1230">
        <v>80111600</v>
      </c>
      <c r="F355" s="1199" t="s">
        <v>1031</v>
      </c>
      <c r="G355" s="1193" t="s">
        <v>1440</v>
      </c>
      <c r="H355" s="1212" t="s">
        <v>1440</v>
      </c>
      <c r="I355" s="1194" t="s">
        <v>1485</v>
      </c>
      <c r="J355" s="1195" t="s">
        <v>1479</v>
      </c>
      <c r="K355" s="1176" t="s">
        <v>676</v>
      </c>
      <c r="L355" s="1241" t="s">
        <v>677</v>
      </c>
      <c r="M355" s="1196">
        <v>25980000</v>
      </c>
      <c r="N355" s="1175" t="s">
        <v>751</v>
      </c>
      <c r="O355" s="1175" t="s">
        <v>1499</v>
      </c>
    </row>
    <row r="356" spans="1:15" s="1159" customFormat="1" ht="90" x14ac:dyDescent="0.25">
      <c r="A356" s="1172">
        <v>2022350</v>
      </c>
      <c r="B356" s="1172">
        <v>7658</v>
      </c>
      <c r="C356" s="1172" t="s">
        <v>681</v>
      </c>
      <c r="D356" s="1190" t="s">
        <v>703</v>
      </c>
      <c r="E356" s="1230">
        <v>80111600</v>
      </c>
      <c r="F356" s="1199" t="s">
        <v>1031</v>
      </c>
      <c r="G356" s="1193" t="s">
        <v>1440</v>
      </c>
      <c r="H356" s="1212" t="s">
        <v>1440</v>
      </c>
      <c r="I356" s="1194" t="s">
        <v>1485</v>
      </c>
      <c r="J356" s="1195" t="s">
        <v>1479</v>
      </c>
      <c r="K356" s="1176" t="s">
        <v>676</v>
      </c>
      <c r="L356" s="1241" t="s">
        <v>677</v>
      </c>
      <c r="M356" s="1196">
        <v>25980000</v>
      </c>
      <c r="N356" s="1175" t="s">
        <v>751</v>
      </c>
      <c r="O356" s="1175" t="s">
        <v>1499</v>
      </c>
    </row>
    <row r="357" spans="1:15" s="1159" customFormat="1" ht="90" x14ac:dyDescent="0.25">
      <c r="A357" s="1172">
        <v>2022351</v>
      </c>
      <c r="B357" s="1172">
        <v>7658</v>
      </c>
      <c r="C357" s="1172" t="s">
        <v>681</v>
      </c>
      <c r="D357" s="1190" t="s">
        <v>703</v>
      </c>
      <c r="E357" s="1230">
        <v>80111600</v>
      </c>
      <c r="F357" s="1199" t="s">
        <v>1031</v>
      </c>
      <c r="G357" s="1193" t="s">
        <v>1440</v>
      </c>
      <c r="H357" s="1212" t="s">
        <v>1440</v>
      </c>
      <c r="I357" s="1194" t="s">
        <v>1485</v>
      </c>
      <c r="J357" s="1195" t="s">
        <v>1479</v>
      </c>
      <c r="K357" s="1176" t="s">
        <v>676</v>
      </c>
      <c r="L357" s="1241" t="s">
        <v>677</v>
      </c>
      <c r="M357" s="1196">
        <v>25980000</v>
      </c>
      <c r="N357" s="1175" t="s">
        <v>751</v>
      </c>
      <c r="O357" s="1175" t="s">
        <v>1499</v>
      </c>
    </row>
    <row r="358" spans="1:15" s="1159" customFormat="1" ht="90" x14ac:dyDescent="0.25">
      <c r="A358" s="1172">
        <v>2022352</v>
      </c>
      <c r="B358" s="1172">
        <v>7658</v>
      </c>
      <c r="C358" s="1172" t="s">
        <v>681</v>
      </c>
      <c r="D358" s="1190" t="s">
        <v>703</v>
      </c>
      <c r="E358" s="1230">
        <v>80111600</v>
      </c>
      <c r="F358" s="1199" t="s">
        <v>1031</v>
      </c>
      <c r="G358" s="1193" t="s">
        <v>1440</v>
      </c>
      <c r="H358" s="1212" t="s">
        <v>1440</v>
      </c>
      <c r="I358" s="1194" t="s">
        <v>1485</v>
      </c>
      <c r="J358" s="1195" t="s">
        <v>1479</v>
      </c>
      <c r="K358" s="1176" t="s">
        <v>676</v>
      </c>
      <c r="L358" s="1241" t="s">
        <v>677</v>
      </c>
      <c r="M358" s="1196">
        <v>25980000</v>
      </c>
      <c r="N358" s="1175" t="s">
        <v>751</v>
      </c>
      <c r="O358" s="1175" t="s">
        <v>1499</v>
      </c>
    </row>
    <row r="359" spans="1:15" s="1159" customFormat="1" ht="90" x14ac:dyDescent="0.25">
      <c r="A359" s="1172">
        <v>2022353</v>
      </c>
      <c r="B359" s="1172">
        <v>7658</v>
      </c>
      <c r="C359" s="1172" t="s">
        <v>681</v>
      </c>
      <c r="D359" s="1190" t="s">
        <v>703</v>
      </c>
      <c r="E359" s="1230">
        <v>80111600</v>
      </c>
      <c r="F359" s="1199" t="s">
        <v>1031</v>
      </c>
      <c r="G359" s="1193" t="s">
        <v>1440</v>
      </c>
      <c r="H359" s="1212" t="s">
        <v>1440</v>
      </c>
      <c r="I359" s="1194" t="s">
        <v>1485</v>
      </c>
      <c r="J359" s="1195" t="s">
        <v>1479</v>
      </c>
      <c r="K359" s="1176" t="s">
        <v>676</v>
      </c>
      <c r="L359" s="1241" t="s">
        <v>677</v>
      </c>
      <c r="M359" s="1196">
        <f>25980000+25980000</f>
        <v>51960000</v>
      </c>
      <c r="N359" s="1175" t="s">
        <v>751</v>
      </c>
      <c r="O359" s="1175" t="s">
        <v>1499</v>
      </c>
    </row>
    <row r="360" spans="1:15" s="1159" customFormat="1" ht="90" x14ac:dyDescent="0.25">
      <c r="A360" s="1172">
        <v>2022354</v>
      </c>
      <c r="B360" s="1172">
        <v>7658</v>
      </c>
      <c r="C360" s="1172" t="s">
        <v>681</v>
      </c>
      <c r="D360" s="1190" t="s">
        <v>703</v>
      </c>
      <c r="E360" s="1230">
        <v>80111600</v>
      </c>
      <c r="F360" s="1199" t="s">
        <v>1032</v>
      </c>
      <c r="G360" s="1193" t="s">
        <v>1440</v>
      </c>
      <c r="H360" s="1212" t="s">
        <v>1440</v>
      </c>
      <c r="I360" s="1194" t="s">
        <v>1485</v>
      </c>
      <c r="J360" s="1195" t="s">
        <v>1479</v>
      </c>
      <c r="K360" s="1176" t="s">
        <v>676</v>
      </c>
      <c r="L360" s="1241" t="s">
        <v>677</v>
      </c>
      <c r="M360" s="1196">
        <v>30300000</v>
      </c>
      <c r="N360" s="1175" t="s">
        <v>751</v>
      </c>
      <c r="O360" s="1175" t="s">
        <v>1499</v>
      </c>
    </row>
    <row r="361" spans="1:15" s="1159" customFormat="1" ht="90" x14ac:dyDescent="0.25">
      <c r="A361" s="1172">
        <v>2022355</v>
      </c>
      <c r="B361" s="1172">
        <v>7658</v>
      </c>
      <c r="C361" s="1172" t="s">
        <v>681</v>
      </c>
      <c r="D361" s="1190" t="s">
        <v>703</v>
      </c>
      <c r="E361" s="1230">
        <v>80111600</v>
      </c>
      <c r="F361" s="1199" t="s">
        <v>1032</v>
      </c>
      <c r="G361" s="1193" t="s">
        <v>1440</v>
      </c>
      <c r="H361" s="1212" t="s">
        <v>1440</v>
      </c>
      <c r="I361" s="1194" t="s">
        <v>1485</v>
      </c>
      <c r="J361" s="1195" t="s">
        <v>1479</v>
      </c>
      <c r="K361" s="1176" t="s">
        <v>676</v>
      </c>
      <c r="L361" s="1241" t="s">
        <v>677</v>
      </c>
      <c r="M361" s="1196">
        <v>30300000</v>
      </c>
      <c r="N361" s="1175" t="s">
        <v>751</v>
      </c>
      <c r="O361" s="1175" t="s">
        <v>1499</v>
      </c>
    </row>
    <row r="362" spans="1:15" s="1159" customFormat="1" ht="90" x14ac:dyDescent="0.25">
      <c r="A362" s="1172">
        <v>2022356</v>
      </c>
      <c r="B362" s="1172">
        <v>7658</v>
      </c>
      <c r="C362" s="1172" t="s">
        <v>681</v>
      </c>
      <c r="D362" s="1190" t="s">
        <v>703</v>
      </c>
      <c r="E362" s="1230">
        <v>80111600</v>
      </c>
      <c r="F362" s="1199" t="s">
        <v>1032</v>
      </c>
      <c r="G362" s="1193" t="s">
        <v>1440</v>
      </c>
      <c r="H362" s="1212" t="s">
        <v>1440</v>
      </c>
      <c r="I362" s="1194" t="s">
        <v>1485</v>
      </c>
      <c r="J362" s="1195" t="s">
        <v>1479</v>
      </c>
      <c r="K362" s="1176" t="s">
        <v>676</v>
      </c>
      <c r="L362" s="1241" t="s">
        <v>677</v>
      </c>
      <c r="M362" s="1196">
        <v>30300000</v>
      </c>
      <c r="N362" s="1175" t="s">
        <v>751</v>
      </c>
      <c r="O362" s="1175" t="s">
        <v>1499</v>
      </c>
    </row>
    <row r="363" spans="1:15" s="1159" customFormat="1" ht="90" x14ac:dyDescent="0.25">
      <c r="A363" s="1172">
        <v>2022357</v>
      </c>
      <c r="B363" s="1172">
        <v>7658</v>
      </c>
      <c r="C363" s="1172" t="s">
        <v>681</v>
      </c>
      <c r="D363" s="1190" t="s">
        <v>703</v>
      </c>
      <c r="E363" s="1230">
        <v>80111600</v>
      </c>
      <c r="F363" s="1199" t="s">
        <v>1032</v>
      </c>
      <c r="G363" s="1193" t="s">
        <v>1440</v>
      </c>
      <c r="H363" s="1212" t="s">
        <v>1440</v>
      </c>
      <c r="I363" s="1194" t="s">
        <v>1485</v>
      </c>
      <c r="J363" s="1195" t="s">
        <v>1479</v>
      </c>
      <c r="K363" s="1176" t="s">
        <v>676</v>
      </c>
      <c r="L363" s="1241" t="s">
        <v>677</v>
      </c>
      <c r="M363" s="1196">
        <v>30300000</v>
      </c>
      <c r="N363" s="1175" t="s">
        <v>751</v>
      </c>
      <c r="O363" s="1175" t="s">
        <v>1499</v>
      </c>
    </row>
    <row r="364" spans="1:15" s="1159" customFormat="1" ht="90" x14ac:dyDescent="0.25">
      <c r="A364" s="1172">
        <v>2022358</v>
      </c>
      <c r="B364" s="1172">
        <v>7658</v>
      </c>
      <c r="C364" s="1172" t="s">
        <v>681</v>
      </c>
      <c r="D364" s="1190" t="s">
        <v>703</v>
      </c>
      <c r="E364" s="1230">
        <v>80111600</v>
      </c>
      <c r="F364" s="1199" t="s">
        <v>1032</v>
      </c>
      <c r="G364" s="1193" t="s">
        <v>1440</v>
      </c>
      <c r="H364" s="1212" t="s">
        <v>1440</v>
      </c>
      <c r="I364" s="1194" t="s">
        <v>1442</v>
      </c>
      <c r="J364" s="1195" t="s">
        <v>1479</v>
      </c>
      <c r="K364" s="1176" t="s">
        <v>676</v>
      </c>
      <c r="L364" s="1241" t="s">
        <v>677</v>
      </c>
      <c r="M364" s="1196">
        <v>27775000</v>
      </c>
      <c r="N364" s="1175" t="s">
        <v>751</v>
      </c>
      <c r="O364" s="1175" t="s">
        <v>1499</v>
      </c>
    </row>
    <row r="365" spans="1:15" s="1159" customFormat="1" ht="90" x14ac:dyDescent="0.25">
      <c r="A365" s="1172">
        <v>2022359</v>
      </c>
      <c r="B365" s="1172">
        <v>7658</v>
      </c>
      <c r="C365" s="1172" t="s">
        <v>681</v>
      </c>
      <c r="D365" s="1190" t="s">
        <v>703</v>
      </c>
      <c r="E365" s="1230">
        <v>80111600</v>
      </c>
      <c r="F365" s="1199" t="s">
        <v>1032</v>
      </c>
      <c r="G365" s="1193" t="s">
        <v>1440</v>
      </c>
      <c r="H365" s="1212" t="s">
        <v>1440</v>
      </c>
      <c r="I365" s="1194" t="s">
        <v>1442</v>
      </c>
      <c r="J365" s="1195" t="s">
        <v>1479</v>
      </c>
      <c r="K365" s="1176" t="s">
        <v>676</v>
      </c>
      <c r="L365" s="1241" t="s">
        <v>677</v>
      </c>
      <c r="M365" s="1196">
        <v>27775000</v>
      </c>
      <c r="N365" s="1175" t="s">
        <v>751</v>
      </c>
      <c r="O365" s="1175" t="s">
        <v>1499</v>
      </c>
    </row>
    <row r="366" spans="1:15" s="1159" customFormat="1" ht="90" x14ac:dyDescent="0.25">
      <c r="A366" s="1172">
        <v>2022360</v>
      </c>
      <c r="B366" s="1172">
        <v>7658</v>
      </c>
      <c r="C366" s="1172" t="s">
        <v>681</v>
      </c>
      <c r="D366" s="1190" t="s">
        <v>703</v>
      </c>
      <c r="E366" s="1230">
        <v>80111600</v>
      </c>
      <c r="F366" s="1199" t="s">
        <v>1032</v>
      </c>
      <c r="G366" s="1193" t="s">
        <v>1440</v>
      </c>
      <c r="H366" s="1212" t="s">
        <v>1440</v>
      </c>
      <c r="I366" s="1194" t="s">
        <v>1442</v>
      </c>
      <c r="J366" s="1195" t="s">
        <v>1479</v>
      </c>
      <c r="K366" s="1176" t="s">
        <v>676</v>
      </c>
      <c r="L366" s="1241" t="s">
        <v>677</v>
      </c>
      <c r="M366" s="1196">
        <v>27775000</v>
      </c>
      <c r="N366" s="1175" t="s">
        <v>751</v>
      </c>
      <c r="O366" s="1175" t="s">
        <v>1499</v>
      </c>
    </row>
    <row r="367" spans="1:15" s="1159" customFormat="1" ht="90" x14ac:dyDescent="0.25">
      <c r="A367" s="1172">
        <v>2022361</v>
      </c>
      <c r="B367" s="1172">
        <v>7658</v>
      </c>
      <c r="C367" s="1172" t="s">
        <v>681</v>
      </c>
      <c r="D367" s="1190" t="s">
        <v>703</v>
      </c>
      <c r="E367" s="1230">
        <v>80111600</v>
      </c>
      <c r="F367" s="1199" t="s">
        <v>1032</v>
      </c>
      <c r="G367" s="1193" t="s">
        <v>1440</v>
      </c>
      <c r="H367" s="1212" t="s">
        <v>1440</v>
      </c>
      <c r="I367" s="1194" t="s">
        <v>1442</v>
      </c>
      <c r="J367" s="1195" t="s">
        <v>1479</v>
      </c>
      <c r="K367" s="1176" t="s">
        <v>676</v>
      </c>
      <c r="L367" s="1241" t="s">
        <v>677</v>
      </c>
      <c r="M367" s="1196">
        <v>27775000</v>
      </c>
      <c r="N367" s="1175" t="s">
        <v>751</v>
      </c>
      <c r="O367" s="1175" t="s">
        <v>1499</v>
      </c>
    </row>
    <row r="368" spans="1:15" s="1159" customFormat="1" ht="90" x14ac:dyDescent="0.25">
      <c r="A368" s="1172">
        <v>2022362</v>
      </c>
      <c r="B368" s="1172">
        <v>7658</v>
      </c>
      <c r="C368" s="1172" t="s">
        <v>681</v>
      </c>
      <c r="D368" s="1190" t="s">
        <v>703</v>
      </c>
      <c r="E368" s="1230">
        <v>80111600</v>
      </c>
      <c r="F368" s="1199" t="s">
        <v>1032</v>
      </c>
      <c r="G368" s="1193" t="s">
        <v>1440</v>
      </c>
      <c r="H368" s="1212" t="s">
        <v>1440</v>
      </c>
      <c r="I368" s="1194" t="s">
        <v>1442</v>
      </c>
      <c r="J368" s="1195" t="s">
        <v>1479</v>
      </c>
      <c r="K368" s="1176" t="s">
        <v>676</v>
      </c>
      <c r="L368" s="1241" t="s">
        <v>677</v>
      </c>
      <c r="M368" s="1196">
        <v>27775000</v>
      </c>
      <c r="N368" s="1175" t="s">
        <v>751</v>
      </c>
      <c r="O368" s="1175" t="s">
        <v>1499</v>
      </c>
    </row>
    <row r="369" spans="1:15" s="1159" customFormat="1" ht="90" x14ac:dyDescent="0.25">
      <c r="A369" s="1172">
        <v>2022363</v>
      </c>
      <c r="B369" s="1172">
        <v>7658</v>
      </c>
      <c r="C369" s="1172" t="s">
        <v>681</v>
      </c>
      <c r="D369" s="1190" t="s">
        <v>703</v>
      </c>
      <c r="E369" s="1230">
        <v>80111600</v>
      </c>
      <c r="F369" s="1199" t="s">
        <v>1032</v>
      </c>
      <c r="G369" s="1193" t="s">
        <v>1440</v>
      </c>
      <c r="H369" s="1212" t="s">
        <v>1440</v>
      </c>
      <c r="I369" s="1194" t="s">
        <v>1442</v>
      </c>
      <c r="J369" s="1195" t="s">
        <v>1479</v>
      </c>
      <c r="K369" s="1176" t="s">
        <v>676</v>
      </c>
      <c r="L369" s="1241" t="s">
        <v>677</v>
      </c>
      <c r="M369" s="1196">
        <v>27775000</v>
      </c>
      <c r="N369" s="1175" t="s">
        <v>751</v>
      </c>
      <c r="O369" s="1175" t="s">
        <v>1499</v>
      </c>
    </row>
    <row r="370" spans="1:15" s="1159" customFormat="1" ht="90" x14ac:dyDescent="0.25">
      <c r="A370" s="1172">
        <v>2022364</v>
      </c>
      <c r="B370" s="1172">
        <v>7658</v>
      </c>
      <c r="C370" s="1172" t="s">
        <v>681</v>
      </c>
      <c r="D370" s="1190" t="s">
        <v>703</v>
      </c>
      <c r="E370" s="1230">
        <v>80111600</v>
      </c>
      <c r="F370" s="1199" t="s">
        <v>1032</v>
      </c>
      <c r="G370" s="1193" t="s">
        <v>1440</v>
      </c>
      <c r="H370" s="1212" t="s">
        <v>1440</v>
      </c>
      <c r="I370" s="1194" t="s">
        <v>1484</v>
      </c>
      <c r="J370" s="1195" t="s">
        <v>1479</v>
      </c>
      <c r="K370" s="1176" t="s">
        <v>676</v>
      </c>
      <c r="L370" s="1241" t="s">
        <v>677</v>
      </c>
      <c r="M370" s="1196">
        <v>25250000</v>
      </c>
      <c r="N370" s="1175" t="s">
        <v>751</v>
      </c>
      <c r="O370" s="1175" t="s">
        <v>1499</v>
      </c>
    </row>
    <row r="371" spans="1:15" s="1159" customFormat="1" ht="90" x14ac:dyDescent="0.25">
      <c r="A371" s="1172">
        <v>2022365</v>
      </c>
      <c r="B371" s="1172">
        <v>7658</v>
      </c>
      <c r="C371" s="1172" t="s">
        <v>681</v>
      </c>
      <c r="D371" s="1190" t="s">
        <v>703</v>
      </c>
      <c r="E371" s="1230">
        <v>80111600</v>
      </c>
      <c r="F371" s="1199" t="s">
        <v>1032</v>
      </c>
      <c r="G371" s="1193" t="s">
        <v>1440</v>
      </c>
      <c r="H371" s="1212" t="s">
        <v>1440</v>
      </c>
      <c r="I371" s="1194" t="s">
        <v>1484</v>
      </c>
      <c r="J371" s="1195" t="s">
        <v>1479</v>
      </c>
      <c r="K371" s="1176" t="s">
        <v>676</v>
      </c>
      <c r="L371" s="1241" t="s">
        <v>677</v>
      </c>
      <c r="M371" s="1196">
        <v>25250000</v>
      </c>
      <c r="N371" s="1175" t="s">
        <v>751</v>
      </c>
      <c r="O371" s="1175" t="s">
        <v>1499</v>
      </c>
    </row>
    <row r="372" spans="1:15" s="1159" customFormat="1" ht="90" x14ac:dyDescent="0.25">
      <c r="A372" s="1172">
        <v>2022366</v>
      </c>
      <c r="B372" s="1172">
        <v>7658</v>
      </c>
      <c r="C372" s="1172" t="s">
        <v>681</v>
      </c>
      <c r="D372" s="1190" t="s">
        <v>703</v>
      </c>
      <c r="E372" s="1230">
        <v>80111600</v>
      </c>
      <c r="F372" s="1199" t="s">
        <v>1033</v>
      </c>
      <c r="G372" s="1193" t="s">
        <v>1440</v>
      </c>
      <c r="H372" s="1212" t="s">
        <v>1440</v>
      </c>
      <c r="I372" s="1194" t="s">
        <v>1485</v>
      </c>
      <c r="J372" s="1195" t="s">
        <v>1479</v>
      </c>
      <c r="K372" s="1176" t="s">
        <v>676</v>
      </c>
      <c r="L372" s="1241" t="s">
        <v>677</v>
      </c>
      <c r="M372" s="1196">
        <v>25956000</v>
      </c>
      <c r="N372" s="1175" t="s">
        <v>751</v>
      </c>
      <c r="O372" s="1175" t="s">
        <v>1499</v>
      </c>
    </row>
    <row r="373" spans="1:15" s="1159" customFormat="1" ht="90" x14ac:dyDescent="0.25">
      <c r="A373" s="1172">
        <v>2022367</v>
      </c>
      <c r="B373" s="1172">
        <v>7658</v>
      </c>
      <c r="C373" s="1172" t="s">
        <v>681</v>
      </c>
      <c r="D373" s="1190" t="s">
        <v>703</v>
      </c>
      <c r="E373" s="1230">
        <v>80111600</v>
      </c>
      <c r="F373" s="1199" t="s">
        <v>1034</v>
      </c>
      <c r="G373" s="1193" t="s">
        <v>1440</v>
      </c>
      <c r="H373" s="1212" t="s">
        <v>1440</v>
      </c>
      <c r="I373" s="1194" t="s">
        <v>1485</v>
      </c>
      <c r="J373" s="1195" t="s">
        <v>1479</v>
      </c>
      <c r="K373" s="1176" t="s">
        <v>676</v>
      </c>
      <c r="L373" s="1241" t="s">
        <v>677</v>
      </c>
      <c r="M373" s="1196">
        <v>41400000</v>
      </c>
      <c r="N373" s="1175" t="s">
        <v>751</v>
      </c>
      <c r="O373" s="1175" t="s">
        <v>1499</v>
      </c>
    </row>
    <row r="374" spans="1:15" s="1159" customFormat="1" ht="90" x14ac:dyDescent="0.25">
      <c r="A374" s="1172">
        <v>2022368</v>
      </c>
      <c r="B374" s="1172">
        <v>7658</v>
      </c>
      <c r="C374" s="1172" t="s">
        <v>681</v>
      </c>
      <c r="D374" s="1190" t="s">
        <v>703</v>
      </c>
      <c r="E374" s="1230">
        <v>80111600</v>
      </c>
      <c r="F374" s="1199" t="s">
        <v>1035</v>
      </c>
      <c r="G374" s="1193" t="s">
        <v>1440</v>
      </c>
      <c r="H374" s="1212" t="s">
        <v>1440</v>
      </c>
      <c r="I374" s="1194" t="s">
        <v>1485</v>
      </c>
      <c r="J374" s="1195" t="s">
        <v>1479</v>
      </c>
      <c r="K374" s="1176" t="s">
        <v>676</v>
      </c>
      <c r="L374" s="1241" t="s">
        <v>677</v>
      </c>
      <c r="M374" s="1196">
        <v>25200000</v>
      </c>
      <c r="N374" s="1175" t="s">
        <v>751</v>
      </c>
      <c r="O374" s="1175" t="s">
        <v>1499</v>
      </c>
    </row>
    <row r="375" spans="1:15" s="1159" customFormat="1" ht="90" x14ac:dyDescent="0.25">
      <c r="A375" s="1172">
        <v>2022369</v>
      </c>
      <c r="B375" s="1172">
        <v>7658</v>
      </c>
      <c r="C375" s="1172" t="s">
        <v>681</v>
      </c>
      <c r="D375" s="1190" t="s">
        <v>703</v>
      </c>
      <c r="E375" s="1230">
        <v>80111600</v>
      </c>
      <c r="F375" s="1199" t="s">
        <v>1036</v>
      </c>
      <c r="G375" s="1193" t="s">
        <v>1440</v>
      </c>
      <c r="H375" s="1212" t="s">
        <v>1440</v>
      </c>
      <c r="I375" s="1194" t="s">
        <v>1442</v>
      </c>
      <c r="J375" s="1195" t="s">
        <v>1479</v>
      </c>
      <c r="K375" s="1176" t="s">
        <v>676</v>
      </c>
      <c r="L375" s="1241" t="s">
        <v>677</v>
      </c>
      <c r="M375" s="1196">
        <v>37950000</v>
      </c>
      <c r="N375" s="1175" t="s">
        <v>751</v>
      </c>
      <c r="O375" s="1175" t="s">
        <v>1499</v>
      </c>
    </row>
    <row r="376" spans="1:15" s="1159" customFormat="1" ht="90" x14ac:dyDescent="0.25">
      <c r="A376" s="1172">
        <v>2022370</v>
      </c>
      <c r="B376" s="1172">
        <v>7658</v>
      </c>
      <c r="C376" s="1172" t="s">
        <v>681</v>
      </c>
      <c r="D376" s="1190" t="s">
        <v>703</v>
      </c>
      <c r="E376" s="1230">
        <v>80111600</v>
      </c>
      <c r="F376" s="1199" t="s">
        <v>1037</v>
      </c>
      <c r="G376" s="1193" t="s">
        <v>1440</v>
      </c>
      <c r="H376" s="1212" t="s">
        <v>1440</v>
      </c>
      <c r="I376" s="1194" t="s">
        <v>1485</v>
      </c>
      <c r="J376" s="1195" t="s">
        <v>1479</v>
      </c>
      <c r="K376" s="1176" t="s">
        <v>676</v>
      </c>
      <c r="L376" s="1241" t="s">
        <v>677</v>
      </c>
      <c r="M376" s="1196">
        <v>47586000</v>
      </c>
      <c r="N376" s="1175" t="s">
        <v>751</v>
      </c>
      <c r="O376" s="1175" t="s">
        <v>1499</v>
      </c>
    </row>
    <row r="377" spans="1:15" s="1159" customFormat="1" ht="90" x14ac:dyDescent="0.25">
      <c r="A377" s="1172">
        <v>2022371</v>
      </c>
      <c r="B377" s="1172">
        <v>7658</v>
      </c>
      <c r="C377" s="1172" t="s">
        <v>681</v>
      </c>
      <c r="D377" s="1190" t="s">
        <v>703</v>
      </c>
      <c r="E377" s="1230">
        <v>80111600</v>
      </c>
      <c r="F377" s="1199" t="s">
        <v>1038</v>
      </c>
      <c r="G377" s="1193" t="s">
        <v>1440</v>
      </c>
      <c r="H377" s="1212" t="s">
        <v>1440</v>
      </c>
      <c r="I377" s="1194" t="s">
        <v>1442</v>
      </c>
      <c r="J377" s="1195" t="s">
        <v>1479</v>
      </c>
      <c r="K377" s="1176" t="s">
        <v>676</v>
      </c>
      <c r="L377" s="1241" t="s">
        <v>677</v>
      </c>
      <c r="M377" s="1196">
        <v>37956000</v>
      </c>
      <c r="N377" s="1175" t="s">
        <v>751</v>
      </c>
      <c r="O377" s="1175" t="s">
        <v>1499</v>
      </c>
    </row>
    <row r="378" spans="1:15" s="1159" customFormat="1" ht="90" x14ac:dyDescent="0.25">
      <c r="A378" s="1172">
        <v>2022372</v>
      </c>
      <c r="B378" s="1172">
        <v>7658</v>
      </c>
      <c r="C378" s="1172" t="s">
        <v>681</v>
      </c>
      <c r="D378" s="1190" t="s">
        <v>703</v>
      </c>
      <c r="E378" s="1230">
        <v>80111600</v>
      </c>
      <c r="F378" s="1199" t="s">
        <v>1039</v>
      </c>
      <c r="G378" s="1193" t="s">
        <v>1440</v>
      </c>
      <c r="H378" s="1212" t="s">
        <v>1440</v>
      </c>
      <c r="I378" s="1194" t="s">
        <v>1485</v>
      </c>
      <c r="J378" s="1195" t="s">
        <v>1479</v>
      </c>
      <c r="K378" s="1176" t="s">
        <v>676</v>
      </c>
      <c r="L378" s="1241" t="s">
        <v>677</v>
      </c>
      <c r="M378" s="1196">
        <v>63036000</v>
      </c>
      <c r="N378" s="1175" t="s">
        <v>751</v>
      </c>
      <c r="O378" s="1175" t="s">
        <v>1499</v>
      </c>
    </row>
    <row r="379" spans="1:15" s="1159" customFormat="1" ht="90" x14ac:dyDescent="0.25">
      <c r="A379" s="1172">
        <v>2022373</v>
      </c>
      <c r="B379" s="1172">
        <v>7658</v>
      </c>
      <c r="C379" s="1172" t="s">
        <v>681</v>
      </c>
      <c r="D379" s="1190" t="s">
        <v>703</v>
      </c>
      <c r="E379" s="1230">
        <v>80111600</v>
      </c>
      <c r="F379" s="1199" t="s">
        <v>1039</v>
      </c>
      <c r="G379" s="1193" t="s">
        <v>1440</v>
      </c>
      <c r="H379" s="1212" t="s">
        <v>1440</v>
      </c>
      <c r="I379" s="1194" t="s">
        <v>1484</v>
      </c>
      <c r="J379" s="1195" t="s">
        <v>1479</v>
      </c>
      <c r="K379" s="1176" t="s">
        <v>676</v>
      </c>
      <c r="L379" s="1241" t="s">
        <v>677</v>
      </c>
      <c r="M379" s="1196">
        <v>39700000</v>
      </c>
      <c r="N379" s="1175" t="s">
        <v>751</v>
      </c>
      <c r="O379" s="1175" t="s">
        <v>1499</v>
      </c>
    </row>
    <row r="380" spans="1:15" s="1159" customFormat="1" ht="90" x14ac:dyDescent="0.25">
      <c r="A380" s="1172">
        <v>2022374</v>
      </c>
      <c r="B380" s="1172">
        <v>7658</v>
      </c>
      <c r="C380" s="1172" t="s">
        <v>681</v>
      </c>
      <c r="D380" s="1190" t="s">
        <v>703</v>
      </c>
      <c r="E380" s="1230">
        <v>80111600</v>
      </c>
      <c r="F380" s="1199" t="s">
        <v>1039</v>
      </c>
      <c r="G380" s="1193" t="s">
        <v>1440</v>
      </c>
      <c r="H380" s="1212" t="s">
        <v>1440</v>
      </c>
      <c r="I380" s="1194" t="s">
        <v>1442</v>
      </c>
      <c r="J380" s="1195" t="s">
        <v>1479</v>
      </c>
      <c r="K380" s="1176" t="s">
        <v>676</v>
      </c>
      <c r="L380" s="1241" t="s">
        <v>677</v>
      </c>
      <c r="M380" s="1196">
        <v>50985000</v>
      </c>
      <c r="N380" s="1175" t="s">
        <v>751</v>
      </c>
      <c r="O380" s="1175" t="s">
        <v>1499</v>
      </c>
    </row>
    <row r="381" spans="1:15" s="1159" customFormat="1" ht="90" x14ac:dyDescent="0.25">
      <c r="A381" s="1172">
        <v>2022375</v>
      </c>
      <c r="B381" s="1172">
        <v>7658</v>
      </c>
      <c r="C381" s="1172" t="s">
        <v>681</v>
      </c>
      <c r="D381" s="1190" t="s">
        <v>703</v>
      </c>
      <c r="E381" s="1230">
        <v>80111600</v>
      </c>
      <c r="F381" s="1199" t="s">
        <v>1040</v>
      </c>
      <c r="G381" s="1193" t="s">
        <v>1440</v>
      </c>
      <c r="H381" s="1212" t="s">
        <v>1440</v>
      </c>
      <c r="I381" s="1194" t="s">
        <v>1485</v>
      </c>
      <c r="J381" s="1195" t="s">
        <v>1479</v>
      </c>
      <c r="K381" s="1176" t="s">
        <v>676</v>
      </c>
      <c r="L381" s="1241" t="s">
        <v>677</v>
      </c>
      <c r="M381" s="1196">
        <v>55620000</v>
      </c>
      <c r="N381" s="1175" t="s">
        <v>751</v>
      </c>
      <c r="O381" s="1175" t="s">
        <v>1499</v>
      </c>
    </row>
    <row r="382" spans="1:15" s="1159" customFormat="1" ht="90" x14ac:dyDescent="0.25">
      <c r="A382" s="1172">
        <v>2022376</v>
      </c>
      <c r="B382" s="1172">
        <v>7658</v>
      </c>
      <c r="C382" s="1172" t="s">
        <v>681</v>
      </c>
      <c r="D382" s="1190" t="s">
        <v>703</v>
      </c>
      <c r="E382" s="1230">
        <v>80111600</v>
      </c>
      <c r="F382" s="1199" t="s">
        <v>1041</v>
      </c>
      <c r="G382" s="1193" t="s">
        <v>1440</v>
      </c>
      <c r="H382" s="1212" t="s">
        <v>1440</v>
      </c>
      <c r="I382" s="1194" t="s">
        <v>1485</v>
      </c>
      <c r="J382" s="1195" t="s">
        <v>1479</v>
      </c>
      <c r="K382" s="1176" t="s">
        <v>676</v>
      </c>
      <c r="L382" s="1241" t="s">
        <v>677</v>
      </c>
      <c r="M382" s="1196">
        <v>55620000</v>
      </c>
      <c r="N382" s="1175" t="s">
        <v>751</v>
      </c>
      <c r="O382" s="1175" t="s">
        <v>1499</v>
      </c>
    </row>
    <row r="383" spans="1:15" s="1159" customFormat="1" ht="90" x14ac:dyDescent="0.25">
      <c r="A383" s="1172">
        <v>2022377</v>
      </c>
      <c r="B383" s="1172">
        <v>7658</v>
      </c>
      <c r="C383" s="1172" t="s">
        <v>681</v>
      </c>
      <c r="D383" s="1190" t="s">
        <v>703</v>
      </c>
      <c r="E383" s="1230">
        <v>80111600</v>
      </c>
      <c r="F383" s="1199" t="s">
        <v>1042</v>
      </c>
      <c r="G383" s="1193" t="s">
        <v>1440</v>
      </c>
      <c r="H383" s="1212" t="s">
        <v>1440</v>
      </c>
      <c r="I383" s="1194" t="s">
        <v>1485</v>
      </c>
      <c r="J383" s="1195" t="s">
        <v>1479</v>
      </c>
      <c r="K383" s="1176" t="s">
        <v>676</v>
      </c>
      <c r="L383" s="1241" t="s">
        <v>677</v>
      </c>
      <c r="M383" s="1196">
        <v>55620000</v>
      </c>
      <c r="N383" s="1175" t="s">
        <v>751</v>
      </c>
      <c r="O383" s="1175" t="s">
        <v>1499</v>
      </c>
    </row>
    <row r="384" spans="1:15" s="1159" customFormat="1" ht="90" x14ac:dyDescent="0.25">
      <c r="A384" s="1172">
        <v>2022378</v>
      </c>
      <c r="B384" s="1172">
        <v>7658</v>
      </c>
      <c r="C384" s="1172" t="s">
        <v>681</v>
      </c>
      <c r="D384" s="1190" t="s">
        <v>703</v>
      </c>
      <c r="E384" s="1230">
        <v>80111600</v>
      </c>
      <c r="F384" s="1199" t="s">
        <v>1043</v>
      </c>
      <c r="G384" s="1193" t="s">
        <v>1440</v>
      </c>
      <c r="H384" s="1212" t="s">
        <v>1440</v>
      </c>
      <c r="I384" s="1194" t="s">
        <v>1485</v>
      </c>
      <c r="J384" s="1195" t="s">
        <v>1479</v>
      </c>
      <c r="K384" s="1176" t="s">
        <v>676</v>
      </c>
      <c r="L384" s="1241" t="s">
        <v>677</v>
      </c>
      <c r="M384" s="1196">
        <v>55620000</v>
      </c>
      <c r="N384" s="1175" t="s">
        <v>751</v>
      </c>
      <c r="O384" s="1175" t="s">
        <v>1499</v>
      </c>
    </row>
    <row r="385" spans="1:18" s="1159" customFormat="1" ht="90" x14ac:dyDescent="0.25">
      <c r="A385" s="1172">
        <v>2022379</v>
      </c>
      <c r="B385" s="1172">
        <v>7658</v>
      </c>
      <c r="C385" s="1172" t="s">
        <v>681</v>
      </c>
      <c r="D385" s="1190" t="s">
        <v>703</v>
      </c>
      <c r="E385" s="1230">
        <v>80111600</v>
      </c>
      <c r="F385" s="1199" t="s">
        <v>1044</v>
      </c>
      <c r="G385" s="1193" t="s">
        <v>1440</v>
      </c>
      <c r="H385" s="1212" t="s">
        <v>1440</v>
      </c>
      <c r="I385" s="1194" t="s">
        <v>1442</v>
      </c>
      <c r="J385" s="1195" t="s">
        <v>1479</v>
      </c>
      <c r="K385" s="1176" t="s">
        <v>676</v>
      </c>
      <c r="L385" s="1241" t="s">
        <v>677</v>
      </c>
      <c r="M385" s="1196">
        <v>50985000</v>
      </c>
      <c r="N385" s="1175" t="s">
        <v>751</v>
      </c>
      <c r="O385" s="1175" t="s">
        <v>1499</v>
      </c>
    </row>
    <row r="386" spans="1:18" s="1159" customFormat="1" ht="90" x14ac:dyDescent="0.25">
      <c r="A386" s="1172">
        <v>2022380</v>
      </c>
      <c r="B386" s="1172">
        <v>7658</v>
      </c>
      <c r="C386" s="1172" t="s">
        <v>681</v>
      </c>
      <c r="D386" s="1190" t="s">
        <v>703</v>
      </c>
      <c r="E386" s="1230">
        <v>80111600</v>
      </c>
      <c r="F386" s="1199" t="s">
        <v>1045</v>
      </c>
      <c r="G386" s="1193" t="s">
        <v>1440</v>
      </c>
      <c r="H386" s="1212" t="s">
        <v>1440</v>
      </c>
      <c r="I386" s="1194" t="s">
        <v>1442</v>
      </c>
      <c r="J386" s="1195" t="s">
        <v>1479</v>
      </c>
      <c r="K386" s="1176" t="s">
        <v>676</v>
      </c>
      <c r="L386" s="1241" t="s">
        <v>677</v>
      </c>
      <c r="M386" s="1196">
        <v>50985000</v>
      </c>
      <c r="N386" s="1175" t="s">
        <v>751</v>
      </c>
      <c r="O386" s="1175" t="s">
        <v>1499</v>
      </c>
    </row>
    <row r="387" spans="1:18" s="1159" customFormat="1" ht="90" x14ac:dyDescent="0.25">
      <c r="A387" s="1172">
        <v>2022381</v>
      </c>
      <c r="B387" s="1172">
        <v>7658</v>
      </c>
      <c r="C387" s="1172" t="s">
        <v>681</v>
      </c>
      <c r="D387" s="1190" t="s">
        <v>703</v>
      </c>
      <c r="E387" s="1230">
        <v>80111600</v>
      </c>
      <c r="F387" s="1199" t="s">
        <v>1046</v>
      </c>
      <c r="G387" s="1193" t="s">
        <v>1440</v>
      </c>
      <c r="H387" s="1212" t="s">
        <v>1440</v>
      </c>
      <c r="I387" s="1194" t="s">
        <v>1485</v>
      </c>
      <c r="J387" s="1195" t="s">
        <v>1479</v>
      </c>
      <c r="K387" s="1176" t="s">
        <v>676</v>
      </c>
      <c r="L387" s="1241" t="s">
        <v>677</v>
      </c>
      <c r="M387" s="1196">
        <v>84000000</v>
      </c>
      <c r="N387" s="1175" t="s">
        <v>751</v>
      </c>
      <c r="O387" s="1175" t="s">
        <v>1499</v>
      </c>
    </row>
    <row r="388" spans="1:18" s="1159" customFormat="1" ht="90" x14ac:dyDescent="0.25">
      <c r="A388" s="1172">
        <v>2022382</v>
      </c>
      <c r="B388" s="1172">
        <v>7658</v>
      </c>
      <c r="C388" s="1172" t="s">
        <v>681</v>
      </c>
      <c r="D388" s="1190" t="s">
        <v>703</v>
      </c>
      <c r="E388" s="1230">
        <v>80111600</v>
      </c>
      <c r="F388" s="1199" t="s">
        <v>1047</v>
      </c>
      <c r="G388" s="1193" t="s">
        <v>1440</v>
      </c>
      <c r="H388" s="1212" t="s">
        <v>1440</v>
      </c>
      <c r="I388" s="1194" t="s">
        <v>1485</v>
      </c>
      <c r="J388" s="1195" t="s">
        <v>1479</v>
      </c>
      <c r="K388" s="1176" t="s">
        <v>676</v>
      </c>
      <c r="L388" s="1241" t="s">
        <v>677</v>
      </c>
      <c r="M388" s="1196">
        <v>84000000</v>
      </c>
      <c r="N388" s="1175" t="s">
        <v>751</v>
      </c>
      <c r="O388" s="1175" t="s">
        <v>1499</v>
      </c>
    </row>
    <row r="389" spans="1:18" s="1159" customFormat="1" ht="90" x14ac:dyDescent="0.25">
      <c r="A389" s="1172">
        <v>2022383</v>
      </c>
      <c r="B389" s="1172">
        <v>7658</v>
      </c>
      <c r="C389" s="1172" t="s">
        <v>681</v>
      </c>
      <c r="D389" s="1190" t="s">
        <v>703</v>
      </c>
      <c r="E389" s="1230">
        <v>80111600</v>
      </c>
      <c r="F389" s="1199" t="s">
        <v>1048</v>
      </c>
      <c r="G389" s="1193" t="s">
        <v>1440</v>
      </c>
      <c r="H389" s="1212" t="s">
        <v>1440</v>
      </c>
      <c r="I389" s="1194" t="s">
        <v>1485</v>
      </c>
      <c r="J389" s="1195" t="s">
        <v>1479</v>
      </c>
      <c r="K389" s="1176" t="s">
        <v>676</v>
      </c>
      <c r="L389" s="1241" t="s">
        <v>677</v>
      </c>
      <c r="M389" s="1196">
        <v>84000000</v>
      </c>
      <c r="N389" s="1175" t="s">
        <v>751</v>
      </c>
      <c r="O389" s="1175" t="s">
        <v>1499</v>
      </c>
    </row>
    <row r="390" spans="1:18" s="1159" customFormat="1" ht="90" x14ac:dyDescent="0.25">
      <c r="A390" s="1172">
        <v>2022384</v>
      </c>
      <c r="B390" s="1172">
        <v>7658</v>
      </c>
      <c r="C390" s="1172" t="s">
        <v>681</v>
      </c>
      <c r="D390" s="1190" t="s">
        <v>703</v>
      </c>
      <c r="E390" s="1230">
        <v>80111600</v>
      </c>
      <c r="F390" s="1199" t="s">
        <v>1049</v>
      </c>
      <c r="G390" s="1193" t="s">
        <v>1440</v>
      </c>
      <c r="H390" s="1212" t="s">
        <v>1440</v>
      </c>
      <c r="I390" s="1194" t="s">
        <v>1485</v>
      </c>
      <c r="J390" s="1195" t="s">
        <v>1479</v>
      </c>
      <c r="K390" s="1176" t="s">
        <v>676</v>
      </c>
      <c r="L390" s="1241" t="s">
        <v>677</v>
      </c>
      <c r="M390" s="1196">
        <v>84000000</v>
      </c>
      <c r="N390" s="1175" t="s">
        <v>751</v>
      </c>
      <c r="O390" s="1175" t="s">
        <v>1499</v>
      </c>
    </row>
    <row r="391" spans="1:18" s="1159" customFormat="1" ht="90" x14ac:dyDescent="0.25">
      <c r="A391" s="1172">
        <v>2022385</v>
      </c>
      <c r="B391" s="1172">
        <v>7658</v>
      </c>
      <c r="C391" s="1172" t="s">
        <v>681</v>
      </c>
      <c r="D391" s="1190" t="s">
        <v>703</v>
      </c>
      <c r="E391" s="1230">
        <v>80111600</v>
      </c>
      <c r="F391" s="1199" t="s">
        <v>1050</v>
      </c>
      <c r="G391" s="1193" t="s">
        <v>1440</v>
      </c>
      <c r="H391" s="1212" t="s">
        <v>1440</v>
      </c>
      <c r="I391" s="1194" t="s">
        <v>1485</v>
      </c>
      <c r="J391" s="1195" t="s">
        <v>1479</v>
      </c>
      <c r="K391" s="1176" t="s">
        <v>676</v>
      </c>
      <c r="L391" s="1241" t="s">
        <v>677</v>
      </c>
      <c r="M391" s="1196">
        <v>84000000</v>
      </c>
      <c r="N391" s="1175" t="s">
        <v>751</v>
      </c>
      <c r="O391" s="1175" t="s">
        <v>1499</v>
      </c>
    </row>
    <row r="392" spans="1:18" s="1159" customFormat="1" ht="90" x14ac:dyDescent="0.25">
      <c r="A392" s="1172">
        <v>2022386</v>
      </c>
      <c r="B392" s="1172">
        <v>7658</v>
      </c>
      <c r="C392" s="1172" t="s">
        <v>681</v>
      </c>
      <c r="D392" s="1190" t="s">
        <v>703</v>
      </c>
      <c r="E392" s="1230">
        <v>80111600</v>
      </c>
      <c r="F392" s="1199" t="s">
        <v>1051</v>
      </c>
      <c r="G392" s="1193" t="s">
        <v>1440</v>
      </c>
      <c r="H392" s="1212" t="s">
        <v>1440</v>
      </c>
      <c r="I392" s="1194" t="s">
        <v>1485</v>
      </c>
      <c r="J392" s="1195" t="s">
        <v>1479</v>
      </c>
      <c r="K392" s="1176" t="s">
        <v>676</v>
      </c>
      <c r="L392" s="1241" t="s">
        <v>677</v>
      </c>
      <c r="M392" s="1196">
        <v>84000000</v>
      </c>
      <c r="N392" s="1175" t="s">
        <v>751</v>
      </c>
      <c r="O392" s="1175" t="s">
        <v>1499</v>
      </c>
    </row>
    <row r="393" spans="1:18" s="1159" customFormat="1" ht="90" x14ac:dyDescent="0.25">
      <c r="A393" s="1172">
        <v>2022387</v>
      </c>
      <c r="B393" s="1172">
        <v>7658</v>
      </c>
      <c r="C393" s="1172" t="s">
        <v>681</v>
      </c>
      <c r="D393" s="1190" t="s">
        <v>703</v>
      </c>
      <c r="E393" s="1234">
        <v>80111600</v>
      </c>
      <c r="F393" s="1175" t="s">
        <v>1052</v>
      </c>
      <c r="G393" s="1193" t="s">
        <v>1440</v>
      </c>
      <c r="H393" s="1212" t="s">
        <v>1440</v>
      </c>
      <c r="I393" s="1194" t="s">
        <v>1485</v>
      </c>
      <c r="J393" s="1195" t="s">
        <v>1479</v>
      </c>
      <c r="K393" s="1176" t="s">
        <v>676</v>
      </c>
      <c r="L393" s="1252" t="s">
        <v>677</v>
      </c>
      <c r="M393" s="1253">
        <v>90000000</v>
      </c>
      <c r="N393" s="1175" t="s">
        <v>751</v>
      </c>
      <c r="O393" s="1175" t="s">
        <v>1499</v>
      </c>
    </row>
    <row r="394" spans="1:18" s="1159" customFormat="1" ht="75" x14ac:dyDescent="0.25">
      <c r="A394" s="1172">
        <v>2022388</v>
      </c>
      <c r="B394" s="1172">
        <v>7658</v>
      </c>
      <c r="C394" s="1172" t="s">
        <v>681</v>
      </c>
      <c r="D394" s="1190" t="s">
        <v>694</v>
      </c>
      <c r="E394" s="1234" t="s">
        <v>1546</v>
      </c>
      <c r="F394" s="1175" t="s">
        <v>1547</v>
      </c>
      <c r="G394" s="1212" t="s">
        <v>1548</v>
      </c>
      <c r="H394" s="1212" t="s">
        <v>1549</v>
      </c>
      <c r="I394" s="1212">
        <v>10</v>
      </c>
      <c r="J394" s="1195" t="s">
        <v>1550</v>
      </c>
      <c r="K394" s="1176" t="s">
        <v>676</v>
      </c>
      <c r="L394" s="1254" t="s">
        <v>677</v>
      </c>
      <c r="M394" s="1179">
        <v>650000000</v>
      </c>
      <c r="N394" s="1175" t="s">
        <v>743</v>
      </c>
      <c r="O394" s="1175" t="s">
        <v>1551</v>
      </c>
    </row>
    <row r="395" spans="1:18" s="1159" customFormat="1" ht="75" x14ac:dyDescent="0.25">
      <c r="A395" s="1182">
        <v>2022389</v>
      </c>
      <c r="B395" s="1182">
        <v>7658</v>
      </c>
      <c r="C395" s="1182" t="s">
        <v>681</v>
      </c>
      <c r="D395" s="1227" t="s">
        <v>694</v>
      </c>
      <c r="E395" s="1255" t="s">
        <v>1053</v>
      </c>
      <c r="F395" s="1185" t="s">
        <v>1054</v>
      </c>
      <c r="G395" s="1246" t="s">
        <v>1548</v>
      </c>
      <c r="H395" s="1246" t="s">
        <v>1549</v>
      </c>
      <c r="I395" s="1246">
        <v>8</v>
      </c>
      <c r="J395" s="1240" t="s">
        <v>1550</v>
      </c>
      <c r="K395" s="1184" t="s">
        <v>676</v>
      </c>
      <c r="L395" s="1256" t="s">
        <v>677</v>
      </c>
      <c r="M395" s="1186">
        <v>816036232</v>
      </c>
      <c r="N395" s="1185" t="s">
        <v>743</v>
      </c>
      <c r="O395" s="1185" t="s">
        <v>1551</v>
      </c>
      <c r="R395" s="1180"/>
    </row>
    <row r="396" spans="1:18" s="1159" customFormat="1" ht="90" x14ac:dyDescent="0.25">
      <c r="A396" s="1172">
        <v>2022390</v>
      </c>
      <c r="B396" s="1172">
        <v>7658</v>
      </c>
      <c r="C396" s="1172" t="s">
        <v>681</v>
      </c>
      <c r="D396" s="1190" t="s">
        <v>694</v>
      </c>
      <c r="E396" s="1234" t="s">
        <v>1053</v>
      </c>
      <c r="F396" s="1175" t="s">
        <v>1055</v>
      </c>
      <c r="G396" s="1193" t="s">
        <v>1440</v>
      </c>
      <c r="H396" s="1212" t="s">
        <v>1445</v>
      </c>
      <c r="I396" s="1212">
        <v>2</v>
      </c>
      <c r="J396" s="1195" t="s">
        <v>1550</v>
      </c>
      <c r="K396" s="1176" t="s">
        <v>676</v>
      </c>
      <c r="L396" s="1178" t="s">
        <v>677</v>
      </c>
      <c r="M396" s="1179">
        <v>183963768</v>
      </c>
      <c r="N396" s="1175" t="s">
        <v>743</v>
      </c>
      <c r="O396" s="1175" t="s">
        <v>1551</v>
      </c>
    </row>
    <row r="397" spans="1:18" s="1159" customFormat="1" ht="75" x14ac:dyDescent="0.25">
      <c r="A397" s="1172">
        <v>2022391</v>
      </c>
      <c r="B397" s="1172">
        <v>7658</v>
      </c>
      <c r="C397" s="1172" t="s">
        <v>681</v>
      </c>
      <c r="D397" s="1190" t="s">
        <v>694</v>
      </c>
      <c r="E397" s="1234" t="s">
        <v>1056</v>
      </c>
      <c r="F397" s="1175" t="s">
        <v>1057</v>
      </c>
      <c r="G397" s="1212" t="s">
        <v>1553</v>
      </c>
      <c r="H397" s="1212" t="s">
        <v>1554</v>
      </c>
      <c r="I397" s="1212">
        <v>8</v>
      </c>
      <c r="J397" s="1195" t="s">
        <v>1550</v>
      </c>
      <c r="K397" s="1176" t="s">
        <v>772</v>
      </c>
      <c r="L397" s="1254" t="s">
        <v>983</v>
      </c>
      <c r="M397" s="1179">
        <v>617440000</v>
      </c>
      <c r="N397" s="1175" t="s">
        <v>743</v>
      </c>
      <c r="O397" s="1175" t="s">
        <v>1551</v>
      </c>
    </row>
    <row r="398" spans="1:18" s="1159" customFormat="1" ht="90" x14ac:dyDescent="0.25">
      <c r="A398" s="1172">
        <v>2022392</v>
      </c>
      <c r="B398" s="1172">
        <v>7658</v>
      </c>
      <c r="C398" s="1172" t="s">
        <v>681</v>
      </c>
      <c r="D398" s="1190" t="s">
        <v>694</v>
      </c>
      <c r="E398" s="1257" t="s">
        <v>1555</v>
      </c>
      <c r="F398" s="1175" t="s">
        <v>1556</v>
      </c>
      <c r="G398" s="1212" t="s">
        <v>1553</v>
      </c>
      <c r="H398" s="1212" t="s">
        <v>1554</v>
      </c>
      <c r="I398" s="1212">
        <v>8</v>
      </c>
      <c r="J398" s="1195" t="s">
        <v>1537</v>
      </c>
      <c r="K398" s="1176" t="s">
        <v>676</v>
      </c>
      <c r="L398" s="1254" t="s">
        <v>677</v>
      </c>
      <c r="M398" s="1179">
        <v>300000000</v>
      </c>
      <c r="N398" s="1175" t="s">
        <v>743</v>
      </c>
      <c r="O398" s="1175" t="s">
        <v>1551</v>
      </c>
    </row>
    <row r="399" spans="1:18" s="1159" customFormat="1" ht="75" x14ac:dyDescent="0.25">
      <c r="A399" s="1172">
        <v>2022393</v>
      </c>
      <c r="B399" s="1172">
        <v>7658</v>
      </c>
      <c r="C399" s="1172" t="s">
        <v>681</v>
      </c>
      <c r="D399" s="1190" t="s">
        <v>694</v>
      </c>
      <c r="E399" s="1257" t="s">
        <v>1557</v>
      </c>
      <c r="F399" s="1175" t="s">
        <v>1062</v>
      </c>
      <c r="G399" s="1212" t="s">
        <v>1553</v>
      </c>
      <c r="H399" s="1212" t="s">
        <v>1554</v>
      </c>
      <c r="I399" s="1212">
        <v>8</v>
      </c>
      <c r="J399" s="1195" t="s">
        <v>1558</v>
      </c>
      <c r="K399" s="1176" t="s">
        <v>676</v>
      </c>
      <c r="L399" s="1178" t="s">
        <v>677</v>
      </c>
      <c r="M399" s="1179">
        <v>200000000</v>
      </c>
      <c r="N399" s="1175" t="s">
        <v>743</v>
      </c>
      <c r="O399" s="1175" t="s">
        <v>1551</v>
      </c>
    </row>
    <row r="400" spans="1:18" s="1159" customFormat="1" ht="75" x14ac:dyDescent="0.25">
      <c r="A400" s="1172">
        <v>2022394</v>
      </c>
      <c r="B400" s="1172">
        <v>7658</v>
      </c>
      <c r="C400" s="1172" t="s">
        <v>681</v>
      </c>
      <c r="D400" s="1190" t="s">
        <v>694</v>
      </c>
      <c r="E400" s="1258" t="s">
        <v>1063</v>
      </c>
      <c r="F400" s="1175" t="s">
        <v>1064</v>
      </c>
      <c r="G400" s="1176" t="s">
        <v>1554</v>
      </c>
      <c r="H400" s="1176" t="s">
        <v>1559</v>
      </c>
      <c r="I400" s="1176">
        <v>6</v>
      </c>
      <c r="J400" s="1195" t="s">
        <v>1558</v>
      </c>
      <c r="K400" s="1176" t="s">
        <v>676</v>
      </c>
      <c r="L400" s="1178" t="s">
        <v>677</v>
      </c>
      <c r="M400" s="1179">
        <f>150000000-76286376</f>
        <v>73713624</v>
      </c>
      <c r="N400" s="1175" t="s">
        <v>743</v>
      </c>
      <c r="O400" s="1175" t="s">
        <v>1551</v>
      </c>
    </row>
    <row r="401" spans="1:15" s="1159" customFormat="1" ht="75" x14ac:dyDescent="0.25">
      <c r="A401" s="1172">
        <v>2022395</v>
      </c>
      <c r="B401" s="1172">
        <v>7658</v>
      </c>
      <c r="C401" s="1172" t="s">
        <v>681</v>
      </c>
      <c r="D401" s="1190" t="s">
        <v>694</v>
      </c>
      <c r="E401" s="1258" t="s">
        <v>1560</v>
      </c>
      <c r="F401" s="1175" t="s">
        <v>1561</v>
      </c>
      <c r="G401" s="1176" t="s">
        <v>1559</v>
      </c>
      <c r="H401" s="1176" t="s">
        <v>1562</v>
      </c>
      <c r="I401" s="1176">
        <v>3</v>
      </c>
      <c r="J401" s="1195" t="s">
        <v>1550</v>
      </c>
      <c r="K401" s="1176" t="s">
        <v>772</v>
      </c>
      <c r="L401" s="1178" t="s">
        <v>983</v>
      </c>
      <c r="M401" s="1179">
        <v>400000000</v>
      </c>
      <c r="N401" s="1175" t="s">
        <v>743</v>
      </c>
      <c r="O401" s="1175" t="s">
        <v>1551</v>
      </c>
    </row>
    <row r="402" spans="1:15" s="1159" customFormat="1" ht="75" x14ac:dyDescent="0.25">
      <c r="A402" s="1172">
        <v>2022396</v>
      </c>
      <c r="B402" s="1172">
        <v>7658</v>
      </c>
      <c r="C402" s="1172" t="s">
        <v>681</v>
      </c>
      <c r="D402" s="1190" t="s">
        <v>694</v>
      </c>
      <c r="E402" s="1258" t="s">
        <v>1557</v>
      </c>
      <c r="F402" s="1199" t="s">
        <v>1563</v>
      </c>
      <c r="G402" s="1176" t="s">
        <v>1564</v>
      </c>
      <c r="H402" s="1176" t="s">
        <v>1565</v>
      </c>
      <c r="I402" s="1176">
        <v>3</v>
      </c>
      <c r="J402" s="1195" t="s">
        <v>1550</v>
      </c>
      <c r="K402" s="1176" t="s">
        <v>676</v>
      </c>
      <c r="L402" s="1178" t="s">
        <v>677</v>
      </c>
      <c r="M402" s="1179">
        <v>300000000</v>
      </c>
      <c r="N402" s="1175" t="s">
        <v>743</v>
      </c>
      <c r="O402" s="1175" t="s">
        <v>1551</v>
      </c>
    </row>
    <row r="403" spans="1:15" s="1159" customFormat="1" ht="75" x14ac:dyDescent="0.25">
      <c r="A403" s="1172">
        <v>2022397</v>
      </c>
      <c r="B403" s="1172">
        <v>7658</v>
      </c>
      <c r="C403" s="1172" t="s">
        <v>681</v>
      </c>
      <c r="D403" s="1190" t="s">
        <v>694</v>
      </c>
      <c r="E403" s="1259" t="s">
        <v>1566</v>
      </c>
      <c r="F403" s="1175" t="s">
        <v>1567</v>
      </c>
      <c r="G403" s="1260" t="s">
        <v>1549</v>
      </c>
      <c r="H403" s="1176" t="s">
        <v>1564</v>
      </c>
      <c r="I403" s="1176">
        <v>2</v>
      </c>
      <c r="J403" s="1195" t="s">
        <v>1558</v>
      </c>
      <c r="K403" s="1176" t="s">
        <v>676</v>
      </c>
      <c r="L403" s="1178" t="s">
        <v>677</v>
      </c>
      <c r="M403" s="1179">
        <v>30000000</v>
      </c>
      <c r="N403" s="1175" t="s">
        <v>743</v>
      </c>
      <c r="O403" s="1175" t="s">
        <v>1551</v>
      </c>
    </row>
    <row r="404" spans="1:15" s="1159" customFormat="1" ht="75" x14ac:dyDescent="0.25">
      <c r="A404" s="1172">
        <v>2022398</v>
      </c>
      <c r="B404" s="1172">
        <v>7658</v>
      </c>
      <c r="C404" s="1172" t="s">
        <v>681</v>
      </c>
      <c r="D404" s="1190" t="s">
        <v>694</v>
      </c>
      <c r="E404" s="1259" t="s">
        <v>1568</v>
      </c>
      <c r="F404" s="1175" t="s">
        <v>1569</v>
      </c>
      <c r="G404" s="1260" t="s">
        <v>1554</v>
      </c>
      <c r="H404" s="1176" t="s">
        <v>1565</v>
      </c>
      <c r="I404" s="1176">
        <v>8</v>
      </c>
      <c r="J404" s="1195" t="s">
        <v>1558</v>
      </c>
      <c r="K404" s="1176" t="s">
        <v>676</v>
      </c>
      <c r="L404" s="1178" t="s">
        <v>677</v>
      </c>
      <c r="M404" s="1179">
        <v>10000000</v>
      </c>
      <c r="N404" s="1175" t="s">
        <v>743</v>
      </c>
      <c r="O404" s="1175" t="s">
        <v>1551</v>
      </c>
    </row>
    <row r="405" spans="1:15" s="1159" customFormat="1" ht="75" x14ac:dyDescent="0.25">
      <c r="A405" s="1172">
        <v>2022399</v>
      </c>
      <c r="B405" s="1172">
        <v>7658</v>
      </c>
      <c r="C405" s="1172" t="s">
        <v>681</v>
      </c>
      <c r="D405" s="1190" t="s">
        <v>694</v>
      </c>
      <c r="E405" s="1259" t="s">
        <v>1570</v>
      </c>
      <c r="F405" s="1175" t="s">
        <v>1571</v>
      </c>
      <c r="G405" s="1260" t="s">
        <v>1554</v>
      </c>
      <c r="H405" s="1176" t="s">
        <v>1565</v>
      </c>
      <c r="I405" s="1176">
        <v>8</v>
      </c>
      <c r="J405" s="1195" t="s">
        <v>1558</v>
      </c>
      <c r="K405" s="1176" t="s">
        <v>676</v>
      </c>
      <c r="L405" s="1178" t="s">
        <v>677</v>
      </c>
      <c r="M405" s="1179">
        <v>20000000</v>
      </c>
      <c r="N405" s="1175" t="s">
        <v>743</v>
      </c>
      <c r="O405" s="1175" t="s">
        <v>1551</v>
      </c>
    </row>
    <row r="406" spans="1:15" s="1159" customFormat="1" ht="75" x14ac:dyDescent="0.25">
      <c r="A406" s="1172">
        <v>2022400</v>
      </c>
      <c r="B406" s="1172">
        <v>7658</v>
      </c>
      <c r="C406" s="1172" t="s">
        <v>681</v>
      </c>
      <c r="D406" s="1190" t="s">
        <v>694</v>
      </c>
      <c r="E406" s="1259" t="s">
        <v>1069</v>
      </c>
      <c r="F406" s="1175" t="s">
        <v>1070</v>
      </c>
      <c r="G406" s="1260" t="s">
        <v>1554</v>
      </c>
      <c r="H406" s="1176" t="s">
        <v>1565</v>
      </c>
      <c r="I406" s="1176">
        <v>2</v>
      </c>
      <c r="J406" s="1195" t="s">
        <v>1558</v>
      </c>
      <c r="K406" s="1176" t="s">
        <v>676</v>
      </c>
      <c r="L406" s="1178" t="s">
        <v>677</v>
      </c>
      <c r="M406" s="1179">
        <v>50000000</v>
      </c>
      <c r="N406" s="1175" t="s">
        <v>743</v>
      </c>
      <c r="O406" s="1175" t="s">
        <v>1551</v>
      </c>
    </row>
    <row r="407" spans="1:15" s="1159" customFormat="1" ht="75" x14ac:dyDescent="0.25">
      <c r="A407" s="1172">
        <v>2022401</v>
      </c>
      <c r="B407" s="1172">
        <v>7658</v>
      </c>
      <c r="C407" s="1172" t="s">
        <v>681</v>
      </c>
      <c r="D407" s="1190" t="s">
        <v>694</v>
      </c>
      <c r="E407" s="1259" t="s">
        <v>1572</v>
      </c>
      <c r="F407" s="1175" t="s">
        <v>1573</v>
      </c>
      <c r="G407" s="1260" t="s">
        <v>1564</v>
      </c>
      <c r="H407" s="1176" t="s">
        <v>1562</v>
      </c>
      <c r="I407" s="1176">
        <v>6</v>
      </c>
      <c r="J407" s="1195" t="s">
        <v>1558</v>
      </c>
      <c r="K407" s="1176" t="s">
        <v>676</v>
      </c>
      <c r="L407" s="1178" t="s">
        <v>677</v>
      </c>
      <c r="M407" s="1179">
        <v>30000000</v>
      </c>
      <c r="N407" s="1175" t="s">
        <v>743</v>
      </c>
      <c r="O407" s="1175" t="s">
        <v>1551</v>
      </c>
    </row>
    <row r="408" spans="1:15" s="1159" customFormat="1" ht="75" x14ac:dyDescent="0.25">
      <c r="A408" s="1182">
        <v>2022402</v>
      </c>
      <c r="B408" s="1182">
        <v>7658</v>
      </c>
      <c r="C408" s="1182" t="s">
        <v>681</v>
      </c>
      <c r="D408" s="1227" t="s">
        <v>694</v>
      </c>
      <c r="E408" s="1261">
        <v>43232500</v>
      </c>
      <c r="F408" s="1185" t="s">
        <v>1574</v>
      </c>
      <c r="G408" s="1262" t="s">
        <v>1554</v>
      </c>
      <c r="H408" s="1184" t="s">
        <v>1565</v>
      </c>
      <c r="I408" s="1184">
        <v>6</v>
      </c>
      <c r="J408" s="1240" t="s">
        <v>1558</v>
      </c>
      <c r="K408" s="1184" t="s">
        <v>676</v>
      </c>
      <c r="L408" s="1183" t="s">
        <v>677</v>
      </c>
      <c r="M408" s="1186">
        <f>24560000-560000-10000000</f>
        <v>14000000</v>
      </c>
      <c r="N408" s="1185" t="s">
        <v>743</v>
      </c>
      <c r="O408" s="1185" t="s">
        <v>1551</v>
      </c>
    </row>
    <row r="409" spans="1:15" s="1159" customFormat="1" ht="75" x14ac:dyDescent="0.25">
      <c r="A409" s="1172">
        <v>2022403</v>
      </c>
      <c r="B409" s="1172">
        <v>7658</v>
      </c>
      <c r="C409" s="1172" t="s">
        <v>681</v>
      </c>
      <c r="D409" s="1190" t="s">
        <v>694</v>
      </c>
      <c r="E409" s="1258" t="s">
        <v>1572</v>
      </c>
      <c r="F409" s="1263" t="s">
        <v>1575</v>
      </c>
      <c r="G409" s="1176" t="s">
        <v>1554</v>
      </c>
      <c r="H409" s="1176" t="s">
        <v>1565</v>
      </c>
      <c r="I409" s="1176">
        <v>6</v>
      </c>
      <c r="J409" s="1195" t="s">
        <v>1558</v>
      </c>
      <c r="K409" s="1176" t="s">
        <v>676</v>
      </c>
      <c r="L409" s="1178" t="s">
        <v>677</v>
      </c>
      <c r="M409" s="1179">
        <v>20000000</v>
      </c>
      <c r="N409" s="1175" t="s">
        <v>743</v>
      </c>
      <c r="O409" s="1175" t="s">
        <v>1551</v>
      </c>
    </row>
    <row r="410" spans="1:15" s="1159" customFormat="1" ht="75" x14ac:dyDescent="0.25">
      <c r="A410" s="1172">
        <v>2022404</v>
      </c>
      <c r="B410" s="1172">
        <v>7658</v>
      </c>
      <c r="C410" s="1172" t="s">
        <v>681</v>
      </c>
      <c r="D410" s="1190" t="s">
        <v>694</v>
      </c>
      <c r="E410" s="1234">
        <v>80111600</v>
      </c>
      <c r="F410" s="1175" t="s">
        <v>1071</v>
      </c>
      <c r="G410" s="1176" t="s">
        <v>1548</v>
      </c>
      <c r="H410" s="1176" t="s">
        <v>1548</v>
      </c>
      <c r="I410" s="1176">
        <v>7</v>
      </c>
      <c r="J410" s="1176" t="s">
        <v>1576</v>
      </c>
      <c r="K410" s="1176" t="s">
        <v>676</v>
      </c>
      <c r="L410" s="1178" t="s">
        <v>677</v>
      </c>
      <c r="M410" s="1264">
        <v>26950000</v>
      </c>
      <c r="N410" s="1175" t="s">
        <v>743</v>
      </c>
      <c r="O410" s="1175" t="s">
        <v>1551</v>
      </c>
    </row>
    <row r="411" spans="1:15" s="1159" customFormat="1" ht="75" x14ac:dyDescent="0.25">
      <c r="A411" s="1172">
        <v>2022405</v>
      </c>
      <c r="B411" s="1172">
        <v>7658</v>
      </c>
      <c r="C411" s="1172" t="s">
        <v>681</v>
      </c>
      <c r="D411" s="1190" t="s">
        <v>694</v>
      </c>
      <c r="E411" s="1234">
        <v>80111600</v>
      </c>
      <c r="F411" s="1175" t="s">
        <v>1071</v>
      </c>
      <c r="G411" s="1176" t="s">
        <v>1548</v>
      </c>
      <c r="H411" s="1176" t="s">
        <v>1548</v>
      </c>
      <c r="I411" s="1176">
        <v>3</v>
      </c>
      <c r="J411" s="1176" t="s">
        <v>1576</v>
      </c>
      <c r="K411" s="1176" t="s">
        <v>676</v>
      </c>
      <c r="L411" s="1178" t="s">
        <v>677</v>
      </c>
      <c r="M411" s="1264">
        <v>13500000</v>
      </c>
      <c r="N411" s="1175" t="s">
        <v>743</v>
      </c>
      <c r="O411" s="1175" t="s">
        <v>1551</v>
      </c>
    </row>
    <row r="412" spans="1:15" s="1159" customFormat="1" ht="75" x14ac:dyDescent="0.25">
      <c r="A412" s="1172">
        <v>2022406</v>
      </c>
      <c r="B412" s="1172">
        <v>7658</v>
      </c>
      <c r="C412" s="1172" t="s">
        <v>681</v>
      </c>
      <c r="D412" s="1190" t="s">
        <v>694</v>
      </c>
      <c r="E412" s="1234">
        <v>80111600</v>
      </c>
      <c r="F412" s="1175" t="s">
        <v>1072</v>
      </c>
      <c r="G412" s="1176" t="s">
        <v>1548</v>
      </c>
      <c r="H412" s="1176" t="s">
        <v>1548</v>
      </c>
      <c r="I412" s="1176">
        <v>10</v>
      </c>
      <c r="J412" s="1176" t="s">
        <v>1576</v>
      </c>
      <c r="K412" s="1176" t="s">
        <v>676</v>
      </c>
      <c r="L412" s="1178" t="s">
        <v>677</v>
      </c>
      <c r="M412" s="1264">
        <v>82400000</v>
      </c>
      <c r="N412" s="1175" t="s">
        <v>743</v>
      </c>
      <c r="O412" s="1175" t="s">
        <v>1551</v>
      </c>
    </row>
    <row r="413" spans="1:15" s="1159" customFormat="1" ht="75" x14ac:dyDescent="0.25">
      <c r="A413" s="1172">
        <v>2022407</v>
      </c>
      <c r="B413" s="1172">
        <v>7658</v>
      </c>
      <c r="C413" s="1172" t="s">
        <v>681</v>
      </c>
      <c r="D413" s="1190" t="s">
        <v>694</v>
      </c>
      <c r="E413" s="1234">
        <v>80111600</v>
      </c>
      <c r="F413" s="1175" t="s">
        <v>1073</v>
      </c>
      <c r="G413" s="1176" t="s">
        <v>1548</v>
      </c>
      <c r="H413" s="1176" t="s">
        <v>1548</v>
      </c>
      <c r="I413" s="1176">
        <v>6</v>
      </c>
      <c r="J413" s="1176" t="s">
        <v>1576</v>
      </c>
      <c r="K413" s="1176" t="s">
        <v>676</v>
      </c>
      <c r="L413" s="1178" t="s">
        <v>677</v>
      </c>
      <c r="M413" s="1264">
        <v>49440000</v>
      </c>
      <c r="N413" s="1175" t="s">
        <v>743</v>
      </c>
      <c r="O413" s="1175" t="s">
        <v>1551</v>
      </c>
    </row>
    <row r="414" spans="1:15" s="1159" customFormat="1" ht="75" x14ac:dyDescent="0.25">
      <c r="A414" s="1172">
        <v>2022408</v>
      </c>
      <c r="B414" s="1172">
        <v>7658</v>
      </c>
      <c r="C414" s="1172" t="s">
        <v>681</v>
      </c>
      <c r="D414" s="1190" t="s">
        <v>694</v>
      </c>
      <c r="E414" s="1234">
        <v>80111600</v>
      </c>
      <c r="F414" s="1175" t="s">
        <v>1073</v>
      </c>
      <c r="G414" s="1176" t="s">
        <v>1548</v>
      </c>
      <c r="H414" s="1176" t="s">
        <v>1548</v>
      </c>
      <c r="I414" s="1176">
        <v>4</v>
      </c>
      <c r="J414" s="1176" t="s">
        <v>1576</v>
      </c>
      <c r="K414" s="1176" t="s">
        <v>676</v>
      </c>
      <c r="L414" s="1178" t="s">
        <v>677</v>
      </c>
      <c r="M414" s="1264">
        <v>32960000</v>
      </c>
      <c r="N414" s="1175" t="s">
        <v>743</v>
      </c>
      <c r="O414" s="1175" t="s">
        <v>1551</v>
      </c>
    </row>
    <row r="415" spans="1:15" s="1159" customFormat="1" ht="75" x14ac:dyDescent="0.25">
      <c r="A415" s="1172">
        <v>2022409</v>
      </c>
      <c r="B415" s="1172">
        <v>7658</v>
      </c>
      <c r="C415" s="1172" t="s">
        <v>681</v>
      </c>
      <c r="D415" s="1190" t="s">
        <v>694</v>
      </c>
      <c r="E415" s="1234">
        <v>80111601</v>
      </c>
      <c r="F415" s="1175" t="s">
        <v>1074</v>
      </c>
      <c r="G415" s="1176" t="s">
        <v>1548</v>
      </c>
      <c r="H415" s="1176" t="s">
        <v>1548</v>
      </c>
      <c r="I415" s="1176">
        <v>6</v>
      </c>
      <c r="J415" s="1176" t="s">
        <v>1576</v>
      </c>
      <c r="K415" s="1176" t="s">
        <v>676</v>
      </c>
      <c r="L415" s="1178" t="s">
        <v>677</v>
      </c>
      <c r="M415" s="1264">
        <v>42000000</v>
      </c>
      <c r="N415" s="1175" t="s">
        <v>743</v>
      </c>
      <c r="O415" s="1175" t="s">
        <v>1551</v>
      </c>
    </row>
    <row r="416" spans="1:15" s="1159" customFormat="1" ht="75" x14ac:dyDescent="0.25">
      <c r="A416" s="1172">
        <v>2022410</v>
      </c>
      <c r="B416" s="1172">
        <v>7658</v>
      </c>
      <c r="C416" s="1172" t="s">
        <v>681</v>
      </c>
      <c r="D416" s="1190" t="s">
        <v>694</v>
      </c>
      <c r="E416" s="1234">
        <v>80111601</v>
      </c>
      <c r="F416" s="1175" t="s">
        <v>1074</v>
      </c>
      <c r="G416" s="1176" t="s">
        <v>1548</v>
      </c>
      <c r="H416" s="1176" t="s">
        <v>1548</v>
      </c>
      <c r="I416" s="1176">
        <v>4</v>
      </c>
      <c r="J416" s="1176" t="s">
        <v>1576</v>
      </c>
      <c r="K416" s="1176" t="s">
        <v>676</v>
      </c>
      <c r="L416" s="1178" t="s">
        <v>677</v>
      </c>
      <c r="M416" s="1264">
        <v>28000000</v>
      </c>
      <c r="N416" s="1175" t="s">
        <v>743</v>
      </c>
      <c r="O416" s="1175" t="s">
        <v>1551</v>
      </c>
    </row>
    <row r="417" spans="1:15" s="1159" customFormat="1" ht="75" x14ac:dyDescent="0.25">
      <c r="A417" s="1172">
        <v>2022411</v>
      </c>
      <c r="B417" s="1172">
        <v>7658</v>
      </c>
      <c r="C417" s="1172" t="s">
        <v>681</v>
      </c>
      <c r="D417" s="1190" t="s">
        <v>694</v>
      </c>
      <c r="E417" s="1234">
        <v>80111601</v>
      </c>
      <c r="F417" s="1175" t="s">
        <v>1076</v>
      </c>
      <c r="G417" s="1176" t="s">
        <v>1548</v>
      </c>
      <c r="H417" s="1176" t="s">
        <v>1548</v>
      </c>
      <c r="I417" s="1176">
        <v>10</v>
      </c>
      <c r="J417" s="1176" t="s">
        <v>1576</v>
      </c>
      <c r="K417" s="1176" t="s">
        <v>676</v>
      </c>
      <c r="L417" s="1178" t="s">
        <v>677</v>
      </c>
      <c r="M417" s="1264">
        <v>60000000</v>
      </c>
      <c r="N417" s="1175" t="s">
        <v>743</v>
      </c>
      <c r="O417" s="1175" t="s">
        <v>1551</v>
      </c>
    </row>
    <row r="418" spans="1:15" s="1159" customFormat="1" ht="75" x14ac:dyDescent="0.25">
      <c r="A418" s="1172">
        <v>2022412</v>
      </c>
      <c r="B418" s="1172">
        <v>7658</v>
      </c>
      <c r="C418" s="1172" t="s">
        <v>681</v>
      </c>
      <c r="D418" s="1190" t="s">
        <v>694</v>
      </c>
      <c r="E418" s="1234">
        <v>80111600</v>
      </c>
      <c r="F418" s="1175" t="s">
        <v>1077</v>
      </c>
      <c r="G418" s="1176" t="s">
        <v>1548</v>
      </c>
      <c r="H418" s="1176" t="s">
        <v>1548</v>
      </c>
      <c r="I418" s="1176">
        <v>10</v>
      </c>
      <c r="J418" s="1176" t="s">
        <v>1576</v>
      </c>
      <c r="K418" s="1176" t="s">
        <v>676</v>
      </c>
      <c r="L418" s="1178" t="s">
        <v>677</v>
      </c>
      <c r="M418" s="1264">
        <v>42000000</v>
      </c>
      <c r="N418" s="1175" t="s">
        <v>743</v>
      </c>
      <c r="O418" s="1175" t="s">
        <v>1551</v>
      </c>
    </row>
    <row r="419" spans="1:15" s="1159" customFormat="1" ht="75" x14ac:dyDescent="0.25">
      <c r="A419" s="1172">
        <v>2022413</v>
      </c>
      <c r="B419" s="1172">
        <v>7658</v>
      </c>
      <c r="C419" s="1172" t="s">
        <v>681</v>
      </c>
      <c r="D419" s="1190" t="s">
        <v>694</v>
      </c>
      <c r="E419" s="1234">
        <v>80111600</v>
      </c>
      <c r="F419" s="1175" t="s">
        <v>1078</v>
      </c>
      <c r="G419" s="1176" t="s">
        <v>1548</v>
      </c>
      <c r="H419" s="1176" t="s">
        <v>1548</v>
      </c>
      <c r="I419" s="1176">
        <v>10</v>
      </c>
      <c r="J419" s="1176" t="s">
        <v>1576</v>
      </c>
      <c r="K419" s="1176" t="s">
        <v>676</v>
      </c>
      <c r="L419" s="1178" t="s">
        <v>677</v>
      </c>
      <c r="M419" s="1264">
        <v>82400000</v>
      </c>
      <c r="N419" s="1175" t="s">
        <v>743</v>
      </c>
      <c r="O419" s="1175" t="s">
        <v>1551</v>
      </c>
    </row>
    <row r="420" spans="1:15" s="1159" customFormat="1" ht="75" x14ac:dyDescent="0.25">
      <c r="A420" s="1172">
        <v>2022414</v>
      </c>
      <c r="B420" s="1172">
        <v>7658</v>
      </c>
      <c r="C420" s="1172" t="s">
        <v>681</v>
      </c>
      <c r="D420" s="1190" t="s">
        <v>694</v>
      </c>
      <c r="E420" s="1234">
        <v>80111600</v>
      </c>
      <c r="F420" s="1175" t="s">
        <v>1079</v>
      </c>
      <c r="G420" s="1176" t="s">
        <v>1548</v>
      </c>
      <c r="H420" s="1176" t="s">
        <v>1548</v>
      </c>
      <c r="I420" s="1176">
        <v>10</v>
      </c>
      <c r="J420" s="1176" t="s">
        <v>1576</v>
      </c>
      <c r="K420" s="1176" t="s">
        <v>676</v>
      </c>
      <c r="L420" s="1178" t="s">
        <v>677</v>
      </c>
      <c r="M420" s="1264">
        <v>42000000</v>
      </c>
      <c r="N420" s="1175" t="s">
        <v>743</v>
      </c>
      <c r="O420" s="1175" t="s">
        <v>1551</v>
      </c>
    </row>
    <row r="421" spans="1:15" s="1159" customFormat="1" ht="75" x14ac:dyDescent="0.25">
      <c r="A421" s="1172">
        <v>2022415</v>
      </c>
      <c r="B421" s="1172">
        <v>7658</v>
      </c>
      <c r="C421" s="1172" t="s">
        <v>681</v>
      </c>
      <c r="D421" s="1190" t="s">
        <v>694</v>
      </c>
      <c r="E421" s="1234">
        <v>80111600</v>
      </c>
      <c r="F421" s="1175" t="s">
        <v>1080</v>
      </c>
      <c r="G421" s="1176" t="s">
        <v>1548</v>
      </c>
      <c r="H421" s="1176" t="s">
        <v>1548</v>
      </c>
      <c r="I421" s="1176">
        <v>10</v>
      </c>
      <c r="J421" s="1176" t="s">
        <v>1576</v>
      </c>
      <c r="K421" s="1176" t="s">
        <v>676</v>
      </c>
      <c r="L421" s="1178" t="s">
        <v>677</v>
      </c>
      <c r="M421" s="1264">
        <v>50000000</v>
      </c>
      <c r="N421" s="1175" t="s">
        <v>743</v>
      </c>
      <c r="O421" s="1175" t="s">
        <v>1551</v>
      </c>
    </row>
    <row r="422" spans="1:15" s="1159" customFormat="1" ht="75" x14ac:dyDescent="0.25">
      <c r="A422" s="1172">
        <v>2022416</v>
      </c>
      <c r="B422" s="1172">
        <v>7658</v>
      </c>
      <c r="C422" s="1172" t="s">
        <v>681</v>
      </c>
      <c r="D422" s="1190" t="s">
        <v>694</v>
      </c>
      <c r="E422" s="1234">
        <v>80111600</v>
      </c>
      <c r="F422" s="1175" t="s">
        <v>1081</v>
      </c>
      <c r="G422" s="1176" t="s">
        <v>1548</v>
      </c>
      <c r="H422" s="1176" t="s">
        <v>1548</v>
      </c>
      <c r="I422" s="1176">
        <v>6</v>
      </c>
      <c r="J422" s="1176" t="s">
        <v>1576</v>
      </c>
      <c r="K422" s="1176" t="s">
        <v>676</v>
      </c>
      <c r="L422" s="1178" t="s">
        <v>677</v>
      </c>
      <c r="M422" s="1264">
        <v>20100000</v>
      </c>
      <c r="N422" s="1175" t="s">
        <v>743</v>
      </c>
      <c r="O422" s="1175" t="s">
        <v>1551</v>
      </c>
    </row>
    <row r="423" spans="1:15" s="1159" customFormat="1" ht="75" x14ac:dyDescent="0.25">
      <c r="A423" s="1172">
        <v>2022417</v>
      </c>
      <c r="B423" s="1172">
        <v>7658</v>
      </c>
      <c r="C423" s="1172" t="s">
        <v>681</v>
      </c>
      <c r="D423" s="1190" t="s">
        <v>694</v>
      </c>
      <c r="E423" s="1234">
        <v>80111600</v>
      </c>
      <c r="F423" s="1175" t="s">
        <v>1082</v>
      </c>
      <c r="G423" s="1176" t="s">
        <v>1548</v>
      </c>
      <c r="H423" s="1176" t="s">
        <v>1548</v>
      </c>
      <c r="I423" s="1176">
        <v>4</v>
      </c>
      <c r="J423" s="1176" t="s">
        <v>1576</v>
      </c>
      <c r="K423" s="1176" t="s">
        <v>676</v>
      </c>
      <c r="L423" s="1178" t="s">
        <v>677</v>
      </c>
      <c r="M423" s="1264">
        <v>20600000</v>
      </c>
      <c r="N423" s="1175" t="s">
        <v>743</v>
      </c>
      <c r="O423" s="1175" t="s">
        <v>1551</v>
      </c>
    </row>
    <row r="424" spans="1:15" s="1159" customFormat="1" ht="75" x14ac:dyDescent="0.25">
      <c r="A424" s="1172">
        <v>2022418</v>
      </c>
      <c r="B424" s="1172">
        <v>7658</v>
      </c>
      <c r="C424" s="1172" t="s">
        <v>681</v>
      </c>
      <c r="D424" s="1190" t="s">
        <v>694</v>
      </c>
      <c r="E424" s="1234">
        <v>80111600</v>
      </c>
      <c r="F424" s="1175" t="s">
        <v>1082</v>
      </c>
      <c r="G424" s="1176" t="s">
        <v>1548</v>
      </c>
      <c r="H424" s="1176" t="s">
        <v>1548</v>
      </c>
      <c r="I424" s="1176">
        <v>6</v>
      </c>
      <c r="J424" s="1176" t="s">
        <v>1576</v>
      </c>
      <c r="K424" s="1176" t="s">
        <v>676</v>
      </c>
      <c r="L424" s="1178" t="s">
        <v>677</v>
      </c>
      <c r="M424" s="1264">
        <v>30900000</v>
      </c>
      <c r="N424" s="1175" t="s">
        <v>743</v>
      </c>
      <c r="O424" s="1175" t="s">
        <v>1551</v>
      </c>
    </row>
    <row r="425" spans="1:15" s="1159" customFormat="1" ht="75" x14ac:dyDescent="0.25">
      <c r="A425" s="1172">
        <v>2022419</v>
      </c>
      <c r="B425" s="1172">
        <v>7658</v>
      </c>
      <c r="C425" s="1172" t="s">
        <v>681</v>
      </c>
      <c r="D425" s="1190" t="s">
        <v>694</v>
      </c>
      <c r="E425" s="1234">
        <v>80111600</v>
      </c>
      <c r="F425" s="1175" t="s">
        <v>1084</v>
      </c>
      <c r="G425" s="1176" t="s">
        <v>1548</v>
      </c>
      <c r="H425" s="1176" t="s">
        <v>1548</v>
      </c>
      <c r="I425" s="1176">
        <v>10</v>
      </c>
      <c r="J425" s="1176" t="s">
        <v>1576</v>
      </c>
      <c r="K425" s="1176" t="s">
        <v>676</v>
      </c>
      <c r="L425" s="1178" t="s">
        <v>677</v>
      </c>
      <c r="M425" s="1264">
        <v>28000000</v>
      </c>
      <c r="N425" s="1175" t="s">
        <v>743</v>
      </c>
      <c r="O425" s="1175" t="s">
        <v>1551</v>
      </c>
    </row>
    <row r="426" spans="1:15" s="1159" customFormat="1" ht="75" x14ac:dyDescent="0.25">
      <c r="A426" s="1172">
        <v>2022420</v>
      </c>
      <c r="B426" s="1172">
        <v>7658</v>
      </c>
      <c r="C426" s="1172" t="s">
        <v>681</v>
      </c>
      <c r="D426" s="1190" t="s">
        <v>694</v>
      </c>
      <c r="E426" s="1234">
        <v>80111600</v>
      </c>
      <c r="F426" s="1175" t="s">
        <v>1085</v>
      </c>
      <c r="G426" s="1176" t="s">
        <v>1548</v>
      </c>
      <c r="H426" s="1176" t="s">
        <v>1548</v>
      </c>
      <c r="I426" s="1176">
        <v>10</v>
      </c>
      <c r="J426" s="1176" t="s">
        <v>1576</v>
      </c>
      <c r="K426" s="1176" t="s">
        <v>676</v>
      </c>
      <c r="L426" s="1178" t="s">
        <v>677</v>
      </c>
      <c r="M426" s="1264">
        <v>28500000</v>
      </c>
      <c r="N426" s="1175" t="s">
        <v>743</v>
      </c>
      <c r="O426" s="1175" t="s">
        <v>1551</v>
      </c>
    </row>
    <row r="427" spans="1:15" s="1159" customFormat="1" ht="75" x14ac:dyDescent="0.25">
      <c r="A427" s="1172">
        <v>2022421</v>
      </c>
      <c r="B427" s="1172">
        <v>7658</v>
      </c>
      <c r="C427" s="1172" t="s">
        <v>681</v>
      </c>
      <c r="D427" s="1190" t="s">
        <v>694</v>
      </c>
      <c r="E427" s="1234">
        <v>80111600</v>
      </c>
      <c r="F427" s="1175" t="s">
        <v>1086</v>
      </c>
      <c r="G427" s="1176" t="s">
        <v>1548</v>
      </c>
      <c r="H427" s="1176" t="s">
        <v>1548</v>
      </c>
      <c r="I427" s="1176">
        <v>10</v>
      </c>
      <c r="J427" s="1176" t="s">
        <v>1576</v>
      </c>
      <c r="K427" s="1176" t="s">
        <v>676</v>
      </c>
      <c r="L427" s="1178" t="s">
        <v>677</v>
      </c>
      <c r="M427" s="1264">
        <v>45000000</v>
      </c>
      <c r="N427" s="1175" t="s">
        <v>743</v>
      </c>
      <c r="O427" s="1175" t="s">
        <v>1551</v>
      </c>
    </row>
    <row r="428" spans="1:15" s="1159" customFormat="1" ht="75" x14ac:dyDescent="0.25">
      <c r="A428" s="1172">
        <v>2022422</v>
      </c>
      <c r="B428" s="1172">
        <v>7658</v>
      </c>
      <c r="C428" s="1172" t="s">
        <v>681</v>
      </c>
      <c r="D428" s="1190" t="s">
        <v>694</v>
      </c>
      <c r="E428" s="1234">
        <v>80111600</v>
      </c>
      <c r="F428" s="1175" t="s">
        <v>1087</v>
      </c>
      <c r="G428" s="1176" t="s">
        <v>1548</v>
      </c>
      <c r="H428" s="1176" t="s">
        <v>1548</v>
      </c>
      <c r="I428" s="1176">
        <v>10</v>
      </c>
      <c r="J428" s="1176" t="s">
        <v>1576</v>
      </c>
      <c r="K428" s="1176" t="s">
        <v>676</v>
      </c>
      <c r="L428" s="1178" t="s">
        <v>677</v>
      </c>
      <c r="M428" s="1264">
        <v>33000000</v>
      </c>
      <c r="N428" s="1175" t="s">
        <v>743</v>
      </c>
      <c r="O428" s="1175" t="s">
        <v>1551</v>
      </c>
    </row>
    <row r="429" spans="1:15" s="1159" customFormat="1" ht="75" x14ac:dyDescent="0.25">
      <c r="A429" s="1172">
        <v>2022423</v>
      </c>
      <c r="B429" s="1172">
        <v>7658</v>
      </c>
      <c r="C429" s="1172" t="s">
        <v>681</v>
      </c>
      <c r="D429" s="1190" t="s">
        <v>694</v>
      </c>
      <c r="E429" s="1234">
        <v>80111600</v>
      </c>
      <c r="F429" s="1175" t="s">
        <v>1087</v>
      </c>
      <c r="G429" s="1176" t="s">
        <v>1548</v>
      </c>
      <c r="H429" s="1176" t="s">
        <v>1548</v>
      </c>
      <c r="I429" s="1176">
        <v>10</v>
      </c>
      <c r="J429" s="1176" t="s">
        <v>1576</v>
      </c>
      <c r="K429" s="1176" t="s">
        <v>676</v>
      </c>
      <c r="L429" s="1178" t="s">
        <v>677</v>
      </c>
      <c r="M429" s="1264">
        <v>24500000</v>
      </c>
      <c r="N429" s="1175" t="s">
        <v>743</v>
      </c>
      <c r="O429" s="1175" t="s">
        <v>1551</v>
      </c>
    </row>
    <row r="430" spans="1:15" s="1159" customFormat="1" ht="75" x14ac:dyDescent="0.25">
      <c r="A430" s="1172">
        <v>2022424</v>
      </c>
      <c r="B430" s="1172">
        <v>7658</v>
      </c>
      <c r="C430" s="1172" t="s">
        <v>681</v>
      </c>
      <c r="D430" s="1190" t="s">
        <v>694</v>
      </c>
      <c r="E430" s="1234">
        <v>80111600</v>
      </c>
      <c r="F430" s="1175" t="s">
        <v>1087</v>
      </c>
      <c r="G430" s="1176" t="s">
        <v>1548</v>
      </c>
      <c r="H430" s="1176" t="s">
        <v>1548</v>
      </c>
      <c r="I430" s="1176">
        <v>10</v>
      </c>
      <c r="J430" s="1176" t="s">
        <v>1576</v>
      </c>
      <c r="K430" s="1176" t="s">
        <v>676</v>
      </c>
      <c r="L430" s="1178" t="s">
        <v>677</v>
      </c>
      <c r="M430" s="1264">
        <v>33000000</v>
      </c>
      <c r="N430" s="1175" t="s">
        <v>743</v>
      </c>
      <c r="O430" s="1175" t="s">
        <v>1551</v>
      </c>
    </row>
    <row r="431" spans="1:15" s="1159" customFormat="1" ht="75" x14ac:dyDescent="0.25">
      <c r="A431" s="1172">
        <v>2022425</v>
      </c>
      <c r="B431" s="1172">
        <v>7658</v>
      </c>
      <c r="C431" s="1172" t="s">
        <v>681</v>
      </c>
      <c r="D431" s="1190" t="s">
        <v>694</v>
      </c>
      <c r="E431" s="1234">
        <v>80111600</v>
      </c>
      <c r="F431" s="1175" t="s">
        <v>1087</v>
      </c>
      <c r="G431" s="1176" t="s">
        <v>1548</v>
      </c>
      <c r="H431" s="1176" t="s">
        <v>1548</v>
      </c>
      <c r="I431" s="1176">
        <v>10</v>
      </c>
      <c r="J431" s="1176" t="s">
        <v>1576</v>
      </c>
      <c r="K431" s="1176" t="s">
        <v>676</v>
      </c>
      <c r="L431" s="1178" t="s">
        <v>677</v>
      </c>
      <c r="M431" s="1264">
        <v>27500000</v>
      </c>
      <c r="N431" s="1175" t="s">
        <v>743</v>
      </c>
      <c r="O431" s="1175" t="s">
        <v>1551</v>
      </c>
    </row>
    <row r="432" spans="1:15" s="1159" customFormat="1" ht="75" x14ac:dyDescent="0.25">
      <c r="A432" s="1172">
        <v>2022426</v>
      </c>
      <c r="B432" s="1172">
        <v>7658</v>
      </c>
      <c r="C432" s="1172" t="s">
        <v>681</v>
      </c>
      <c r="D432" s="1190" t="s">
        <v>694</v>
      </c>
      <c r="E432" s="1234">
        <v>80111600</v>
      </c>
      <c r="F432" s="1175" t="s">
        <v>1087</v>
      </c>
      <c r="G432" s="1176" t="s">
        <v>1548</v>
      </c>
      <c r="H432" s="1176" t="s">
        <v>1548</v>
      </c>
      <c r="I432" s="1176">
        <v>10</v>
      </c>
      <c r="J432" s="1176" t="s">
        <v>1576</v>
      </c>
      <c r="K432" s="1176" t="s">
        <v>676</v>
      </c>
      <c r="L432" s="1178" t="s">
        <v>677</v>
      </c>
      <c r="M432" s="1264">
        <v>33000000</v>
      </c>
      <c r="N432" s="1175" t="s">
        <v>743</v>
      </c>
      <c r="O432" s="1175" t="s">
        <v>1551</v>
      </c>
    </row>
    <row r="433" spans="1:15" s="1159" customFormat="1" ht="75" x14ac:dyDescent="0.25">
      <c r="A433" s="1172">
        <v>2022427</v>
      </c>
      <c r="B433" s="1172">
        <v>7658</v>
      </c>
      <c r="C433" s="1172" t="s">
        <v>681</v>
      </c>
      <c r="D433" s="1190" t="s">
        <v>694</v>
      </c>
      <c r="E433" s="1234">
        <v>80111600</v>
      </c>
      <c r="F433" s="1175" t="s">
        <v>1087</v>
      </c>
      <c r="G433" s="1176" t="s">
        <v>1548</v>
      </c>
      <c r="H433" s="1176" t="s">
        <v>1548</v>
      </c>
      <c r="I433" s="1176">
        <v>10</v>
      </c>
      <c r="J433" s="1176" t="s">
        <v>1576</v>
      </c>
      <c r="K433" s="1176" t="s">
        <v>676</v>
      </c>
      <c r="L433" s="1178" t="s">
        <v>677</v>
      </c>
      <c r="M433" s="1264">
        <v>33000000</v>
      </c>
      <c r="N433" s="1175" t="s">
        <v>743</v>
      </c>
      <c r="O433" s="1175" t="s">
        <v>1551</v>
      </c>
    </row>
    <row r="434" spans="1:15" s="1159" customFormat="1" ht="75" x14ac:dyDescent="0.25">
      <c r="A434" s="1172">
        <v>2022428</v>
      </c>
      <c r="B434" s="1172">
        <v>7658</v>
      </c>
      <c r="C434" s="1172" t="s">
        <v>681</v>
      </c>
      <c r="D434" s="1190" t="s">
        <v>694</v>
      </c>
      <c r="E434" s="1234">
        <v>80111600</v>
      </c>
      <c r="F434" s="1175" t="s">
        <v>1084</v>
      </c>
      <c r="G434" s="1176" t="s">
        <v>1548</v>
      </c>
      <c r="H434" s="1176" t="s">
        <v>1548</v>
      </c>
      <c r="I434" s="1176">
        <v>10</v>
      </c>
      <c r="J434" s="1176" t="s">
        <v>1576</v>
      </c>
      <c r="K434" s="1176" t="s">
        <v>676</v>
      </c>
      <c r="L434" s="1178" t="s">
        <v>677</v>
      </c>
      <c r="M434" s="1264">
        <v>28000000</v>
      </c>
      <c r="N434" s="1175" t="s">
        <v>743</v>
      </c>
      <c r="O434" s="1175" t="s">
        <v>1551</v>
      </c>
    </row>
    <row r="435" spans="1:15" s="1159" customFormat="1" ht="75" x14ac:dyDescent="0.25">
      <c r="A435" s="1172">
        <v>2022429</v>
      </c>
      <c r="B435" s="1172">
        <v>7658</v>
      </c>
      <c r="C435" s="1172" t="s">
        <v>681</v>
      </c>
      <c r="D435" s="1190" t="s">
        <v>694</v>
      </c>
      <c r="E435" s="1234">
        <v>80111600</v>
      </c>
      <c r="F435" s="1175" t="s">
        <v>1084</v>
      </c>
      <c r="G435" s="1176" t="s">
        <v>1548</v>
      </c>
      <c r="H435" s="1176" t="s">
        <v>1548</v>
      </c>
      <c r="I435" s="1176">
        <v>10</v>
      </c>
      <c r="J435" s="1176" t="s">
        <v>1576</v>
      </c>
      <c r="K435" s="1176" t="s">
        <v>676</v>
      </c>
      <c r="L435" s="1178" t="s">
        <v>677</v>
      </c>
      <c r="M435" s="1264">
        <v>28000000</v>
      </c>
      <c r="N435" s="1175" t="s">
        <v>743</v>
      </c>
      <c r="O435" s="1175" t="s">
        <v>1551</v>
      </c>
    </row>
    <row r="436" spans="1:15" s="1159" customFormat="1" ht="75" x14ac:dyDescent="0.25">
      <c r="A436" s="1172">
        <v>2022430</v>
      </c>
      <c r="B436" s="1172">
        <v>7658</v>
      </c>
      <c r="C436" s="1172" t="s">
        <v>681</v>
      </c>
      <c r="D436" s="1190" t="s">
        <v>694</v>
      </c>
      <c r="E436" s="1234">
        <v>80111600</v>
      </c>
      <c r="F436" s="1175" t="s">
        <v>1088</v>
      </c>
      <c r="G436" s="1176" t="s">
        <v>1548</v>
      </c>
      <c r="H436" s="1176" t="s">
        <v>1548</v>
      </c>
      <c r="I436" s="1176">
        <v>10</v>
      </c>
      <c r="J436" s="1176" t="s">
        <v>1576</v>
      </c>
      <c r="K436" s="1176" t="s">
        <v>676</v>
      </c>
      <c r="L436" s="1178" t="s">
        <v>677</v>
      </c>
      <c r="M436" s="1264">
        <v>45000000</v>
      </c>
      <c r="N436" s="1175" t="s">
        <v>743</v>
      </c>
      <c r="O436" s="1175" t="s">
        <v>1551</v>
      </c>
    </row>
    <row r="437" spans="1:15" s="1159" customFormat="1" ht="75" x14ac:dyDescent="0.25">
      <c r="A437" s="1172">
        <v>2022431</v>
      </c>
      <c r="B437" s="1172">
        <v>7658</v>
      </c>
      <c r="C437" s="1172" t="s">
        <v>681</v>
      </c>
      <c r="D437" s="1190" t="s">
        <v>694</v>
      </c>
      <c r="E437" s="1234">
        <v>80111600</v>
      </c>
      <c r="F437" s="1175" t="s">
        <v>1089</v>
      </c>
      <c r="G437" s="1176" t="s">
        <v>1548</v>
      </c>
      <c r="H437" s="1176" t="s">
        <v>1548</v>
      </c>
      <c r="I437" s="1176">
        <v>10</v>
      </c>
      <c r="J437" s="1176" t="s">
        <v>1576</v>
      </c>
      <c r="K437" s="1176" t="s">
        <v>676</v>
      </c>
      <c r="L437" s="1178" t="s">
        <v>677</v>
      </c>
      <c r="M437" s="1264">
        <v>24500000</v>
      </c>
      <c r="N437" s="1175" t="s">
        <v>743</v>
      </c>
      <c r="O437" s="1175" t="s">
        <v>1551</v>
      </c>
    </row>
    <row r="438" spans="1:15" s="1159" customFormat="1" ht="75" x14ac:dyDescent="0.25">
      <c r="A438" s="1172">
        <v>2022432</v>
      </c>
      <c r="B438" s="1172">
        <v>7658</v>
      </c>
      <c r="C438" s="1172" t="s">
        <v>681</v>
      </c>
      <c r="D438" s="1190" t="s">
        <v>694</v>
      </c>
      <c r="E438" s="1234">
        <v>80111600</v>
      </c>
      <c r="F438" s="1175" t="s">
        <v>1089</v>
      </c>
      <c r="G438" s="1176" t="s">
        <v>1548</v>
      </c>
      <c r="H438" s="1176" t="s">
        <v>1548</v>
      </c>
      <c r="I438" s="1176">
        <v>10</v>
      </c>
      <c r="J438" s="1176" t="s">
        <v>1576</v>
      </c>
      <c r="K438" s="1176" t="s">
        <v>676</v>
      </c>
      <c r="L438" s="1178" t="s">
        <v>677</v>
      </c>
      <c r="M438" s="1264">
        <v>33000000</v>
      </c>
      <c r="N438" s="1175" t="s">
        <v>743</v>
      </c>
      <c r="O438" s="1175" t="s">
        <v>1551</v>
      </c>
    </row>
    <row r="439" spans="1:15" s="1159" customFormat="1" ht="75" x14ac:dyDescent="0.25">
      <c r="A439" s="1172">
        <v>2022433</v>
      </c>
      <c r="B439" s="1172">
        <v>7658</v>
      </c>
      <c r="C439" s="1172" t="s">
        <v>681</v>
      </c>
      <c r="D439" s="1190" t="s">
        <v>694</v>
      </c>
      <c r="E439" s="1234">
        <v>80111600</v>
      </c>
      <c r="F439" s="1175" t="s">
        <v>1089</v>
      </c>
      <c r="G439" s="1176" t="s">
        <v>1548</v>
      </c>
      <c r="H439" s="1176" t="s">
        <v>1548</v>
      </c>
      <c r="I439" s="1176">
        <v>10</v>
      </c>
      <c r="J439" s="1176" t="s">
        <v>1576</v>
      </c>
      <c r="K439" s="1176" t="s">
        <v>676</v>
      </c>
      <c r="L439" s="1178" t="s">
        <v>677</v>
      </c>
      <c r="M439" s="1264">
        <v>32000000</v>
      </c>
      <c r="N439" s="1175" t="s">
        <v>743</v>
      </c>
      <c r="O439" s="1175" t="s">
        <v>1551</v>
      </c>
    </row>
    <row r="440" spans="1:15" s="1159" customFormat="1" ht="75" x14ac:dyDescent="0.25">
      <c r="A440" s="1172">
        <v>2022434</v>
      </c>
      <c r="B440" s="1172">
        <v>7658</v>
      </c>
      <c r="C440" s="1172" t="s">
        <v>681</v>
      </c>
      <c r="D440" s="1190" t="s">
        <v>694</v>
      </c>
      <c r="E440" s="1234">
        <v>80111600</v>
      </c>
      <c r="F440" s="1175" t="s">
        <v>1089</v>
      </c>
      <c r="G440" s="1176" t="s">
        <v>1548</v>
      </c>
      <c r="H440" s="1176" t="s">
        <v>1548</v>
      </c>
      <c r="I440" s="1176">
        <v>10</v>
      </c>
      <c r="J440" s="1176" t="s">
        <v>1576</v>
      </c>
      <c r="K440" s="1176" t="s">
        <v>676</v>
      </c>
      <c r="L440" s="1178" t="s">
        <v>677</v>
      </c>
      <c r="M440" s="1264">
        <v>24500000</v>
      </c>
      <c r="N440" s="1175" t="s">
        <v>743</v>
      </c>
      <c r="O440" s="1175" t="s">
        <v>1551</v>
      </c>
    </row>
    <row r="441" spans="1:15" s="1159" customFormat="1" ht="75" x14ac:dyDescent="0.25">
      <c r="A441" s="1172">
        <v>2022435</v>
      </c>
      <c r="B441" s="1172">
        <v>7658</v>
      </c>
      <c r="C441" s="1172" t="s">
        <v>681</v>
      </c>
      <c r="D441" s="1190" t="s">
        <v>694</v>
      </c>
      <c r="E441" s="1234">
        <v>80111600</v>
      </c>
      <c r="F441" s="1175" t="s">
        <v>1089</v>
      </c>
      <c r="G441" s="1176" t="s">
        <v>1548</v>
      </c>
      <c r="H441" s="1176" t="s">
        <v>1548</v>
      </c>
      <c r="I441" s="1176">
        <v>10</v>
      </c>
      <c r="J441" s="1176" t="s">
        <v>1576</v>
      </c>
      <c r="K441" s="1176" t="s">
        <v>676</v>
      </c>
      <c r="L441" s="1178" t="s">
        <v>677</v>
      </c>
      <c r="M441" s="1264">
        <v>28500000</v>
      </c>
      <c r="N441" s="1175" t="s">
        <v>743</v>
      </c>
      <c r="O441" s="1175" t="s">
        <v>1551</v>
      </c>
    </row>
    <row r="442" spans="1:15" s="1159" customFormat="1" ht="75" x14ac:dyDescent="0.25">
      <c r="A442" s="1172">
        <v>2022436</v>
      </c>
      <c r="B442" s="1172">
        <v>7658</v>
      </c>
      <c r="C442" s="1172" t="s">
        <v>681</v>
      </c>
      <c r="D442" s="1190" t="s">
        <v>694</v>
      </c>
      <c r="E442" s="1234">
        <v>80111600</v>
      </c>
      <c r="F442" s="1175" t="s">
        <v>1089</v>
      </c>
      <c r="G442" s="1176" t="s">
        <v>1548</v>
      </c>
      <c r="H442" s="1176" t="s">
        <v>1548</v>
      </c>
      <c r="I442" s="1176">
        <v>10</v>
      </c>
      <c r="J442" s="1176" t="s">
        <v>1576</v>
      </c>
      <c r="K442" s="1176" t="s">
        <v>676</v>
      </c>
      <c r="L442" s="1178" t="s">
        <v>677</v>
      </c>
      <c r="M442" s="1264">
        <v>28500000</v>
      </c>
      <c r="N442" s="1175" t="s">
        <v>743</v>
      </c>
      <c r="O442" s="1175" t="s">
        <v>1551</v>
      </c>
    </row>
    <row r="443" spans="1:15" s="1159" customFormat="1" ht="75" x14ac:dyDescent="0.25">
      <c r="A443" s="1172">
        <v>2022437</v>
      </c>
      <c r="B443" s="1172">
        <v>7658</v>
      </c>
      <c r="C443" s="1172" t="s">
        <v>681</v>
      </c>
      <c r="D443" s="1190" t="s">
        <v>694</v>
      </c>
      <c r="E443" s="1234">
        <v>80111600</v>
      </c>
      <c r="F443" s="1175" t="s">
        <v>1089</v>
      </c>
      <c r="G443" s="1176" t="s">
        <v>1548</v>
      </c>
      <c r="H443" s="1176" t="s">
        <v>1548</v>
      </c>
      <c r="I443" s="1176">
        <v>10</v>
      </c>
      <c r="J443" s="1176" t="s">
        <v>1576</v>
      </c>
      <c r="K443" s="1176" t="s">
        <v>676</v>
      </c>
      <c r="L443" s="1178" t="s">
        <v>677</v>
      </c>
      <c r="M443" s="1264">
        <v>24500000</v>
      </c>
      <c r="N443" s="1175" t="s">
        <v>743</v>
      </c>
      <c r="O443" s="1175" t="s">
        <v>1551</v>
      </c>
    </row>
    <row r="444" spans="1:15" s="1159" customFormat="1" ht="75" x14ac:dyDescent="0.25">
      <c r="A444" s="1172">
        <v>2022438</v>
      </c>
      <c r="B444" s="1172">
        <v>7658</v>
      </c>
      <c r="C444" s="1172" t="s">
        <v>681</v>
      </c>
      <c r="D444" s="1190" t="s">
        <v>694</v>
      </c>
      <c r="E444" s="1234">
        <v>80111600</v>
      </c>
      <c r="F444" s="1175" t="s">
        <v>1089</v>
      </c>
      <c r="G444" s="1176" t="s">
        <v>1548</v>
      </c>
      <c r="H444" s="1176" t="s">
        <v>1548</v>
      </c>
      <c r="I444" s="1176">
        <v>10</v>
      </c>
      <c r="J444" s="1176" t="s">
        <v>1576</v>
      </c>
      <c r="K444" s="1176" t="s">
        <v>676</v>
      </c>
      <c r="L444" s="1178" t="s">
        <v>677</v>
      </c>
      <c r="M444" s="1264">
        <v>24500000</v>
      </c>
      <c r="N444" s="1175" t="s">
        <v>743</v>
      </c>
      <c r="O444" s="1175" t="s">
        <v>1551</v>
      </c>
    </row>
    <row r="445" spans="1:15" s="1159" customFormat="1" ht="75" x14ac:dyDescent="0.25">
      <c r="A445" s="1172">
        <v>2022439</v>
      </c>
      <c r="B445" s="1172">
        <v>7658</v>
      </c>
      <c r="C445" s="1172" t="s">
        <v>681</v>
      </c>
      <c r="D445" s="1190" t="s">
        <v>694</v>
      </c>
      <c r="E445" s="1234">
        <v>80111600</v>
      </c>
      <c r="F445" s="1175" t="s">
        <v>1089</v>
      </c>
      <c r="G445" s="1176" t="s">
        <v>1548</v>
      </c>
      <c r="H445" s="1176" t="s">
        <v>1548</v>
      </c>
      <c r="I445" s="1176">
        <v>10</v>
      </c>
      <c r="J445" s="1176" t="s">
        <v>1576</v>
      </c>
      <c r="K445" s="1176" t="s">
        <v>676</v>
      </c>
      <c r="L445" s="1178" t="s">
        <v>677</v>
      </c>
      <c r="M445" s="1264">
        <v>18000000</v>
      </c>
      <c r="N445" s="1175" t="s">
        <v>743</v>
      </c>
      <c r="O445" s="1175" t="s">
        <v>1551</v>
      </c>
    </row>
    <row r="446" spans="1:15" s="1159" customFormat="1" ht="75" x14ac:dyDescent="0.25">
      <c r="A446" s="1172">
        <v>2022440</v>
      </c>
      <c r="B446" s="1172">
        <v>7658</v>
      </c>
      <c r="C446" s="1172" t="s">
        <v>681</v>
      </c>
      <c r="D446" s="1190" t="s">
        <v>694</v>
      </c>
      <c r="E446" s="1234">
        <v>80111600</v>
      </c>
      <c r="F446" s="1175" t="s">
        <v>1089</v>
      </c>
      <c r="G446" s="1176" t="s">
        <v>1548</v>
      </c>
      <c r="H446" s="1176" t="s">
        <v>1548</v>
      </c>
      <c r="I446" s="1176">
        <v>10</v>
      </c>
      <c r="J446" s="1176" t="s">
        <v>1576</v>
      </c>
      <c r="K446" s="1176" t="s">
        <v>676</v>
      </c>
      <c r="L446" s="1178" t="s">
        <v>677</v>
      </c>
      <c r="M446" s="1264">
        <v>24500000</v>
      </c>
      <c r="N446" s="1175" t="s">
        <v>743</v>
      </c>
      <c r="O446" s="1175" t="s">
        <v>1551</v>
      </c>
    </row>
    <row r="447" spans="1:15" s="1159" customFormat="1" ht="75" x14ac:dyDescent="0.25">
      <c r="A447" s="1172">
        <v>2022441</v>
      </c>
      <c r="B447" s="1172">
        <v>7658</v>
      </c>
      <c r="C447" s="1172" t="s">
        <v>681</v>
      </c>
      <c r="D447" s="1190" t="s">
        <v>694</v>
      </c>
      <c r="E447" s="1234">
        <v>80111600</v>
      </c>
      <c r="F447" s="1175" t="s">
        <v>1089</v>
      </c>
      <c r="G447" s="1176" t="s">
        <v>1548</v>
      </c>
      <c r="H447" s="1176" t="s">
        <v>1548</v>
      </c>
      <c r="I447" s="1176">
        <v>10</v>
      </c>
      <c r="J447" s="1176" t="s">
        <v>1576</v>
      </c>
      <c r="K447" s="1176" t="s">
        <v>676</v>
      </c>
      <c r="L447" s="1178" t="s">
        <v>677</v>
      </c>
      <c r="M447" s="1264">
        <v>28500000</v>
      </c>
      <c r="N447" s="1175" t="s">
        <v>743</v>
      </c>
      <c r="O447" s="1175" t="s">
        <v>1551</v>
      </c>
    </row>
    <row r="448" spans="1:15" s="1159" customFormat="1" ht="75" x14ac:dyDescent="0.25">
      <c r="A448" s="1172">
        <v>2022442</v>
      </c>
      <c r="B448" s="1172">
        <v>7658</v>
      </c>
      <c r="C448" s="1172" t="s">
        <v>681</v>
      </c>
      <c r="D448" s="1190" t="s">
        <v>694</v>
      </c>
      <c r="E448" s="1234">
        <v>80111600</v>
      </c>
      <c r="F448" s="1175" t="s">
        <v>1090</v>
      </c>
      <c r="G448" s="1176" t="s">
        <v>1548</v>
      </c>
      <c r="H448" s="1176" t="s">
        <v>1548</v>
      </c>
      <c r="I448" s="1176">
        <v>10</v>
      </c>
      <c r="J448" s="1176" t="s">
        <v>1576</v>
      </c>
      <c r="K448" s="1176" t="s">
        <v>676</v>
      </c>
      <c r="L448" s="1178" t="s">
        <v>677</v>
      </c>
      <c r="M448" s="1264">
        <v>56650000</v>
      </c>
      <c r="N448" s="1175" t="s">
        <v>743</v>
      </c>
      <c r="O448" s="1175" t="s">
        <v>1551</v>
      </c>
    </row>
    <row r="449" spans="1:15" s="1159" customFormat="1" ht="75" x14ac:dyDescent="0.25">
      <c r="A449" s="1172">
        <v>2022443</v>
      </c>
      <c r="B449" s="1172">
        <v>7658</v>
      </c>
      <c r="C449" s="1172" t="s">
        <v>681</v>
      </c>
      <c r="D449" s="1190" t="s">
        <v>694</v>
      </c>
      <c r="E449" s="1234">
        <v>80111600</v>
      </c>
      <c r="F449" s="1175" t="s">
        <v>1091</v>
      </c>
      <c r="G449" s="1176" t="s">
        <v>1548</v>
      </c>
      <c r="H449" s="1176" t="s">
        <v>1548</v>
      </c>
      <c r="I449" s="1176">
        <v>10</v>
      </c>
      <c r="J449" s="1176" t="s">
        <v>1576</v>
      </c>
      <c r="K449" s="1176" t="s">
        <v>676</v>
      </c>
      <c r="L449" s="1178" t="s">
        <v>677</v>
      </c>
      <c r="M449" s="1264">
        <v>46350000</v>
      </c>
      <c r="N449" s="1175" t="s">
        <v>743</v>
      </c>
      <c r="O449" s="1175" t="s">
        <v>1551</v>
      </c>
    </row>
    <row r="450" spans="1:15" s="1159" customFormat="1" ht="75" x14ac:dyDescent="0.25">
      <c r="A450" s="1172">
        <v>2022444</v>
      </c>
      <c r="B450" s="1172">
        <v>7658</v>
      </c>
      <c r="C450" s="1172" t="s">
        <v>681</v>
      </c>
      <c r="D450" s="1190" t="s">
        <v>694</v>
      </c>
      <c r="E450" s="1234">
        <v>80111600</v>
      </c>
      <c r="F450" s="1175" t="s">
        <v>1091</v>
      </c>
      <c r="G450" s="1176" t="s">
        <v>1548</v>
      </c>
      <c r="H450" s="1176" t="s">
        <v>1548</v>
      </c>
      <c r="I450" s="1176">
        <v>10</v>
      </c>
      <c r="J450" s="1176" t="s">
        <v>1576</v>
      </c>
      <c r="K450" s="1176" t="s">
        <v>676</v>
      </c>
      <c r="L450" s="1178" t="s">
        <v>677</v>
      </c>
      <c r="M450" s="1264">
        <v>45000000</v>
      </c>
      <c r="N450" s="1175" t="s">
        <v>743</v>
      </c>
      <c r="O450" s="1175" t="s">
        <v>1551</v>
      </c>
    </row>
    <row r="451" spans="1:15" s="1159" customFormat="1" ht="75" x14ac:dyDescent="0.25">
      <c r="A451" s="1172">
        <v>2022445</v>
      </c>
      <c r="B451" s="1172">
        <v>7658</v>
      </c>
      <c r="C451" s="1172" t="s">
        <v>681</v>
      </c>
      <c r="D451" s="1190" t="s">
        <v>694</v>
      </c>
      <c r="E451" s="1234">
        <v>80111600</v>
      </c>
      <c r="F451" s="1175" t="s">
        <v>1092</v>
      </c>
      <c r="G451" s="1176" t="s">
        <v>1548</v>
      </c>
      <c r="H451" s="1176" t="s">
        <v>1548</v>
      </c>
      <c r="I451" s="1176">
        <v>6</v>
      </c>
      <c r="J451" s="1176" t="s">
        <v>1576</v>
      </c>
      <c r="K451" s="1176" t="s">
        <v>676</v>
      </c>
      <c r="L451" s="1178" t="s">
        <v>677</v>
      </c>
      <c r="M451" s="1264">
        <v>27810000</v>
      </c>
      <c r="N451" s="1175" t="s">
        <v>743</v>
      </c>
      <c r="O451" s="1175" t="s">
        <v>1551</v>
      </c>
    </row>
    <row r="452" spans="1:15" s="1159" customFormat="1" ht="75" x14ac:dyDescent="0.25">
      <c r="A452" s="1172">
        <v>2022446</v>
      </c>
      <c r="B452" s="1172">
        <v>7658</v>
      </c>
      <c r="C452" s="1172" t="s">
        <v>681</v>
      </c>
      <c r="D452" s="1190" t="s">
        <v>694</v>
      </c>
      <c r="E452" s="1234">
        <v>80111600</v>
      </c>
      <c r="F452" s="1175" t="s">
        <v>1092</v>
      </c>
      <c r="G452" s="1176" t="s">
        <v>1548</v>
      </c>
      <c r="H452" s="1176" t="s">
        <v>1548</v>
      </c>
      <c r="I452" s="1176">
        <v>4</v>
      </c>
      <c r="J452" s="1176" t="s">
        <v>1576</v>
      </c>
      <c r="K452" s="1176" t="s">
        <v>676</v>
      </c>
      <c r="L452" s="1178" t="s">
        <v>677</v>
      </c>
      <c r="M452" s="1264">
        <v>18540000</v>
      </c>
      <c r="N452" s="1175" t="s">
        <v>743</v>
      </c>
      <c r="O452" s="1175" t="s">
        <v>1551</v>
      </c>
    </row>
    <row r="453" spans="1:15" s="1159" customFormat="1" ht="75" x14ac:dyDescent="0.25">
      <c r="A453" s="1172">
        <v>2022447</v>
      </c>
      <c r="B453" s="1172">
        <v>7658</v>
      </c>
      <c r="C453" s="1172" t="s">
        <v>681</v>
      </c>
      <c r="D453" s="1190" t="s">
        <v>694</v>
      </c>
      <c r="E453" s="1234">
        <v>80111600</v>
      </c>
      <c r="F453" s="1175" t="s">
        <v>1093</v>
      </c>
      <c r="G453" s="1176" t="s">
        <v>1548</v>
      </c>
      <c r="H453" s="1176" t="s">
        <v>1548</v>
      </c>
      <c r="I453" s="1176">
        <v>10</v>
      </c>
      <c r="J453" s="1176" t="s">
        <v>1576</v>
      </c>
      <c r="K453" s="1176" t="s">
        <v>676</v>
      </c>
      <c r="L453" s="1178" t="s">
        <v>677</v>
      </c>
      <c r="M453" s="1264">
        <v>57000000</v>
      </c>
      <c r="N453" s="1175" t="s">
        <v>743</v>
      </c>
      <c r="O453" s="1175" t="s">
        <v>1551</v>
      </c>
    </row>
    <row r="454" spans="1:15" s="1159" customFormat="1" ht="75" x14ac:dyDescent="0.25">
      <c r="A454" s="1172">
        <v>2022448</v>
      </c>
      <c r="B454" s="1172">
        <v>7658</v>
      </c>
      <c r="C454" s="1172" t="s">
        <v>681</v>
      </c>
      <c r="D454" s="1190" t="s">
        <v>694</v>
      </c>
      <c r="E454" s="1234">
        <v>80111600</v>
      </c>
      <c r="F454" s="1175" t="s">
        <v>1093</v>
      </c>
      <c r="G454" s="1176" t="s">
        <v>1548</v>
      </c>
      <c r="H454" s="1176" t="s">
        <v>1548</v>
      </c>
      <c r="I454" s="1176">
        <v>10</v>
      </c>
      <c r="J454" s="1176" t="s">
        <v>1576</v>
      </c>
      <c r="K454" s="1176" t="s">
        <v>676</v>
      </c>
      <c r="L454" s="1178" t="s">
        <v>677</v>
      </c>
      <c r="M454" s="1264">
        <v>48500000</v>
      </c>
      <c r="N454" s="1175" t="s">
        <v>743</v>
      </c>
      <c r="O454" s="1175" t="s">
        <v>1551</v>
      </c>
    </row>
    <row r="455" spans="1:15" s="1159" customFormat="1" ht="75" x14ac:dyDescent="0.25">
      <c r="A455" s="1172">
        <v>2022449</v>
      </c>
      <c r="B455" s="1172">
        <v>7658</v>
      </c>
      <c r="C455" s="1172" t="s">
        <v>681</v>
      </c>
      <c r="D455" s="1190" t="s">
        <v>694</v>
      </c>
      <c r="E455" s="1234">
        <v>80111600</v>
      </c>
      <c r="F455" s="1175" t="s">
        <v>1093</v>
      </c>
      <c r="G455" s="1176" t="s">
        <v>1548</v>
      </c>
      <c r="H455" s="1176" t="s">
        <v>1548</v>
      </c>
      <c r="I455" s="1176">
        <v>10</v>
      </c>
      <c r="J455" s="1176" t="s">
        <v>1576</v>
      </c>
      <c r="K455" s="1176" t="s">
        <v>676</v>
      </c>
      <c r="L455" s="1178" t="s">
        <v>677</v>
      </c>
      <c r="M455" s="1264">
        <v>48500000</v>
      </c>
      <c r="N455" s="1175" t="s">
        <v>743</v>
      </c>
      <c r="O455" s="1175" t="s">
        <v>1551</v>
      </c>
    </row>
    <row r="456" spans="1:15" s="1159" customFormat="1" ht="75" x14ac:dyDescent="0.25">
      <c r="A456" s="1172">
        <v>2022450</v>
      </c>
      <c r="B456" s="1172">
        <v>7658</v>
      </c>
      <c r="C456" s="1172" t="s">
        <v>681</v>
      </c>
      <c r="D456" s="1190" t="s">
        <v>694</v>
      </c>
      <c r="E456" s="1234">
        <v>80111600</v>
      </c>
      <c r="F456" s="1175" t="s">
        <v>1094</v>
      </c>
      <c r="G456" s="1176" t="s">
        <v>1548</v>
      </c>
      <c r="H456" s="1176" t="s">
        <v>1548</v>
      </c>
      <c r="I456" s="1176">
        <v>10</v>
      </c>
      <c r="J456" s="1176" t="s">
        <v>1576</v>
      </c>
      <c r="K456" s="1176" t="s">
        <v>676</v>
      </c>
      <c r="L456" s="1178" t="s">
        <v>677</v>
      </c>
      <c r="M456" s="1264">
        <v>48500000</v>
      </c>
      <c r="N456" s="1175" t="s">
        <v>743</v>
      </c>
      <c r="O456" s="1175" t="s">
        <v>1551</v>
      </c>
    </row>
    <row r="457" spans="1:15" s="1159" customFormat="1" ht="75" x14ac:dyDescent="0.25">
      <c r="A457" s="1172">
        <v>2022451</v>
      </c>
      <c r="B457" s="1172">
        <v>7658</v>
      </c>
      <c r="C457" s="1172" t="s">
        <v>681</v>
      </c>
      <c r="D457" s="1190" t="s">
        <v>694</v>
      </c>
      <c r="E457" s="1234">
        <v>80111600</v>
      </c>
      <c r="F457" s="1175" t="s">
        <v>1094</v>
      </c>
      <c r="G457" s="1176" t="s">
        <v>1548</v>
      </c>
      <c r="H457" s="1176" t="s">
        <v>1548</v>
      </c>
      <c r="I457" s="1176">
        <v>10</v>
      </c>
      <c r="J457" s="1176" t="s">
        <v>1576</v>
      </c>
      <c r="K457" s="1176" t="s">
        <v>676</v>
      </c>
      <c r="L457" s="1178" t="s">
        <v>677</v>
      </c>
      <c r="M457" s="1264">
        <v>35000000</v>
      </c>
      <c r="N457" s="1175" t="s">
        <v>743</v>
      </c>
      <c r="O457" s="1175" t="s">
        <v>1551</v>
      </c>
    </row>
    <row r="458" spans="1:15" s="1159" customFormat="1" ht="75" x14ac:dyDescent="0.25">
      <c r="A458" s="1172">
        <v>2022452</v>
      </c>
      <c r="B458" s="1172">
        <v>7658</v>
      </c>
      <c r="C458" s="1172" t="s">
        <v>681</v>
      </c>
      <c r="D458" s="1190" t="s">
        <v>694</v>
      </c>
      <c r="E458" s="1234">
        <v>80111600</v>
      </c>
      <c r="F458" s="1175" t="s">
        <v>1093</v>
      </c>
      <c r="G458" s="1176" t="s">
        <v>1548</v>
      </c>
      <c r="H458" s="1176" t="s">
        <v>1548</v>
      </c>
      <c r="I458" s="1176">
        <v>6</v>
      </c>
      <c r="J458" s="1176" t="s">
        <v>1576</v>
      </c>
      <c r="K458" s="1176" t="s">
        <v>676</v>
      </c>
      <c r="L458" s="1178" t="s">
        <v>677</v>
      </c>
      <c r="M458" s="1264">
        <v>29100000</v>
      </c>
      <c r="N458" s="1175" t="s">
        <v>743</v>
      </c>
      <c r="O458" s="1175" t="s">
        <v>1551</v>
      </c>
    </row>
    <row r="459" spans="1:15" s="1159" customFormat="1" ht="75" x14ac:dyDescent="0.25">
      <c r="A459" s="1172">
        <v>2022453</v>
      </c>
      <c r="B459" s="1172">
        <v>7658</v>
      </c>
      <c r="C459" s="1172" t="s">
        <v>681</v>
      </c>
      <c r="D459" s="1190" t="s">
        <v>694</v>
      </c>
      <c r="E459" s="1234">
        <v>80111600</v>
      </c>
      <c r="F459" s="1175" t="s">
        <v>1093</v>
      </c>
      <c r="G459" s="1176" t="s">
        <v>1548</v>
      </c>
      <c r="H459" s="1176" t="s">
        <v>1548</v>
      </c>
      <c r="I459" s="1176">
        <v>4</v>
      </c>
      <c r="J459" s="1176" t="s">
        <v>1576</v>
      </c>
      <c r="K459" s="1176" t="s">
        <v>676</v>
      </c>
      <c r="L459" s="1178" t="s">
        <v>677</v>
      </c>
      <c r="M459" s="1264">
        <v>19400000</v>
      </c>
      <c r="N459" s="1175" t="s">
        <v>743</v>
      </c>
      <c r="O459" s="1175" t="s">
        <v>1551</v>
      </c>
    </row>
    <row r="460" spans="1:15" s="1159" customFormat="1" ht="75" x14ac:dyDescent="0.25">
      <c r="A460" s="1172">
        <v>2022454</v>
      </c>
      <c r="B460" s="1172">
        <v>7658</v>
      </c>
      <c r="C460" s="1172" t="s">
        <v>681</v>
      </c>
      <c r="D460" s="1190" t="s">
        <v>694</v>
      </c>
      <c r="E460" s="1234">
        <v>80111600</v>
      </c>
      <c r="F460" s="1175" t="s">
        <v>1095</v>
      </c>
      <c r="G460" s="1176" t="s">
        <v>1548</v>
      </c>
      <c r="H460" s="1176" t="s">
        <v>1548</v>
      </c>
      <c r="I460" s="1176">
        <v>10</v>
      </c>
      <c r="J460" s="1176" t="s">
        <v>1576</v>
      </c>
      <c r="K460" s="1176" t="s">
        <v>676</v>
      </c>
      <c r="L460" s="1178" t="s">
        <v>677</v>
      </c>
      <c r="M460" s="1264">
        <v>55000000</v>
      </c>
      <c r="N460" s="1175" t="s">
        <v>743</v>
      </c>
      <c r="O460" s="1175" t="s">
        <v>1551</v>
      </c>
    </row>
    <row r="461" spans="1:15" s="1159" customFormat="1" ht="75" x14ac:dyDescent="0.25">
      <c r="A461" s="1172">
        <v>2022455</v>
      </c>
      <c r="B461" s="1172">
        <v>7658</v>
      </c>
      <c r="C461" s="1172" t="s">
        <v>681</v>
      </c>
      <c r="D461" s="1190" t="s">
        <v>694</v>
      </c>
      <c r="E461" s="1234">
        <v>80111600</v>
      </c>
      <c r="F461" s="1175" t="s">
        <v>1095</v>
      </c>
      <c r="G461" s="1176" t="s">
        <v>1548</v>
      </c>
      <c r="H461" s="1176" t="s">
        <v>1548</v>
      </c>
      <c r="I461" s="1176">
        <v>10</v>
      </c>
      <c r="J461" s="1176" t="s">
        <v>1576</v>
      </c>
      <c r="K461" s="1176" t="s">
        <v>676</v>
      </c>
      <c r="L461" s="1178" t="s">
        <v>677</v>
      </c>
      <c r="M461" s="1264">
        <v>55000000</v>
      </c>
      <c r="N461" s="1175" t="s">
        <v>743</v>
      </c>
      <c r="O461" s="1175" t="s">
        <v>1551</v>
      </c>
    </row>
    <row r="462" spans="1:15" s="1159" customFormat="1" ht="75" x14ac:dyDescent="0.25">
      <c r="A462" s="1172">
        <v>2022456</v>
      </c>
      <c r="B462" s="1172">
        <v>7658</v>
      </c>
      <c r="C462" s="1172" t="s">
        <v>681</v>
      </c>
      <c r="D462" s="1190" t="s">
        <v>694</v>
      </c>
      <c r="E462" s="1234">
        <v>80111600</v>
      </c>
      <c r="F462" s="1175" t="s">
        <v>1095</v>
      </c>
      <c r="G462" s="1176" t="s">
        <v>1548</v>
      </c>
      <c r="H462" s="1176" t="s">
        <v>1548</v>
      </c>
      <c r="I462" s="1176">
        <v>6</v>
      </c>
      <c r="J462" s="1176" t="s">
        <v>1576</v>
      </c>
      <c r="K462" s="1176" t="s">
        <v>676</v>
      </c>
      <c r="L462" s="1178" t="s">
        <v>677</v>
      </c>
      <c r="M462" s="1264">
        <v>29100000</v>
      </c>
      <c r="N462" s="1175" t="s">
        <v>743</v>
      </c>
      <c r="O462" s="1175" t="s">
        <v>1551</v>
      </c>
    </row>
    <row r="463" spans="1:15" s="1159" customFormat="1" ht="75" x14ac:dyDescent="0.25">
      <c r="A463" s="1172">
        <v>2022457</v>
      </c>
      <c r="B463" s="1172">
        <v>7658</v>
      </c>
      <c r="C463" s="1172" t="s">
        <v>681</v>
      </c>
      <c r="D463" s="1190" t="s">
        <v>694</v>
      </c>
      <c r="E463" s="1234">
        <v>80111600</v>
      </c>
      <c r="F463" s="1175" t="s">
        <v>1095</v>
      </c>
      <c r="G463" s="1176" t="s">
        <v>1548</v>
      </c>
      <c r="H463" s="1176" t="s">
        <v>1548</v>
      </c>
      <c r="I463" s="1176">
        <v>4</v>
      </c>
      <c r="J463" s="1176" t="s">
        <v>1576</v>
      </c>
      <c r="K463" s="1176" t="s">
        <v>676</v>
      </c>
      <c r="L463" s="1178" t="s">
        <v>677</v>
      </c>
      <c r="M463" s="1264">
        <v>19400000</v>
      </c>
      <c r="N463" s="1175" t="s">
        <v>743</v>
      </c>
      <c r="O463" s="1175" t="s">
        <v>1551</v>
      </c>
    </row>
    <row r="464" spans="1:15" s="1159" customFormat="1" ht="75" x14ac:dyDescent="0.25">
      <c r="A464" s="1172">
        <v>2022458</v>
      </c>
      <c r="B464" s="1172">
        <v>7658</v>
      </c>
      <c r="C464" s="1172" t="s">
        <v>681</v>
      </c>
      <c r="D464" s="1190" t="s">
        <v>694</v>
      </c>
      <c r="E464" s="1234">
        <v>80111600</v>
      </c>
      <c r="F464" s="1175" t="s">
        <v>1095</v>
      </c>
      <c r="G464" s="1176" t="s">
        <v>1548</v>
      </c>
      <c r="H464" s="1176" t="s">
        <v>1548</v>
      </c>
      <c r="I464" s="1176">
        <v>10</v>
      </c>
      <c r="J464" s="1176" t="s">
        <v>1576</v>
      </c>
      <c r="K464" s="1176" t="s">
        <v>676</v>
      </c>
      <c r="L464" s="1178" t="s">
        <v>677</v>
      </c>
      <c r="M464" s="1264">
        <v>48500000</v>
      </c>
      <c r="N464" s="1175" t="s">
        <v>743</v>
      </c>
      <c r="O464" s="1175" t="s">
        <v>1551</v>
      </c>
    </row>
    <row r="465" spans="1:15" s="1159" customFormat="1" ht="75" x14ac:dyDescent="0.25">
      <c r="A465" s="1172">
        <v>2022459</v>
      </c>
      <c r="B465" s="1172">
        <v>7658</v>
      </c>
      <c r="C465" s="1172" t="s">
        <v>681</v>
      </c>
      <c r="D465" s="1190" t="s">
        <v>694</v>
      </c>
      <c r="E465" s="1234">
        <v>80111600</v>
      </c>
      <c r="F465" s="1175" t="s">
        <v>1095</v>
      </c>
      <c r="G465" s="1176" t="s">
        <v>1548</v>
      </c>
      <c r="H465" s="1176" t="s">
        <v>1548</v>
      </c>
      <c r="I465" s="1176">
        <v>6</v>
      </c>
      <c r="J465" s="1176" t="s">
        <v>1576</v>
      </c>
      <c r="K465" s="1176" t="s">
        <v>676</v>
      </c>
      <c r="L465" s="1178" t="s">
        <v>677</v>
      </c>
      <c r="M465" s="1264">
        <v>29100000</v>
      </c>
      <c r="N465" s="1175" t="s">
        <v>743</v>
      </c>
      <c r="O465" s="1175" t="s">
        <v>1551</v>
      </c>
    </row>
    <row r="466" spans="1:15" s="1159" customFormat="1" ht="75" x14ac:dyDescent="0.25">
      <c r="A466" s="1172">
        <v>2022460</v>
      </c>
      <c r="B466" s="1172">
        <v>7658</v>
      </c>
      <c r="C466" s="1172" t="s">
        <v>681</v>
      </c>
      <c r="D466" s="1190" t="s">
        <v>694</v>
      </c>
      <c r="E466" s="1234">
        <v>80111600</v>
      </c>
      <c r="F466" s="1175" t="s">
        <v>1095</v>
      </c>
      <c r="G466" s="1176" t="s">
        <v>1548</v>
      </c>
      <c r="H466" s="1176" t="s">
        <v>1548</v>
      </c>
      <c r="I466" s="1176">
        <v>4</v>
      </c>
      <c r="J466" s="1176" t="s">
        <v>1576</v>
      </c>
      <c r="K466" s="1176" t="s">
        <v>676</v>
      </c>
      <c r="L466" s="1178" t="s">
        <v>677</v>
      </c>
      <c r="M466" s="1264">
        <v>19400000</v>
      </c>
      <c r="N466" s="1175" t="s">
        <v>743</v>
      </c>
      <c r="O466" s="1175" t="s">
        <v>1551</v>
      </c>
    </row>
    <row r="467" spans="1:15" s="1159" customFormat="1" ht="75" x14ac:dyDescent="0.25">
      <c r="A467" s="1172">
        <v>2022461</v>
      </c>
      <c r="B467" s="1172">
        <v>7658</v>
      </c>
      <c r="C467" s="1172" t="s">
        <v>681</v>
      </c>
      <c r="D467" s="1190" t="s">
        <v>694</v>
      </c>
      <c r="E467" s="1234">
        <v>80111600</v>
      </c>
      <c r="F467" s="1175" t="s">
        <v>1095</v>
      </c>
      <c r="G467" s="1176" t="s">
        <v>1548</v>
      </c>
      <c r="H467" s="1176" t="s">
        <v>1548</v>
      </c>
      <c r="I467" s="1176">
        <v>10</v>
      </c>
      <c r="J467" s="1176" t="s">
        <v>1576</v>
      </c>
      <c r="K467" s="1176" t="s">
        <v>676</v>
      </c>
      <c r="L467" s="1178" t="s">
        <v>677</v>
      </c>
      <c r="M467" s="1264">
        <v>45000000</v>
      </c>
      <c r="N467" s="1175" t="s">
        <v>743</v>
      </c>
      <c r="O467" s="1175" t="s">
        <v>1551</v>
      </c>
    </row>
    <row r="468" spans="1:15" s="1159" customFormat="1" ht="75" x14ac:dyDescent="0.25">
      <c r="A468" s="1172">
        <v>2022462</v>
      </c>
      <c r="B468" s="1172">
        <v>7658</v>
      </c>
      <c r="C468" s="1172" t="s">
        <v>681</v>
      </c>
      <c r="D468" s="1190" t="s">
        <v>694</v>
      </c>
      <c r="E468" s="1234">
        <v>80111600</v>
      </c>
      <c r="F468" s="1175" t="s">
        <v>1096</v>
      </c>
      <c r="G468" s="1176" t="s">
        <v>1548</v>
      </c>
      <c r="H468" s="1176" t="s">
        <v>1548</v>
      </c>
      <c r="I468" s="1176">
        <v>6</v>
      </c>
      <c r="J468" s="1176" t="s">
        <v>1576</v>
      </c>
      <c r="K468" s="1176" t="s">
        <v>676</v>
      </c>
      <c r="L468" s="1178" t="s">
        <v>677</v>
      </c>
      <c r="M468" s="1264">
        <v>16500000</v>
      </c>
      <c r="N468" s="1175" t="s">
        <v>743</v>
      </c>
      <c r="O468" s="1175" t="s">
        <v>1551</v>
      </c>
    </row>
    <row r="469" spans="1:15" s="1159" customFormat="1" ht="75" x14ac:dyDescent="0.25">
      <c r="A469" s="1172">
        <v>2022463</v>
      </c>
      <c r="B469" s="1172">
        <v>7658</v>
      </c>
      <c r="C469" s="1172" t="s">
        <v>681</v>
      </c>
      <c r="D469" s="1190" t="s">
        <v>694</v>
      </c>
      <c r="E469" s="1234">
        <v>80111600</v>
      </c>
      <c r="F469" s="1175" t="s">
        <v>1096</v>
      </c>
      <c r="G469" s="1176" t="s">
        <v>1548</v>
      </c>
      <c r="H469" s="1176" t="s">
        <v>1548</v>
      </c>
      <c r="I469" s="1176">
        <v>4</v>
      </c>
      <c r="J469" s="1176" t="s">
        <v>1576</v>
      </c>
      <c r="K469" s="1176" t="s">
        <v>676</v>
      </c>
      <c r="L469" s="1178" t="s">
        <v>677</v>
      </c>
      <c r="M469" s="1264">
        <v>11000000</v>
      </c>
      <c r="N469" s="1175" t="s">
        <v>743</v>
      </c>
      <c r="O469" s="1175" t="s">
        <v>1551</v>
      </c>
    </row>
    <row r="470" spans="1:15" s="1159" customFormat="1" ht="75" x14ac:dyDescent="0.25">
      <c r="A470" s="1172">
        <v>2022464</v>
      </c>
      <c r="B470" s="1172">
        <v>7658</v>
      </c>
      <c r="C470" s="1172" t="s">
        <v>681</v>
      </c>
      <c r="D470" s="1190" t="s">
        <v>694</v>
      </c>
      <c r="E470" s="1234">
        <v>80111600</v>
      </c>
      <c r="F470" s="1175" t="s">
        <v>1097</v>
      </c>
      <c r="G470" s="1176" t="s">
        <v>1548</v>
      </c>
      <c r="H470" s="1176" t="s">
        <v>1548</v>
      </c>
      <c r="I470" s="1176">
        <v>10</v>
      </c>
      <c r="J470" s="1176" t="s">
        <v>1576</v>
      </c>
      <c r="K470" s="1176" t="s">
        <v>676</v>
      </c>
      <c r="L470" s="1178" t="s">
        <v>677</v>
      </c>
      <c r="M470" s="1264">
        <v>50000000</v>
      </c>
      <c r="N470" s="1175" t="s">
        <v>743</v>
      </c>
      <c r="O470" s="1175" t="s">
        <v>1551</v>
      </c>
    </row>
    <row r="471" spans="1:15" s="1159" customFormat="1" ht="75" x14ac:dyDescent="0.25">
      <c r="A471" s="1172">
        <v>2022465</v>
      </c>
      <c r="B471" s="1172">
        <v>7658</v>
      </c>
      <c r="C471" s="1172" t="s">
        <v>681</v>
      </c>
      <c r="D471" s="1190" t="s">
        <v>694</v>
      </c>
      <c r="E471" s="1234">
        <v>80111600</v>
      </c>
      <c r="F471" s="1175" t="s">
        <v>1098</v>
      </c>
      <c r="G471" s="1176" t="s">
        <v>1548</v>
      </c>
      <c r="H471" s="1176" t="s">
        <v>1548</v>
      </c>
      <c r="I471" s="1176">
        <v>10</v>
      </c>
      <c r="J471" s="1176" t="s">
        <v>1576</v>
      </c>
      <c r="K471" s="1176" t="s">
        <v>676</v>
      </c>
      <c r="L471" s="1178" t="s">
        <v>677</v>
      </c>
      <c r="M471" s="1264">
        <v>48500000</v>
      </c>
      <c r="N471" s="1175" t="s">
        <v>743</v>
      </c>
      <c r="O471" s="1175" t="s">
        <v>1551</v>
      </c>
    </row>
    <row r="472" spans="1:15" s="1159" customFormat="1" ht="75" x14ac:dyDescent="0.25">
      <c r="A472" s="1172">
        <v>2022466</v>
      </c>
      <c r="B472" s="1172">
        <v>7658</v>
      </c>
      <c r="C472" s="1172" t="s">
        <v>681</v>
      </c>
      <c r="D472" s="1190" t="s">
        <v>694</v>
      </c>
      <c r="E472" s="1234">
        <v>80111600</v>
      </c>
      <c r="F472" s="1175" t="s">
        <v>1099</v>
      </c>
      <c r="G472" s="1176" t="s">
        <v>1548</v>
      </c>
      <c r="H472" s="1176" t="s">
        <v>1548</v>
      </c>
      <c r="I472" s="1176">
        <v>10</v>
      </c>
      <c r="J472" s="1176" t="s">
        <v>1576</v>
      </c>
      <c r="K472" s="1176" t="s">
        <v>676</v>
      </c>
      <c r="L472" s="1178" t="s">
        <v>677</v>
      </c>
      <c r="M472" s="1264">
        <v>33500000</v>
      </c>
      <c r="N472" s="1175" t="s">
        <v>743</v>
      </c>
      <c r="O472" s="1175" t="s">
        <v>1551</v>
      </c>
    </row>
    <row r="473" spans="1:15" s="1159" customFormat="1" ht="75" customHeight="1" x14ac:dyDescent="0.25">
      <c r="A473" s="1172">
        <v>2022467</v>
      </c>
      <c r="B473" s="1172">
        <v>7658</v>
      </c>
      <c r="C473" s="1172" t="s">
        <v>681</v>
      </c>
      <c r="D473" s="1190" t="s">
        <v>694</v>
      </c>
      <c r="E473" s="1234">
        <v>80111600</v>
      </c>
      <c r="F473" s="1175" t="s">
        <v>1100</v>
      </c>
      <c r="G473" s="1176" t="s">
        <v>1548</v>
      </c>
      <c r="H473" s="1176" t="s">
        <v>1548</v>
      </c>
      <c r="I473" s="1176">
        <v>10</v>
      </c>
      <c r="J473" s="1176" t="s">
        <v>1576</v>
      </c>
      <c r="K473" s="1176" t="s">
        <v>676</v>
      </c>
      <c r="L473" s="1178" t="s">
        <v>677</v>
      </c>
      <c r="M473" s="1264">
        <v>48500000</v>
      </c>
      <c r="N473" s="1175" t="s">
        <v>743</v>
      </c>
      <c r="O473" s="1175" t="s">
        <v>1551</v>
      </c>
    </row>
    <row r="474" spans="1:15" s="1159" customFormat="1" ht="75" x14ac:dyDescent="0.25">
      <c r="A474" s="1172">
        <v>2022468</v>
      </c>
      <c r="B474" s="1172">
        <v>7658</v>
      </c>
      <c r="C474" s="1172" t="s">
        <v>681</v>
      </c>
      <c r="D474" s="1190" t="s">
        <v>694</v>
      </c>
      <c r="E474" s="1234">
        <v>80111600</v>
      </c>
      <c r="F474" s="1175" t="s">
        <v>1101</v>
      </c>
      <c r="G474" s="1176" t="s">
        <v>1548</v>
      </c>
      <c r="H474" s="1176" t="s">
        <v>1548</v>
      </c>
      <c r="I474" s="1176">
        <v>4</v>
      </c>
      <c r="J474" s="1176" t="s">
        <v>1576</v>
      </c>
      <c r="K474" s="1176" t="s">
        <v>676</v>
      </c>
      <c r="L474" s="1178" t="s">
        <v>677</v>
      </c>
      <c r="M474" s="1264">
        <v>19400000</v>
      </c>
      <c r="N474" s="1175" t="s">
        <v>743</v>
      </c>
      <c r="O474" s="1175" t="s">
        <v>1551</v>
      </c>
    </row>
    <row r="475" spans="1:15" s="1159" customFormat="1" ht="75" x14ac:dyDescent="0.25">
      <c r="A475" s="1172">
        <v>2022469</v>
      </c>
      <c r="B475" s="1172">
        <v>7658</v>
      </c>
      <c r="C475" s="1172" t="s">
        <v>681</v>
      </c>
      <c r="D475" s="1190" t="s">
        <v>694</v>
      </c>
      <c r="E475" s="1234">
        <v>80111600</v>
      </c>
      <c r="F475" s="1175" t="s">
        <v>1101</v>
      </c>
      <c r="G475" s="1176" t="s">
        <v>1548</v>
      </c>
      <c r="H475" s="1176" t="s">
        <v>1548</v>
      </c>
      <c r="I475" s="1176">
        <v>6</v>
      </c>
      <c r="J475" s="1176" t="s">
        <v>1576</v>
      </c>
      <c r="K475" s="1176" t="s">
        <v>676</v>
      </c>
      <c r="L475" s="1178" t="s">
        <v>677</v>
      </c>
      <c r="M475" s="1264">
        <v>29100000</v>
      </c>
      <c r="N475" s="1175" t="s">
        <v>743</v>
      </c>
      <c r="O475" s="1175" t="s">
        <v>1551</v>
      </c>
    </row>
    <row r="476" spans="1:15" s="1159" customFormat="1" ht="75" x14ac:dyDescent="0.25">
      <c r="A476" s="1172">
        <v>2022470</v>
      </c>
      <c r="B476" s="1172">
        <v>7658</v>
      </c>
      <c r="C476" s="1172" t="s">
        <v>681</v>
      </c>
      <c r="D476" s="1190" t="s">
        <v>694</v>
      </c>
      <c r="E476" s="1234">
        <v>80111600</v>
      </c>
      <c r="F476" s="1175" t="s">
        <v>1101</v>
      </c>
      <c r="G476" s="1176" t="s">
        <v>1548</v>
      </c>
      <c r="H476" s="1176" t="s">
        <v>1548</v>
      </c>
      <c r="I476" s="1176">
        <v>4</v>
      </c>
      <c r="J476" s="1176" t="s">
        <v>1576</v>
      </c>
      <c r="K476" s="1176" t="s">
        <v>676</v>
      </c>
      <c r="L476" s="1178" t="s">
        <v>677</v>
      </c>
      <c r="M476" s="1264">
        <v>16000000</v>
      </c>
      <c r="N476" s="1175" t="s">
        <v>743</v>
      </c>
      <c r="O476" s="1175" t="s">
        <v>1551</v>
      </c>
    </row>
    <row r="477" spans="1:15" s="1159" customFormat="1" ht="75" x14ac:dyDescent="0.25">
      <c r="A477" s="1172">
        <v>2022471</v>
      </c>
      <c r="B477" s="1172">
        <v>7658</v>
      </c>
      <c r="C477" s="1172" t="s">
        <v>681</v>
      </c>
      <c r="D477" s="1190" t="s">
        <v>694</v>
      </c>
      <c r="E477" s="1234">
        <v>80111600</v>
      </c>
      <c r="F477" s="1175" t="s">
        <v>1101</v>
      </c>
      <c r="G477" s="1176" t="s">
        <v>1548</v>
      </c>
      <c r="H477" s="1176" t="s">
        <v>1548</v>
      </c>
      <c r="I477" s="1176">
        <v>6</v>
      </c>
      <c r="J477" s="1176" t="s">
        <v>1576</v>
      </c>
      <c r="K477" s="1176" t="s">
        <v>676</v>
      </c>
      <c r="L477" s="1178" t="s">
        <v>677</v>
      </c>
      <c r="M477" s="1264">
        <v>24000000</v>
      </c>
      <c r="N477" s="1175" t="s">
        <v>743</v>
      </c>
      <c r="O477" s="1175" t="s">
        <v>1551</v>
      </c>
    </row>
    <row r="478" spans="1:15" s="1159" customFormat="1" ht="75" x14ac:dyDescent="0.25">
      <c r="A478" s="1172">
        <v>2022472</v>
      </c>
      <c r="B478" s="1172">
        <v>7658</v>
      </c>
      <c r="C478" s="1172" t="s">
        <v>681</v>
      </c>
      <c r="D478" s="1190" t="s">
        <v>694</v>
      </c>
      <c r="E478" s="1234">
        <v>80111600</v>
      </c>
      <c r="F478" s="1175" t="s">
        <v>1101</v>
      </c>
      <c r="G478" s="1176" t="s">
        <v>1548</v>
      </c>
      <c r="H478" s="1176" t="s">
        <v>1548</v>
      </c>
      <c r="I478" s="1176">
        <v>4</v>
      </c>
      <c r="J478" s="1176" t="s">
        <v>1576</v>
      </c>
      <c r="K478" s="1176" t="s">
        <v>676</v>
      </c>
      <c r="L478" s="1178" t="s">
        <v>677</v>
      </c>
      <c r="M478" s="1264">
        <v>15400000</v>
      </c>
      <c r="N478" s="1175" t="s">
        <v>743</v>
      </c>
      <c r="O478" s="1175" t="s">
        <v>1551</v>
      </c>
    </row>
    <row r="479" spans="1:15" s="1159" customFormat="1" ht="75" x14ac:dyDescent="0.25">
      <c r="A479" s="1172">
        <v>2022473</v>
      </c>
      <c r="B479" s="1172">
        <v>7658</v>
      </c>
      <c r="C479" s="1172" t="s">
        <v>681</v>
      </c>
      <c r="D479" s="1190" t="s">
        <v>694</v>
      </c>
      <c r="E479" s="1234">
        <v>80111600</v>
      </c>
      <c r="F479" s="1175" t="s">
        <v>1101</v>
      </c>
      <c r="G479" s="1176" t="s">
        <v>1548</v>
      </c>
      <c r="H479" s="1176" t="s">
        <v>1548</v>
      </c>
      <c r="I479" s="1176">
        <v>6</v>
      </c>
      <c r="J479" s="1176" t="s">
        <v>1576</v>
      </c>
      <c r="K479" s="1176" t="s">
        <v>676</v>
      </c>
      <c r="L479" s="1178" t="s">
        <v>677</v>
      </c>
      <c r="M479" s="1264">
        <v>23100000</v>
      </c>
      <c r="N479" s="1175" t="s">
        <v>743</v>
      </c>
      <c r="O479" s="1175" t="s">
        <v>1551</v>
      </c>
    </row>
    <row r="480" spans="1:15" s="1159" customFormat="1" ht="75" x14ac:dyDescent="0.25">
      <c r="A480" s="1172">
        <v>2022474</v>
      </c>
      <c r="B480" s="1172">
        <v>7658</v>
      </c>
      <c r="C480" s="1172" t="s">
        <v>681</v>
      </c>
      <c r="D480" s="1190" t="s">
        <v>694</v>
      </c>
      <c r="E480" s="1234">
        <v>80111600</v>
      </c>
      <c r="F480" s="1175" t="s">
        <v>1101</v>
      </c>
      <c r="G480" s="1176" t="s">
        <v>1548</v>
      </c>
      <c r="H480" s="1176" t="s">
        <v>1548</v>
      </c>
      <c r="I480" s="1176">
        <v>4</v>
      </c>
      <c r="J480" s="1176" t="s">
        <v>1576</v>
      </c>
      <c r="K480" s="1176" t="s">
        <v>676</v>
      </c>
      <c r="L480" s="1178" t="s">
        <v>677</v>
      </c>
      <c r="M480" s="1264">
        <v>15400000</v>
      </c>
      <c r="N480" s="1175" t="s">
        <v>743</v>
      </c>
      <c r="O480" s="1175" t="s">
        <v>1551</v>
      </c>
    </row>
    <row r="481" spans="1:18" s="1159" customFormat="1" ht="75" x14ac:dyDescent="0.25">
      <c r="A481" s="1172">
        <v>2022475</v>
      </c>
      <c r="B481" s="1172">
        <v>7658</v>
      </c>
      <c r="C481" s="1172" t="s">
        <v>681</v>
      </c>
      <c r="D481" s="1190" t="s">
        <v>694</v>
      </c>
      <c r="E481" s="1234">
        <v>80111600</v>
      </c>
      <c r="F481" s="1175" t="s">
        <v>1101</v>
      </c>
      <c r="G481" s="1176" t="s">
        <v>1548</v>
      </c>
      <c r="H481" s="1176" t="s">
        <v>1548</v>
      </c>
      <c r="I481" s="1176">
        <v>6</v>
      </c>
      <c r="J481" s="1176" t="s">
        <v>1576</v>
      </c>
      <c r="K481" s="1176" t="s">
        <v>676</v>
      </c>
      <c r="L481" s="1178" t="s">
        <v>677</v>
      </c>
      <c r="M481" s="1264">
        <v>23100000</v>
      </c>
      <c r="N481" s="1175" t="s">
        <v>743</v>
      </c>
      <c r="O481" s="1175" t="s">
        <v>1551</v>
      </c>
    </row>
    <row r="482" spans="1:18" s="1159" customFormat="1" ht="75" x14ac:dyDescent="0.25">
      <c r="A482" s="1172">
        <v>2022476</v>
      </c>
      <c r="B482" s="1172">
        <v>7658</v>
      </c>
      <c r="C482" s="1172" t="s">
        <v>681</v>
      </c>
      <c r="D482" s="1190" t="s">
        <v>694</v>
      </c>
      <c r="E482" s="1234">
        <v>80111600</v>
      </c>
      <c r="F482" s="1175" t="s">
        <v>1101</v>
      </c>
      <c r="G482" s="1176" t="s">
        <v>1548</v>
      </c>
      <c r="H482" s="1176" t="s">
        <v>1548</v>
      </c>
      <c r="I482" s="1176">
        <v>4</v>
      </c>
      <c r="J482" s="1176" t="s">
        <v>1576</v>
      </c>
      <c r="K482" s="1176" t="s">
        <v>676</v>
      </c>
      <c r="L482" s="1178" t="s">
        <v>677</v>
      </c>
      <c r="M482" s="1264">
        <v>15400000</v>
      </c>
      <c r="N482" s="1175" t="s">
        <v>743</v>
      </c>
      <c r="O482" s="1175" t="s">
        <v>1551</v>
      </c>
    </row>
    <row r="483" spans="1:18" s="1159" customFormat="1" ht="75" x14ac:dyDescent="0.25">
      <c r="A483" s="1172">
        <v>2022477</v>
      </c>
      <c r="B483" s="1172">
        <v>7658</v>
      </c>
      <c r="C483" s="1172" t="s">
        <v>681</v>
      </c>
      <c r="D483" s="1190" t="s">
        <v>694</v>
      </c>
      <c r="E483" s="1234">
        <v>80111600</v>
      </c>
      <c r="F483" s="1175" t="s">
        <v>1101</v>
      </c>
      <c r="G483" s="1176" t="s">
        <v>1548</v>
      </c>
      <c r="H483" s="1176" t="s">
        <v>1548</v>
      </c>
      <c r="I483" s="1176">
        <v>6</v>
      </c>
      <c r="J483" s="1176" t="s">
        <v>1576</v>
      </c>
      <c r="K483" s="1176" t="s">
        <v>676</v>
      </c>
      <c r="L483" s="1178" t="s">
        <v>677</v>
      </c>
      <c r="M483" s="1264">
        <v>23100000</v>
      </c>
      <c r="N483" s="1175" t="s">
        <v>743</v>
      </c>
      <c r="O483" s="1175" t="s">
        <v>1551</v>
      </c>
    </row>
    <row r="484" spans="1:18" s="1159" customFormat="1" ht="75" x14ac:dyDescent="0.25">
      <c r="A484" s="1172">
        <v>2022478</v>
      </c>
      <c r="B484" s="1172">
        <v>7658</v>
      </c>
      <c r="C484" s="1172" t="s">
        <v>681</v>
      </c>
      <c r="D484" s="1190" t="s">
        <v>694</v>
      </c>
      <c r="E484" s="1234">
        <v>80111600</v>
      </c>
      <c r="F484" s="1175" t="s">
        <v>1102</v>
      </c>
      <c r="G484" s="1176" t="s">
        <v>1548</v>
      </c>
      <c r="H484" s="1176" t="s">
        <v>1548</v>
      </c>
      <c r="I484" s="1176">
        <v>10</v>
      </c>
      <c r="J484" s="1176" t="s">
        <v>1576</v>
      </c>
      <c r="K484" s="1176" t="s">
        <v>676</v>
      </c>
      <c r="L484" s="1178" t="s">
        <v>677</v>
      </c>
      <c r="M484" s="1264">
        <v>72100000</v>
      </c>
      <c r="N484" s="1175" t="s">
        <v>743</v>
      </c>
      <c r="O484" s="1175" t="s">
        <v>1551</v>
      </c>
    </row>
    <row r="485" spans="1:18" s="1159" customFormat="1" ht="75" x14ac:dyDescent="0.25">
      <c r="A485" s="1172">
        <v>2022479</v>
      </c>
      <c r="B485" s="1172">
        <v>7658</v>
      </c>
      <c r="C485" s="1172" t="s">
        <v>681</v>
      </c>
      <c r="D485" s="1190" t="s">
        <v>694</v>
      </c>
      <c r="E485" s="1234">
        <v>80111600</v>
      </c>
      <c r="F485" s="1175" t="s">
        <v>1102</v>
      </c>
      <c r="G485" s="1176" t="s">
        <v>1548</v>
      </c>
      <c r="H485" s="1176" t="s">
        <v>1548</v>
      </c>
      <c r="I485" s="1176">
        <v>10</v>
      </c>
      <c r="J485" s="1176" t="s">
        <v>1576</v>
      </c>
      <c r="K485" s="1176" t="s">
        <v>676</v>
      </c>
      <c r="L485" s="1178" t="s">
        <v>677</v>
      </c>
      <c r="M485" s="1264">
        <v>48500000</v>
      </c>
      <c r="N485" s="1175" t="s">
        <v>743</v>
      </c>
      <c r="O485" s="1175" t="s">
        <v>1551</v>
      </c>
    </row>
    <row r="486" spans="1:18" s="1159" customFormat="1" ht="75" x14ac:dyDescent="0.25">
      <c r="A486" s="1172">
        <v>2022480</v>
      </c>
      <c r="B486" s="1172">
        <v>7658</v>
      </c>
      <c r="C486" s="1172" t="s">
        <v>681</v>
      </c>
      <c r="D486" s="1190" t="s">
        <v>694</v>
      </c>
      <c r="E486" s="1234">
        <v>80111600</v>
      </c>
      <c r="F486" s="1175" t="s">
        <v>1102</v>
      </c>
      <c r="G486" s="1176" t="s">
        <v>1548</v>
      </c>
      <c r="H486" s="1176" t="s">
        <v>1548</v>
      </c>
      <c r="I486" s="1176">
        <v>10</v>
      </c>
      <c r="J486" s="1176" t="s">
        <v>1576</v>
      </c>
      <c r="K486" s="1176" t="s">
        <v>676</v>
      </c>
      <c r="L486" s="1178" t="s">
        <v>677</v>
      </c>
      <c r="M486" s="1264">
        <v>38500000</v>
      </c>
      <c r="N486" s="1175" t="s">
        <v>743</v>
      </c>
      <c r="O486" s="1175" t="s">
        <v>1551</v>
      </c>
    </row>
    <row r="487" spans="1:18" s="1159" customFormat="1" ht="75" x14ac:dyDescent="0.25">
      <c r="A487" s="1172">
        <v>2022481</v>
      </c>
      <c r="B487" s="1172">
        <v>7658</v>
      </c>
      <c r="C487" s="1172" t="s">
        <v>681</v>
      </c>
      <c r="D487" s="1190" t="s">
        <v>694</v>
      </c>
      <c r="E487" s="1234">
        <v>80111600</v>
      </c>
      <c r="F487" s="1175" t="s">
        <v>1103</v>
      </c>
      <c r="G487" s="1176" t="s">
        <v>1548</v>
      </c>
      <c r="H487" s="1176" t="s">
        <v>1548</v>
      </c>
      <c r="I487" s="1176">
        <v>6</v>
      </c>
      <c r="J487" s="1176" t="s">
        <v>1576</v>
      </c>
      <c r="K487" s="1176" t="s">
        <v>676</v>
      </c>
      <c r="L487" s="1178" t="s">
        <v>677</v>
      </c>
      <c r="M487" s="1264">
        <v>48000000</v>
      </c>
      <c r="N487" s="1175" t="s">
        <v>743</v>
      </c>
      <c r="O487" s="1175" t="s">
        <v>1551</v>
      </c>
    </row>
    <row r="488" spans="1:18" s="1159" customFormat="1" ht="75" x14ac:dyDescent="0.25">
      <c r="A488" s="1172">
        <v>2022482</v>
      </c>
      <c r="B488" s="1172">
        <v>7658</v>
      </c>
      <c r="C488" s="1172" t="s">
        <v>681</v>
      </c>
      <c r="D488" s="1190" t="s">
        <v>694</v>
      </c>
      <c r="E488" s="1234">
        <v>80111600</v>
      </c>
      <c r="F488" s="1175" t="s">
        <v>1104</v>
      </c>
      <c r="G488" s="1176" t="s">
        <v>1548</v>
      </c>
      <c r="H488" s="1176" t="s">
        <v>1548</v>
      </c>
      <c r="I488" s="1176">
        <v>6</v>
      </c>
      <c r="J488" s="1176" t="s">
        <v>1576</v>
      </c>
      <c r="K488" s="1176" t="s">
        <v>676</v>
      </c>
      <c r="L488" s="1178" t="s">
        <v>677</v>
      </c>
      <c r="M488" s="1264">
        <v>28200000</v>
      </c>
      <c r="N488" s="1175" t="s">
        <v>743</v>
      </c>
      <c r="O488" s="1175" t="s">
        <v>1551</v>
      </c>
    </row>
    <row r="489" spans="1:18" s="1159" customFormat="1" ht="90" x14ac:dyDescent="0.25">
      <c r="A489" s="1182">
        <v>2022483</v>
      </c>
      <c r="B489" s="1182">
        <v>7658</v>
      </c>
      <c r="C489" s="1182" t="s">
        <v>681</v>
      </c>
      <c r="D489" s="1227" t="s">
        <v>700</v>
      </c>
      <c r="E489" s="1236" t="s">
        <v>1105</v>
      </c>
      <c r="F489" s="1185" t="s">
        <v>1106</v>
      </c>
      <c r="G489" s="1245" t="s">
        <v>1440</v>
      </c>
      <c r="H489" s="1245" t="s">
        <v>1449</v>
      </c>
      <c r="I489" s="1239" t="s">
        <v>1494</v>
      </c>
      <c r="J489" s="1240" t="s">
        <v>1577</v>
      </c>
      <c r="K489" s="1184" t="s">
        <v>676</v>
      </c>
      <c r="L489" s="1247" t="s">
        <v>1107</v>
      </c>
      <c r="M489" s="1186">
        <v>45000000</v>
      </c>
      <c r="N489" s="1185" t="s">
        <v>1578</v>
      </c>
      <c r="O489" s="1185" t="s">
        <v>1499</v>
      </c>
      <c r="R489" s="1180"/>
    </row>
    <row r="490" spans="1:18" s="1159" customFormat="1" ht="90" x14ac:dyDescent="0.25">
      <c r="A490" s="1172">
        <v>2022484</v>
      </c>
      <c r="B490" s="1172">
        <v>7658</v>
      </c>
      <c r="C490" s="1172" t="s">
        <v>681</v>
      </c>
      <c r="D490" s="1190" t="s">
        <v>700</v>
      </c>
      <c r="E490" s="1234" t="s">
        <v>1108</v>
      </c>
      <c r="F490" s="1175" t="s">
        <v>1109</v>
      </c>
      <c r="G490" s="1193" t="s">
        <v>1440</v>
      </c>
      <c r="H490" s="1193" t="s">
        <v>1449</v>
      </c>
      <c r="I490" s="1194" t="s">
        <v>1495</v>
      </c>
      <c r="J490" s="1195" t="s">
        <v>1537</v>
      </c>
      <c r="K490" s="1176" t="s">
        <v>676</v>
      </c>
      <c r="L490" s="1241" t="s">
        <v>1110</v>
      </c>
      <c r="M490" s="1179">
        <v>100000000</v>
      </c>
      <c r="N490" s="1175" t="s">
        <v>1578</v>
      </c>
      <c r="O490" s="1175" t="s">
        <v>1499</v>
      </c>
    </row>
    <row r="491" spans="1:18" s="1159" customFormat="1" ht="90" x14ac:dyDescent="0.25">
      <c r="A491" s="1172">
        <v>2022485</v>
      </c>
      <c r="B491" s="1172">
        <v>7658</v>
      </c>
      <c r="C491" s="1172" t="s">
        <v>681</v>
      </c>
      <c r="D491" s="1190" t="s">
        <v>700</v>
      </c>
      <c r="E491" s="1234" t="s">
        <v>1111</v>
      </c>
      <c r="F491" s="1175" t="s">
        <v>1112</v>
      </c>
      <c r="G491" s="1193" t="s">
        <v>1440</v>
      </c>
      <c r="H491" s="1193" t="s">
        <v>1449</v>
      </c>
      <c r="I491" s="1194" t="s">
        <v>1442</v>
      </c>
      <c r="J491" s="1195" t="s">
        <v>1537</v>
      </c>
      <c r="K491" s="1176" t="s">
        <v>676</v>
      </c>
      <c r="L491" s="1178" t="s">
        <v>1113</v>
      </c>
      <c r="M491" s="1179">
        <v>260900000</v>
      </c>
      <c r="N491" s="1175" t="s">
        <v>1578</v>
      </c>
      <c r="O491" s="1175" t="s">
        <v>1499</v>
      </c>
    </row>
    <row r="492" spans="1:18" s="1159" customFormat="1" ht="90" x14ac:dyDescent="0.25">
      <c r="A492" s="1172">
        <v>2022486</v>
      </c>
      <c r="B492" s="1172">
        <v>7658</v>
      </c>
      <c r="C492" s="1172" t="s">
        <v>681</v>
      </c>
      <c r="D492" s="1190" t="s">
        <v>700</v>
      </c>
      <c r="E492" s="1234" t="s">
        <v>1114</v>
      </c>
      <c r="F492" s="1175" t="s">
        <v>1115</v>
      </c>
      <c r="G492" s="1193" t="s">
        <v>1440</v>
      </c>
      <c r="H492" s="1193" t="s">
        <v>1449</v>
      </c>
      <c r="I492" s="1194" t="s">
        <v>1495</v>
      </c>
      <c r="J492" s="1195" t="s">
        <v>1537</v>
      </c>
      <c r="K492" s="1176" t="s">
        <v>676</v>
      </c>
      <c r="L492" s="1178" t="s">
        <v>1518</v>
      </c>
      <c r="M492" s="1179">
        <v>200000000</v>
      </c>
      <c r="N492" s="1175" t="s">
        <v>1578</v>
      </c>
      <c r="O492" s="1175" t="s">
        <v>1499</v>
      </c>
    </row>
    <row r="493" spans="1:18" s="1159" customFormat="1" ht="90" x14ac:dyDescent="0.25">
      <c r="A493" s="1182">
        <v>2022487</v>
      </c>
      <c r="B493" s="1182">
        <v>7658</v>
      </c>
      <c r="C493" s="1182" t="s">
        <v>681</v>
      </c>
      <c r="D493" s="1227" t="s">
        <v>700</v>
      </c>
      <c r="E493" s="1236" t="s">
        <v>1108</v>
      </c>
      <c r="F493" s="1185" t="s">
        <v>1116</v>
      </c>
      <c r="G493" s="1245" t="s">
        <v>1440</v>
      </c>
      <c r="H493" s="1245" t="s">
        <v>1449</v>
      </c>
      <c r="I493" s="1239" t="s">
        <v>1579</v>
      </c>
      <c r="J493" s="1240" t="s">
        <v>1580</v>
      </c>
      <c r="K493" s="1184" t="s">
        <v>676</v>
      </c>
      <c r="L493" s="1247" t="s">
        <v>1110</v>
      </c>
      <c r="M493" s="1186">
        <f>34000000-10000000-5000000</f>
        <v>19000000</v>
      </c>
      <c r="N493" s="1185" t="s">
        <v>1578</v>
      </c>
      <c r="O493" s="1185" t="s">
        <v>1499</v>
      </c>
      <c r="R493" s="1180"/>
    </row>
    <row r="494" spans="1:18" s="1159" customFormat="1" ht="90" x14ac:dyDescent="0.25">
      <c r="A494" s="1172">
        <v>2022488</v>
      </c>
      <c r="B494" s="1172">
        <v>7658</v>
      </c>
      <c r="C494" s="1172" t="s">
        <v>681</v>
      </c>
      <c r="D494" s="1190" t="s">
        <v>700</v>
      </c>
      <c r="E494" s="1234">
        <v>78181500</v>
      </c>
      <c r="F494" s="1175" t="s">
        <v>1117</v>
      </c>
      <c r="G494" s="1193" t="s">
        <v>1440</v>
      </c>
      <c r="H494" s="1193" t="s">
        <v>1449</v>
      </c>
      <c r="I494" s="1194" t="s">
        <v>1581</v>
      </c>
      <c r="J494" s="1195" t="s">
        <v>1328</v>
      </c>
      <c r="K494" s="1176" t="s">
        <v>676</v>
      </c>
      <c r="L494" s="1178" t="s">
        <v>1118</v>
      </c>
      <c r="M494" s="1179">
        <v>2500000000</v>
      </c>
      <c r="N494" s="1175" t="s">
        <v>726</v>
      </c>
      <c r="O494" s="1175" t="s">
        <v>1499</v>
      </c>
    </row>
    <row r="495" spans="1:18" s="1159" customFormat="1" ht="90" x14ac:dyDescent="0.25">
      <c r="A495" s="1172">
        <v>2022489</v>
      </c>
      <c r="B495" s="1172">
        <v>7658</v>
      </c>
      <c r="C495" s="1172" t="s">
        <v>681</v>
      </c>
      <c r="D495" s="1190" t="s">
        <v>700</v>
      </c>
      <c r="E495" s="1234">
        <v>78181500</v>
      </c>
      <c r="F495" s="1175" t="s">
        <v>1119</v>
      </c>
      <c r="G495" s="1193" t="s">
        <v>1440</v>
      </c>
      <c r="H495" s="1212" t="s">
        <v>1440</v>
      </c>
      <c r="I495" s="1194" t="s">
        <v>1545</v>
      </c>
      <c r="J495" s="1195" t="s">
        <v>1328</v>
      </c>
      <c r="K495" s="1176" t="s">
        <v>676</v>
      </c>
      <c r="L495" s="1178" t="s">
        <v>1118</v>
      </c>
      <c r="M495" s="1179">
        <v>750000000</v>
      </c>
      <c r="N495" s="1175" t="s">
        <v>726</v>
      </c>
      <c r="O495" s="1175" t="s">
        <v>1499</v>
      </c>
    </row>
    <row r="496" spans="1:18" s="1159" customFormat="1" ht="90" x14ac:dyDescent="0.25">
      <c r="A496" s="1172">
        <v>2022490</v>
      </c>
      <c r="B496" s="1172">
        <v>7658</v>
      </c>
      <c r="C496" s="1172" t="s">
        <v>681</v>
      </c>
      <c r="D496" s="1190" t="s">
        <v>700</v>
      </c>
      <c r="E496" s="1234">
        <v>78181500</v>
      </c>
      <c r="F496" s="1175" t="s">
        <v>1120</v>
      </c>
      <c r="G496" s="1193" t="s">
        <v>1440</v>
      </c>
      <c r="H496" s="1212" t="s">
        <v>1440</v>
      </c>
      <c r="I496" s="1194" t="s">
        <v>1582</v>
      </c>
      <c r="J496" s="1195" t="s">
        <v>1328</v>
      </c>
      <c r="K496" s="1176" t="s">
        <v>676</v>
      </c>
      <c r="L496" s="1178" t="s">
        <v>1118</v>
      </c>
      <c r="M496" s="1179">
        <v>100000000</v>
      </c>
      <c r="N496" s="1175" t="s">
        <v>726</v>
      </c>
      <c r="O496" s="1175" t="s">
        <v>1499</v>
      </c>
    </row>
    <row r="497" spans="1:18" s="1159" customFormat="1" ht="90" x14ac:dyDescent="0.25">
      <c r="A497" s="1172">
        <v>2022491</v>
      </c>
      <c r="B497" s="1172">
        <v>7658</v>
      </c>
      <c r="C497" s="1172" t="s">
        <v>681</v>
      </c>
      <c r="D497" s="1190" t="s">
        <v>700</v>
      </c>
      <c r="E497" s="1234">
        <v>25172500</v>
      </c>
      <c r="F497" s="1175" t="s">
        <v>1121</v>
      </c>
      <c r="G497" s="1193" t="s">
        <v>1440</v>
      </c>
      <c r="H497" s="1193" t="s">
        <v>1449</v>
      </c>
      <c r="I497" s="1194" t="s">
        <v>1442</v>
      </c>
      <c r="J497" s="1195" t="s">
        <v>1537</v>
      </c>
      <c r="K497" s="1176" t="s">
        <v>676</v>
      </c>
      <c r="L497" s="1178" t="s">
        <v>983</v>
      </c>
      <c r="M497" s="1179">
        <v>150000000</v>
      </c>
      <c r="N497" s="1175" t="s">
        <v>726</v>
      </c>
      <c r="O497" s="1175" t="s">
        <v>1499</v>
      </c>
    </row>
    <row r="498" spans="1:18" s="1159" customFormat="1" ht="90" x14ac:dyDescent="0.25">
      <c r="A498" s="1172">
        <v>2022492</v>
      </c>
      <c r="B498" s="1172">
        <v>7658</v>
      </c>
      <c r="C498" s="1172" t="s">
        <v>681</v>
      </c>
      <c r="D498" s="1190" t="s">
        <v>700</v>
      </c>
      <c r="E498" s="1234">
        <v>15101500</v>
      </c>
      <c r="F498" s="1175" t="s">
        <v>1122</v>
      </c>
      <c r="G498" s="1193" t="s">
        <v>1440</v>
      </c>
      <c r="H498" s="1193" t="s">
        <v>1449</v>
      </c>
      <c r="I498" s="1194" t="s">
        <v>1581</v>
      </c>
      <c r="J498" s="1195" t="s">
        <v>1501</v>
      </c>
      <c r="K498" s="1176" t="s">
        <v>676</v>
      </c>
      <c r="L498" s="1178" t="s">
        <v>1123</v>
      </c>
      <c r="M498" s="1179">
        <v>1030000000</v>
      </c>
      <c r="N498" s="1175" t="s">
        <v>726</v>
      </c>
      <c r="O498" s="1175" t="s">
        <v>1499</v>
      </c>
    </row>
    <row r="499" spans="1:18" s="1159" customFormat="1" ht="90" x14ac:dyDescent="0.25">
      <c r="A499" s="1182">
        <v>2022493</v>
      </c>
      <c r="B499" s="1182">
        <v>7658</v>
      </c>
      <c r="C499" s="1182" t="s">
        <v>681</v>
      </c>
      <c r="D499" s="1227" t="s">
        <v>700</v>
      </c>
      <c r="E499" s="1236" t="s">
        <v>1124</v>
      </c>
      <c r="F499" s="1185" t="s">
        <v>1125</v>
      </c>
      <c r="G499" s="1245" t="s">
        <v>1440</v>
      </c>
      <c r="H499" s="1245" t="s">
        <v>1449</v>
      </c>
      <c r="I499" s="1239" t="s">
        <v>1581</v>
      </c>
      <c r="J499" s="1240" t="s">
        <v>1537</v>
      </c>
      <c r="K499" s="1184" t="s">
        <v>676</v>
      </c>
      <c r="L499" s="1183" t="s">
        <v>983</v>
      </c>
      <c r="M499" s="1186">
        <f>400000000-175000000-8000000</f>
        <v>217000000</v>
      </c>
      <c r="N499" s="1185" t="s">
        <v>726</v>
      </c>
      <c r="O499" s="1185" t="s">
        <v>1499</v>
      </c>
      <c r="R499" s="1180"/>
    </row>
    <row r="500" spans="1:18" s="1159" customFormat="1" ht="90" x14ac:dyDescent="0.25">
      <c r="A500" s="1172">
        <v>2022494</v>
      </c>
      <c r="B500" s="1172">
        <v>7658</v>
      </c>
      <c r="C500" s="1172" t="s">
        <v>681</v>
      </c>
      <c r="D500" s="1190" t="s">
        <v>700</v>
      </c>
      <c r="E500" s="1234" t="s">
        <v>1583</v>
      </c>
      <c r="F500" s="1175" t="s">
        <v>1584</v>
      </c>
      <c r="G500" s="1193" t="s">
        <v>1440</v>
      </c>
      <c r="H500" s="1193" t="s">
        <v>1449</v>
      </c>
      <c r="I500" s="1194" t="s">
        <v>1495</v>
      </c>
      <c r="J500" s="1195" t="s">
        <v>1585</v>
      </c>
      <c r="K500" s="1176" t="s">
        <v>676</v>
      </c>
      <c r="L500" s="1233" t="s">
        <v>959</v>
      </c>
      <c r="M500" s="1179">
        <v>50000000</v>
      </c>
      <c r="N500" s="1175" t="s">
        <v>726</v>
      </c>
      <c r="O500" s="1175" t="s">
        <v>1499</v>
      </c>
    </row>
    <row r="501" spans="1:18" s="1159" customFormat="1" ht="90" x14ac:dyDescent="0.25">
      <c r="A501" s="1172">
        <v>2022495</v>
      </c>
      <c r="B501" s="1172">
        <v>7658</v>
      </c>
      <c r="C501" s="1172" t="s">
        <v>681</v>
      </c>
      <c r="D501" s="1190" t="s">
        <v>700</v>
      </c>
      <c r="E501" s="1234">
        <v>78181505</v>
      </c>
      <c r="F501" s="1175" t="s">
        <v>1126</v>
      </c>
      <c r="G501" s="1193" t="s">
        <v>1440</v>
      </c>
      <c r="H501" s="1193" t="s">
        <v>1449</v>
      </c>
      <c r="I501" s="1194" t="s">
        <v>1442</v>
      </c>
      <c r="J501" s="1195" t="s">
        <v>1537</v>
      </c>
      <c r="K501" s="1176" t="s">
        <v>676</v>
      </c>
      <c r="L501" s="1178" t="s">
        <v>983</v>
      </c>
      <c r="M501" s="1179">
        <v>80000000</v>
      </c>
      <c r="N501" s="1175" t="s">
        <v>726</v>
      </c>
      <c r="O501" s="1175" t="s">
        <v>1499</v>
      </c>
    </row>
    <row r="502" spans="1:18" s="1159" customFormat="1" ht="90" x14ac:dyDescent="0.25">
      <c r="A502" s="1172">
        <v>2022496</v>
      </c>
      <c r="B502" s="1172">
        <v>7658</v>
      </c>
      <c r="C502" s="1172" t="s">
        <v>681</v>
      </c>
      <c r="D502" s="1190" t="s">
        <v>700</v>
      </c>
      <c r="E502" s="1234" t="s">
        <v>1127</v>
      </c>
      <c r="F502" s="1175" t="s">
        <v>1128</v>
      </c>
      <c r="G502" s="1193" t="s">
        <v>1440</v>
      </c>
      <c r="H502" s="1193" t="s">
        <v>1449</v>
      </c>
      <c r="I502" s="1194" t="s">
        <v>1581</v>
      </c>
      <c r="J502" s="1195" t="s">
        <v>1537</v>
      </c>
      <c r="K502" s="1176" t="s">
        <v>676</v>
      </c>
      <c r="L502" s="1178" t="s">
        <v>983</v>
      </c>
      <c r="M502" s="1179">
        <v>150000000</v>
      </c>
      <c r="N502" s="1175" t="s">
        <v>726</v>
      </c>
      <c r="O502" s="1175" t="s">
        <v>1499</v>
      </c>
    </row>
    <row r="503" spans="1:18" s="1159" customFormat="1" ht="90" x14ac:dyDescent="0.25">
      <c r="A503" s="1172">
        <v>2022497</v>
      </c>
      <c r="B503" s="1172">
        <v>7658</v>
      </c>
      <c r="C503" s="1172" t="s">
        <v>681</v>
      </c>
      <c r="D503" s="1190" t="s">
        <v>700</v>
      </c>
      <c r="E503" s="1234">
        <v>72101509</v>
      </c>
      <c r="F503" s="1175" t="s">
        <v>1129</v>
      </c>
      <c r="G503" s="1193" t="s">
        <v>1440</v>
      </c>
      <c r="H503" s="1193" t="s">
        <v>1449</v>
      </c>
      <c r="I503" s="1194" t="s">
        <v>1581</v>
      </c>
      <c r="J503" s="1195" t="s">
        <v>1537</v>
      </c>
      <c r="K503" s="1176" t="s">
        <v>676</v>
      </c>
      <c r="L503" s="1178" t="s">
        <v>983</v>
      </c>
      <c r="M503" s="1179">
        <v>350000000</v>
      </c>
      <c r="N503" s="1175" t="s">
        <v>726</v>
      </c>
      <c r="O503" s="1175" t="s">
        <v>1499</v>
      </c>
    </row>
    <row r="504" spans="1:18" s="1159" customFormat="1" ht="90" x14ac:dyDescent="0.25">
      <c r="A504" s="1172">
        <v>2022498</v>
      </c>
      <c r="B504" s="1172">
        <v>7658</v>
      </c>
      <c r="C504" s="1172" t="s">
        <v>681</v>
      </c>
      <c r="D504" s="1190" t="s">
        <v>700</v>
      </c>
      <c r="E504" s="1234">
        <v>72101509</v>
      </c>
      <c r="F504" s="1175" t="s">
        <v>1586</v>
      </c>
      <c r="G504" s="1193" t="s">
        <v>1440</v>
      </c>
      <c r="H504" s="1193" t="s">
        <v>1449</v>
      </c>
      <c r="I504" s="1194" t="s">
        <v>1581</v>
      </c>
      <c r="J504" s="1195" t="s">
        <v>1587</v>
      </c>
      <c r="K504" s="1176" t="s">
        <v>676</v>
      </c>
      <c r="L504" s="1178" t="s">
        <v>983</v>
      </c>
      <c r="M504" s="1179">
        <v>300000000</v>
      </c>
      <c r="N504" s="1175" t="s">
        <v>726</v>
      </c>
      <c r="O504" s="1175" t="s">
        <v>1499</v>
      </c>
    </row>
    <row r="505" spans="1:18" s="1159" customFormat="1" ht="90" x14ac:dyDescent="0.25">
      <c r="A505" s="1182">
        <v>2022499</v>
      </c>
      <c r="B505" s="1182">
        <v>7658</v>
      </c>
      <c r="C505" s="1182" t="s">
        <v>681</v>
      </c>
      <c r="D505" s="1227" t="s">
        <v>700</v>
      </c>
      <c r="E505" s="1236">
        <v>78111800</v>
      </c>
      <c r="F505" s="1185" t="s">
        <v>1131</v>
      </c>
      <c r="G505" s="1245" t="s">
        <v>1440</v>
      </c>
      <c r="H505" s="1245" t="s">
        <v>1449</v>
      </c>
      <c r="I505" s="1239" t="s">
        <v>1581</v>
      </c>
      <c r="J505" s="1240" t="s">
        <v>1501</v>
      </c>
      <c r="K505" s="1184" t="s">
        <v>676</v>
      </c>
      <c r="L505" s="1247" t="s">
        <v>1132</v>
      </c>
      <c r="M505" s="1186">
        <f>600000000-100000000</f>
        <v>500000000</v>
      </c>
      <c r="N505" s="1185" t="s">
        <v>726</v>
      </c>
      <c r="O505" s="1185" t="s">
        <v>1499</v>
      </c>
      <c r="R505" s="1180"/>
    </row>
    <row r="506" spans="1:18" s="1159" customFormat="1" ht="90" x14ac:dyDescent="0.2">
      <c r="A506" s="1182">
        <v>2022500</v>
      </c>
      <c r="B506" s="1182">
        <v>7658</v>
      </c>
      <c r="C506" s="1265" t="s">
        <v>681</v>
      </c>
      <c r="D506" s="1227" t="s">
        <v>700</v>
      </c>
      <c r="E506" s="1236"/>
      <c r="F506" s="1185" t="s">
        <v>1133</v>
      </c>
      <c r="G506" s="1245" t="s">
        <v>1440</v>
      </c>
      <c r="H506" s="1245" t="s">
        <v>1449</v>
      </c>
      <c r="I506" s="1239" t="s">
        <v>1581</v>
      </c>
      <c r="J506" s="1266"/>
      <c r="K506" s="1184" t="s">
        <v>676</v>
      </c>
      <c r="L506" s="1267" t="s">
        <v>677</v>
      </c>
      <c r="M506" s="1188">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185" t="s">
        <v>1578</v>
      </c>
      <c r="O506" s="1185" t="s">
        <v>1499</v>
      </c>
      <c r="R506" s="1180"/>
    </row>
    <row r="507" spans="1:18" s="1159" customFormat="1" ht="90" x14ac:dyDescent="0.25">
      <c r="A507" s="1172">
        <v>2022501</v>
      </c>
      <c r="B507" s="1172">
        <v>7658</v>
      </c>
      <c r="C507" s="1268" t="s">
        <v>681</v>
      </c>
      <c r="D507" s="1190" t="s">
        <v>700</v>
      </c>
      <c r="E507" s="1234" t="s">
        <v>1134</v>
      </c>
      <c r="F507" s="1175" t="s">
        <v>1135</v>
      </c>
      <c r="G507" s="1193" t="s">
        <v>1440</v>
      </c>
      <c r="H507" s="1193" t="s">
        <v>1449</v>
      </c>
      <c r="I507" s="1194" t="s">
        <v>1581</v>
      </c>
      <c r="J507" s="1195" t="s">
        <v>1328</v>
      </c>
      <c r="K507" s="1176" t="s">
        <v>772</v>
      </c>
      <c r="L507" s="1178" t="s">
        <v>1518</v>
      </c>
      <c r="M507" s="1179">
        <v>437560000</v>
      </c>
      <c r="N507" s="1175" t="s">
        <v>726</v>
      </c>
      <c r="O507" s="1175" t="s">
        <v>1499</v>
      </c>
    </row>
    <row r="508" spans="1:18" s="1159" customFormat="1" ht="90" x14ac:dyDescent="0.25">
      <c r="A508" s="1182">
        <v>2022502</v>
      </c>
      <c r="B508" s="1182">
        <v>7658</v>
      </c>
      <c r="C508" s="1265" t="s">
        <v>681</v>
      </c>
      <c r="D508" s="1227" t="s">
        <v>700</v>
      </c>
      <c r="E508" s="1236">
        <v>80111600</v>
      </c>
      <c r="F508" s="1185" t="s">
        <v>1136</v>
      </c>
      <c r="G508" s="1245" t="s">
        <v>1440</v>
      </c>
      <c r="H508" s="1246" t="s">
        <v>1440</v>
      </c>
      <c r="I508" s="1239" t="s">
        <v>1493</v>
      </c>
      <c r="J508" s="1240" t="s">
        <v>1479</v>
      </c>
      <c r="K508" s="1184" t="s">
        <v>676</v>
      </c>
      <c r="L508" s="1183" t="s">
        <v>677</v>
      </c>
      <c r="M508" s="1186">
        <f>98900000-4300000</f>
        <v>94600000</v>
      </c>
      <c r="N508" s="1185" t="s">
        <v>726</v>
      </c>
      <c r="O508" s="1185" t="s">
        <v>1499</v>
      </c>
      <c r="R508" s="1180"/>
    </row>
    <row r="509" spans="1:18" s="1159" customFormat="1" ht="90" x14ac:dyDescent="0.25">
      <c r="A509" s="1182">
        <v>2022503</v>
      </c>
      <c r="B509" s="1182">
        <v>7658</v>
      </c>
      <c r="C509" s="1265" t="s">
        <v>681</v>
      </c>
      <c r="D509" s="1227" t="s">
        <v>700</v>
      </c>
      <c r="E509" s="1236">
        <v>80111600</v>
      </c>
      <c r="F509" s="1185" t="s">
        <v>1137</v>
      </c>
      <c r="G509" s="1245" t="s">
        <v>1440</v>
      </c>
      <c r="H509" s="1246" t="s">
        <v>1440</v>
      </c>
      <c r="I509" s="1239" t="s">
        <v>1493</v>
      </c>
      <c r="J509" s="1240" t="s">
        <v>1479</v>
      </c>
      <c r="K509" s="1184" t="s">
        <v>676</v>
      </c>
      <c r="L509" s="1183" t="s">
        <v>677</v>
      </c>
      <c r="M509" s="1186">
        <f>97175000-4225000</f>
        <v>92950000</v>
      </c>
      <c r="N509" s="1185" t="s">
        <v>726</v>
      </c>
      <c r="O509" s="1185" t="s">
        <v>1499</v>
      </c>
      <c r="R509" s="1180"/>
    </row>
    <row r="510" spans="1:18" s="1159" customFormat="1" ht="90" customHeight="1" x14ac:dyDescent="0.25">
      <c r="A510" s="1182">
        <v>2022504</v>
      </c>
      <c r="B510" s="1182">
        <v>7658</v>
      </c>
      <c r="C510" s="1265" t="s">
        <v>681</v>
      </c>
      <c r="D510" s="1227" t="s">
        <v>700</v>
      </c>
      <c r="E510" s="1236">
        <v>80111600</v>
      </c>
      <c r="F510" s="1185" t="s">
        <v>1138</v>
      </c>
      <c r="G510" s="1245" t="s">
        <v>1440</v>
      </c>
      <c r="H510" s="1246" t="s">
        <v>1440</v>
      </c>
      <c r="I510" s="1239" t="s">
        <v>1493</v>
      </c>
      <c r="J510" s="1240" t="s">
        <v>1479</v>
      </c>
      <c r="K510" s="1184" t="s">
        <v>676</v>
      </c>
      <c r="L510" s="1183" t="s">
        <v>784</v>
      </c>
      <c r="M510" s="1186">
        <f>103500000-4500000</f>
        <v>99000000</v>
      </c>
      <c r="N510" s="1185" t="s">
        <v>726</v>
      </c>
      <c r="O510" s="1185" t="s">
        <v>1499</v>
      </c>
      <c r="R510" s="1180"/>
    </row>
    <row r="511" spans="1:18" s="1159" customFormat="1" ht="90" x14ac:dyDescent="0.25">
      <c r="A511" s="1182">
        <v>2022505</v>
      </c>
      <c r="B511" s="1182">
        <v>7658</v>
      </c>
      <c r="C511" s="1265" t="s">
        <v>681</v>
      </c>
      <c r="D511" s="1227" t="s">
        <v>700</v>
      </c>
      <c r="E511" s="1236">
        <v>80111600</v>
      </c>
      <c r="F511" s="1185" t="s">
        <v>1139</v>
      </c>
      <c r="G511" s="1245" t="s">
        <v>1440</v>
      </c>
      <c r="H511" s="1246" t="s">
        <v>1440</v>
      </c>
      <c r="I511" s="1239" t="s">
        <v>1493</v>
      </c>
      <c r="J511" s="1240" t="s">
        <v>1479</v>
      </c>
      <c r="K511" s="1184" t="s">
        <v>676</v>
      </c>
      <c r="L511" s="1183" t="s">
        <v>677</v>
      </c>
      <c r="M511" s="1186">
        <f>94760000-4120000</f>
        <v>90640000</v>
      </c>
      <c r="N511" s="1185" t="s">
        <v>1578</v>
      </c>
      <c r="O511" s="1185" t="s">
        <v>1499</v>
      </c>
      <c r="R511" s="1180"/>
    </row>
    <row r="512" spans="1:18" s="1159" customFormat="1" ht="90" x14ac:dyDescent="0.25">
      <c r="A512" s="1182">
        <v>2022506</v>
      </c>
      <c r="B512" s="1182">
        <v>7658</v>
      </c>
      <c r="C512" s="1265" t="s">
        <v>681</v>
      </c>
      <c r="D512" s="1227" t="s">
        <v>700</v>
      </c>
      <c r="E512" s="1236">
        <v>80111600</v>
      </c>
      <c r="F512" s="1185" t="s">
        <v>1140</v>
      </c>
      <c r="G512" s="1245" t="s">
        <v>1440</v>
      </c>
      <c r="H512" s="1246" t="s">
        <v>1440</v>
      </c>
      <c r="I512" s="1239" t="s">
        <v>1493</v>
      </c>
      <c r="J512" s="1240" t="s">
        <v>1479</v>
      </c>
      <c r="K512" s="1184" t="s">
        <v>676</v>
      </c>
      <c r="L512" s="1184" t="s">
        <v>677</v>
      </c>
      <c r="M512" s="1186">
        <f>97175000-20700000-13225000-2750000</f>
        <v>60500000</v>
      </c>
      <c r="N512" s="1185" t="s">
        <v>726</v>
      </c>
      <c r="O512" s="1185" t="s">
        <v>1499</v>
      </c>
      <c r="R512" s="1180"/>
    </row>
    <row r="513" spans="1:18" s="1159" customFormat="1" ht="90" x14ac:dyDescent="0.25">
      <c r="A513" s="1182">
        <v>2022507</v>
      </c>
      <c r="B513" s="1182">
        <v>7658</v>
      </c>
      <c r="C513" s="1265" t="s">
        <v>681</v>
      </c>
      <c r="D513" s="1227" t="s">
        <v>700</v>
      </c>
      <c r="E513" s="1236">
        <v>80111600</v>
      </c>
      <c r="F513" s="1185" t="s">
        <v>1141</v>
      </c>
      <c r="G513" s="1245" t="s">
        <v>1440</v>
      </c>
      <c r="H513" s="1246" t="s">
        <v>1440</v>
      </c>
      <c r="I513" s="1239" t="s">
        <v>1493</v>
      </c>
      <c r="J513" s="1240" t="s">
        <v>1479</v>
      </c>
      <c r="K513" s="1184" t="s">
        <v>676</v>
      </c>
      <c r="L513" s="1183" t="s">
        <v>677</v>
      </c>
      <c r="M513" s="1186">
        <f>82915000-3605000</f>
        <v>79310000</v>
      </c>
      <c r="N513" s="1185" t="s">
        <v>726</v>
      </c>
      <c r="O513" s="1185" t="s">
        <v>1499</v>
      </c>
      <c r="R513" s="1180"/>
    </row>
    <row r="514" spans="1:18" s="1159" customFormat="1" ht="90" x14ac:dyDescent="0.25">
      <c r="A514" s="1172">
        <v>2022508</v>
      </c>
      <c r="B514" s="1172">
        <v>7658</v>
      </c>
      <c r="C514" s="1268" t="s">
        <v>681</v>
      </c>
      <c r="D514" s="1190" t="s">
        <v>700</v>
      </c>
      <c r="E514" s="1234">
        <v>80111600</v>
      </c>
      <c r="F514" s="1175" t="s">
        <v>1142</v>
      </c>
      <c r="G514" s="1193" t="s">
        <v>1440</v>
      </c>
      <c r="H514" s="1212" t="s">
        <v>1440</v>
      </c>
      <c r="I514" s="1194" t="s">
        <v>1493</v>
      </c>
      <c r="J514" s="1195" t="s">
        <v>1479</v>
      </c>
      <c r="K514" s="1176" t="s">
        <v>676</v>
      </c>
      <c r="L514" s="1178" t="s">
        <v>677</v>
      </c>
      <c r="M514" s="1179">
        <v>32200000</v>
      </c>
      <c r="N514" s="1175" t="s">
        <v>726</v>
      </c>
      <c r="O514" s="1175" t="s">
        <v>1499</v>
      </c>
    </row>
    <row r="515" spans="1:18" s="1159" customFormat="1" ht="90" customHeight="1" x14ac:dyDescent="0.25">
      <c r="A515" s="1182">
        <v>2022509</v>
      </c>
      <c r="B515" s="1182">
        <v>7658</v>
      </c>
      <c r="C515" s="1265" t="s">
        <v>681</v>
      </c>
      <c r="D515" s="1227" t="s">
        <v>700</v>
      </c>
      <c r="E515" s="1236">
        <v>80111600</v>
      </c>
      <c r="F515" s="1185" t="s">
        <v>1143</v>
      </c>
      <c r="G515" s="1245" t="s">
        <v>1440</v>
      </c>
      <c r="H515" s="1246" t="s">
        <v>1440</v>
      </c>
      <c r="I515" s="1239" t="s">
        <v>1493</v>
      </c>
      <c r="J515" s="1240" t="s">
        <v>1479</v>
      </c>
      <c r="K515" s="1184" t="s">
        <v>676</v>
      </c>
      <c r="L515" s="1183" t="s">
        <v>677</v>
      </c>
      <c r="M515" s="1186">
        <f>36685000-1595000</f>
        <v>35090000</v>
      </c>
      <c r="N515" s="1185" t="s">
        <v>1578</v>
      </c>
      <c r="O515" s="1185" t="s">
        <v>1499</v>
      </c>
      <c r="R515" s="1180"/>
    </row>
    <row r="516" spans="1:18" s="1159" customFormat="1" ht="90" customHeight="1" x14ac:dyDescent="0.25">
      <c r="A516" s="1182">
        <v>2022510</v>
      </c>
      <c r="B516" s="1182">
        <v>7658</v>
      </c>
      <c r="C516" s="1265" t="s">
        <v>681</v>
      </c>
      <c r="D516" s="1227" t="s">
        <v>700</v>
      </c>
      <c r="E516" s="1236">
        <v>80111600</v>
      </c>
      <c r="F516" s="1185" t="s">
        <v>1144</v>
      </c>
      <c r="G516" s="1245" t="s">
        <v>1440</v>
      </c>
      <c r="H516" s="1246" t="s">
        <v>1440</v>
      </c>
      <c r="I516" s="1239" t="s">
        <v>1493</v>
      </c>
      <c r="J516" s="1240" t="s">
        <v>1479</v>
      </c>
      <c r="K516" s="1184" t="s">
        <v>676</v>
      </c>
      <c r="L516" s="1183" t="s">
        <v>677</v>
      </c>
      <c r="M516" s="1186">
        <f>97175000-4225000</f>
        <v>92950000</v>
      </c>
      <c r="N516" s="1185" t="s">
        <v>1578</v>
      </c>
      <c r="O516" s="1185" t="s">
        <v>1499</v>
      </c>
      <c r="R516" s="1180"/>
    </row>
    <row r="517" spans="1:18" s="1159" customFormat="1" ht="90" customHeight="1" x14ac:dyDescent="0.25">
      <c r="A517" s="1182">
        <v>2022511</v>
      </c>
      <c r="B517" s="1182">
        <v>7658</v>
      </c>
      <c r="C517" s="1265" t="s">
        <v>681</v>
      </c>
      <c r="D517" s="1227" t="s">
        <v>700</v>
      </c>
      <c r="E517" s="1236">
        <v>80111600</v>
      </c>
      <c r="F517" s="1185" t="s">
        <v>1145</v>
      </c>
      <c r="G517" s="1245" t="s">
        <v>1440</v>
      </c>
      <c r="H517" s="1246" t="s">
        <v>1440</v>
      </c>
      <c r="I517" s="1239" t="s">
        <v>1493</v>
      </c>
      <c r="J517" s="1240" t="s">
        <v>1479</v>
      </c>
      <c r="K517" s="1184" t="s">
        <v>676</v>
      </c>
      <c r="L517" s="1183" t="s">
        <v>677</v>
      </c>
      <c r="M517" s="1186">
        <f>45655000-1985000</f>
        <v>43670000</v>
      </c>
      <c r="N517" s="1185" t="s">
        <v>1578</v>
      </c>
      <c r="O517" s="1185" t="s">
        <v>1499</v>
      </c>
      <c r="R517" s="1180"/>
    </row>
    <row r="518" spans="1:18" s="1159" customFormat="1" ht="90" customHeight="1" x14ac:dyDescent="0.25">
      <c r="A518" s="1182">
        <v>2022512</v>
      </c>
      <c r="B518" s="1182">
        <v>7658</v>
      </c>
      <c r="C518" s="1265" t="s">
        <v>681</v>
      </c>
      <c r="D518" s="1227" t="s">
        <v>700</v>
      </c>
      <c r="E518" s="1236">
        <v>80111600</v>
      </c>
      <c r="F518" s="1185" t="s">
        <v>1141</v>
      </c>
      <c r="G518" s="1245" t="s">
        <v>1440</v>
      </c>
      <c r="H518" s="1246" t="s">
        <v>1440</v>
      </c>
      <c r="I518" s="1239" t="s">
        <v>1493</v>
      </c>
      <c r="J518" s="1240" t="s">
        <v>1479</v>
      </c>
      <c r="K518" s="1184" t="s">
        <v>676</v>
      </c>
      <c r="L518" s="1183" t="s">
        <v>677</v>
      </c>
      <c r="M518" s="1186">
        <f>82915000-3605000</f>
        <v>79310000</v>
      </c>
      <c r="N518" s="1185" t="s">
        <v>726</v>
      </c>
      <c r="O518" s="1185" t="s">
        <v>1499</v>
      </c>
      <c r="R518" s="1180"/>
    </row>
    <row r="519" spans="1:18" s="1159" customFormat="1" ht="90" customHeight="1" x14ac:dyDescent="0.25">
      <c r="A519" s="1182">
        <v>2022513</v>
      </c>
      <c r="B519" s="1182">
        <v>7658</v>
      </c>
      <c r="C519" s="1265" t="s">
        <v>681</v>
      </c>
      <c r="D519" s="1227" t="s">
        <v>700</v>
      </c>
      <c r="E519" s="1236">
        <v>80111600</v>
      </c>
      <c r="F519" s="1185" t="s">
        <v>1588</v>
      </c>
      <c r="G519" s="1245" t="s">
        <v>1440</v>
      </c>
      <c r="H519" s="1246" t="s">
        <v>1440</v>
      </c>
      <c r="I519" s="1239" t="s">
        <v>1493</v>
      </c>
      <c r="J519" s="1240" t="s">
        <v>1479</v>
      </c>
      <c r="K519" s="1184" t="s">
        <v>676</v>
      </c>
      <c r="L519" s="1183" t="s">
        <v>677</v>
      </c>
      <c r="M519" s="1186">
        <f>28175000-28175000</f>
        <v>0</v>
      </c>
      <c r="N519" s="1185" t="s">
        <v>726</v>
      </c>
      <c r="O519" s="1185" t="s">
        <v>1499</v>
      </c>
      <c r="P519" s="1269"/>
      <c r="R519" s="1180"/>
    </row>
    <row r="520" spans="1:18" s="1159" customFormat="1" ht="90" customHeight="1" x14ac:dyDescent="0.25">
      <c r="A520" s="1182">
        <v>2022514</v>
      </c>
      <c r="B520" s="1182">
        <v>7658</v>
      </c>
      <c r="C520" s="1265" t="s">
        <v>681</v>
      </c>
      <c r="D520" s="1227" t="s">
        <v>700</v>
      </c>
      <c r="E520" s="1236">
        <v>80111600</v>
      </c>
      <c r="F520" s="1185" t="s">
        <v>1147</v>
      </c>
      <c r="G520" s="1245" t="s">
        <v>1440</v>
      </c>
      <c r="H520" s="1246" t="s">
        <v>1440</v>
      </c>
      <c r="I520" s="1239" t="s">
        <v>1493</v>
      </c>
      <c r="J520" s="1240" t="s">
        <v>1479</v>
      </c>
      <c r="K520" s="1184" t="s">
        <v>676</v>
      </c>
      <c r="L520" s="1183" t="s">
        <v>677</v>
      </c>
      <c r="M520" s="1186">
        <f>45655000-1985000</f>
        <v>43670000</v>
      </c>
      <c r="N520" s="1185" t="s">
        <v>1578</v>
      </c>
      <c r="O520" s="1185" t="s">
        <v>1499</v>
      </c>
      <c r="R520" s="1180"/>
    </row>
    <row r="521" spans="1:18" s="1159" customFormat="1" ht="90" x14ac:dyDescent="0.25">
      <c r="A521" s="1182">
        <v>2022515</v>
      </c>
      <c r="B521" s="1182">
        <v>7658</v>
      </c>
      <c r="C521" s="1265" t="s">
        <v>681</v>
      </c>
      <c r="D521" s="1227" t="s">
        <v>700</v>
      </c>
      <c r="E521" s="1236">
        <v>80111600</v>
      </c>
      <c r="F521" s="1185" t="s">
        <v>1148</v>
      </c>
      <c r="G521" s="1245" t="s">
        <v>1440</v>
      </c>
      <c r="H521" s="1246" t="s">
        <v>1440</v>
      </c>
      <c r="I521" s="1239" t="s">
        <v>1493</v>
      </c>
      <c r="J521" s="1240" t="s">
        <v>1479</v>
      </c>
      <c r="K521" s="1184" t="s">
        <v>676</v>
      </c>
      <c r="L521" s="1183" t="s">
        <v>677</v>
      </c>
      <c r="M521" s="1186">
        <f>36685000-1595000</f>
        <v>35090000</v>
      </c>
      <c r="N521" s="1185" t="s">
        <v>726</v>
      </c>
      <c r="O521" s="1185" t="s">
        <v>1499</v>
      </c>
      <c r="R521" s="1180"/>
    </row>
    <row r="522" spans="1:18" s="1159" customFormat="1" ht="90" x14ac:dyDescent="0.25">
      <c r="A522" s="1182">
        <v>2022516</v>
      </c>
      <c r="B522" s="1182">
        <v>7658</v>
      </c>
      <c r="C522" s="1265" t="s">
        <v>681</v>
      </c>
      <c r="D522" s="1227" t="s">
        <v>700</v>
      </c>
      <c r="E522" s="1236">
        <v>80111600</v>
      </c>
      <c r="F522" s="1185" t="s">
        <v>1149</v>
      </c>
      <c r="G522" s="1245" t="s">
        <v>1440</v>
      </c>
      <c r="H522" s="1246" t="s">
        <v>1440</v>
      </c>
      <c r="I522" s="1239" t="s">
        <v>1493</v>
      </c>
      <c r="J522" s="1240" t="s">
        <v>1479</v>
      </c>
      <c r="K522" s="1184" t="s">
        <v>676</v>
      </c>
      <c r="L522" s="1183" t="s">
        <v>677</v>
      </c>
      <c r="M522" s="1186">
        <f>28175000-1225000</f>
        <v>26950000</v>
      </c>
      <c r="N522" s="1185" t="s">
        <v>1578</v>
      </c>
      <c r="O522" s="1185" t="s">
        <v>1499</v>
      </c>
      <c r="R522" s="1180"/>
    </row>
    <row r="523" spans="1:18" s="1159" customFormat="1" ht="90" x14ac:dyDescent="0.25">
      <c r="A523" s="1182">
        <v>2022517</v>
      </c>
      <c r="B523" s="1182">
        <v>7658</v>
      </c>
      <c r="C523" s="1265" t="s">
        <v>681</v>
      </c>
      <c r="D523" s="1227" t="s">
        <v>700</v>
      </c>
      <c r="E523" s="1236">
        <v>80111600</v>
      </c>
      <c r="F523" s="1185" t="s">
        <v>1150</v>
      </c>
      <c r="G523" s="1245" t="s">
        <v>1440</v>
      </c>
      <c r="H523" s="1246" t="s">
        <v>1440</v>
      </c>
      <c r="I523" s="1239" t="s">
        <v>1493</v>
      </c>
      <c r="J523" s="1240" t="s">
        <v>1479</v>
      </c>
      <c r="K523" s="1184" t="s">
        <v>676</v>
      </c>
      <c r="L523" s="1183" t="s">
        <v>677</v>
      </c>
      <c r="M523" s="1186">
        <f>36685000-1595000</f>
        <v>35090000</v>
      </c>
      <c r="N523" s="1185" t="s">
        <v>726</v>
      </c>
      <c r="O523" s="1185" t="s">
        <v>1499</v>
      </c>
      <c r="R523" s="1180"/>
    </row>
    <row r="524" spans="1:18" s="1159" customFormat="1" ht="90" x14ac:dyDescent="0.25">
      <c r="A524" s="1182">
        <v>2022518</v>
      </c>
      <c r="B524" s="1182">
        <v>7658</v>
      </c>
      <c r="C524" s="1265" t="s">
        <v>681</v>
      </c>
      <c r="D524" s="1227" t="s">
        <v>700</v>
      </c>
      <c r="E524" s="1236">
        <v>80111600</v>
      </c>
      <c r="F524" s="1185" t="s">
        <v>1151</v>
      </c>
      <c r="G524" s="1245" t="s">
        <v>1440</v>
      </c>
      <c r="H524" s="1246" t="s">
        <v>1440</v>
      </c>
      <c r="I524" s="1239" t="s">
        <v>1493</v>
      </c>
      <c r="J524" s="1240" t="s">
        <v>1479</v>
      </c>
      <c r="K524" s="1184" t="s">
        <v>676</v>
      </c>
      <c r="L524" s="1184" t="s">
        <v>677</v>
      </c>
      <c r="M524" s="1186">
        <f>51750000-50000</f>
        <v>51700000</v>
      </c>
      <c r="N524" s="1185" t="s">
        <v>726</v>
      </c>
      <c r="O524" s="1185" t="s">
        <v>1499</v>
      </c>
      <c r="R524" s="1180"/>
    </row>
    <row r="525" spans="1:18" s="1159" customFormat="1" ht="90" x14ac:dyDescent="0.25">
      <c r="A525" s="1182">
        <v>2022519</v>
      </c>
      <c r="B525" s="1182">
        <v>7658</v>
      </c>
      <c r="C525" s="1265" t="s">
        <v>681</v>
      </c>
      <c r="D525" s="1227" t="s">
        <v>700</v>
      </c>
      <c r="E525" s="1236">
        <v>80111600</v>
      </c>
      <c r="F525" s="1185" t="s">
        <v>1152</v>
      </c>
      <c r="G525" s="1245" t="s">
        <v>1440</v>
      </c>
      <c r="H525" s="1246" t="s">
        <v>1440</v>
      </c>
      <c r="I525" s="1239" t="s">
        <v>1493</v>
      </c>
      <c r="J525" s="1240" t="s">
        <v>1479</v>
      </c>
      <c r="K525" s="1184" t="s">
        <v>676</v>
      </c>
      <c r="L525" s="1183" t="s">
        <v>677</v>
      </c>
      <c r="M525" s="1186">
        <f>54050000-4550000</f>
        <v>49500000</v>
      </c>
      <c r="N525" s="1185" t="s">
        <v>1578</v>
      </c>
      <c r="O525" s="1185" t="s">
        <v>1499</v>
      </c>
      <c r="R525" s="1180"/>
    </row>
    <row r="526" spans="1:18" s="1159" customFormat="1" ht="90" x14ac:dyDescent="0.25">
      <c r="A526" s="1182">
        <v>2022520</v>
      </c>
      <c r="B526" s="1182">
        <v>7658</v>
      </c>
      <c r="C526" s="1265" t="s">
        <v>681</v>
      </c>
      <c r="D526" s="1227" t="s">
        <v>700</v>
      </c>
      <c r="E526" s="1236">
        <v>80111600</v>
      </c>
      <c r="F526" s="1185" t="s">
        <v>1153</v>
      </c>
      <c r="G526" s="1245" t="s">
        <v>1440</v>
      </c>
      <c r="H526" s="1246" t="s">
        <v>1440</v>
      </c>
      <c r="I526" s="1239" t="s">
        <v>1493</v>
      </c>
      <c r="J526" s="1240" t="s">
        <v>1479</v>
      </c>
      <c r="K526" s="1184" t="s">
        <v>676</v>
      </c>
      <c r="L526" s="1183" t="s">
        <v>677</v>
      </c>
      <c r="M526" s="1186">
        <f>51750000-2250000</f>
        <v>49500000</v>
      </c>
      <c r="N526" s="1185" t="s">
        <v>726</v>
      </c>
      <c r="O526" s="1185" t="s">
        <v>1499</v>
      </c>
      <c r="R526" s="1180"/>
    </row>
    <row r="527" spans="1:18" s="1159" customFormat="1" ht="90" x14ac:dyDescent="0.25">
      <c r="A527" s="1182">
        <v>2022521</v>
      </c>
      <c r="B527" s="1182">
        <v>7658</v>
      </c>
      <c r="C527" s="1265" t="s">
        <v>681</v>
      </c>
      <c r="D527" s="1227" t="s">
        <v>700</v>
      </c>
      <c r="E527" s="1236">
        <v>80111600</v>
      </c>
      <c r="F527" s="1185" t="s">
        <v>1154</v>
      </c>
      <c r="G527" s="1245" t="s">
        <v>1440</v>
      </c>
      <c r="H527" s="1246" t="s">
        <v>1440</v>
      </c>
      <c r="I527" s="1239" t="s">
        <v>1493</v>
      </c>
      <c r="J527" s="1240" t="s">
        <v>1479</v>
      </c>
      <c r="K527" s="1184" t="s">
        <v>676</v>
      </c>
      <c r="L527" s="1183" t="s">
        <v>677</v>
      </c>
      <c r="M527" s="1186">
        <f>45655000-1985000</f>
        <v>43670000</v>
      </c>
      <c r="N527" s="1185" t="s">
        <v>726</v>
      </c>
      <c r="O527" s="1185" t="s">
        <v>1499</v>
      </c>
      <c r="R527" s="1180"/>
    </row>
    <row r="528" spans="1:18" s="1159" customFormat="1" ht="90" x14ac:dyDescent="0.25">
      <c r="A528" s="1182">
        <v>2022522</v>
      </c>
      <c r="B528" s="1182">
        <v>7658</v>
      </c>
      <c r="C528" s="1265" t="s">
        <v>681</v>
      </c>
      <c r="D528" s="1227" t="s">
        <v>700</v>
      </c>
      <c r="E528" s="1236">
        <v>80111600</v>
      </c>
      <c r="F528" s="1185" t="s">
        <v>1141</v>
      </c>
      <c r="G528" s="1245" t="s">
        <v>1440</v>
      </c>
      <c r="H528" s="1246" t="s">
        <v>1440</v>
      </c>
      <c r="I528" s="1239" t="s">
        <v>1493</v>
      </c>
      <c r="J528" s="1240" t="s">
        <v>1479</v>
      </c>
      <c r="K528" s="1184" t="s">
        <v>676</v>
      </c>
      <c r="L528" s="1183" t="s">
        <v>677</v>
      </c>
      <c r="M528" s="1186">
        <f>82915000-3605000</f>
        <v>79310000</v>
      </c>
      <c r="N528" s="1185" t="s">
        <v>726</v>
      </c>
      <c r="O528" s="1185" t="s">
        <v>1499</v>
      </c>
      <c r="R528" s="1180"/>
    </row>
    <row r="529" spans="1:18" s="1159" customFormat="1" ht="90" x14ac:dyDescent="0.25">
      <c r="A529" s="1182">
        <v>2022523</v>
      </c>
      <c r="B529" s="1182">
        <v>7658</v>
      </c>
      <c r="C529" s="1265" t="s">
        <v>681</v>
      </c>
      <c r="D529" s="1227" t="s">
        <v>700</v>
      </c>
      <c r="E529" s="1236">
        <v>80111600</v>
      </c>
      <c r="F529" s="1185" t="s">
        <v>1155</v>
      </c>
      <c r="G529" s="1245" t="s">
        <v>1440</v>
      </c>
      <c r="H529" s="1246" t="s">
        <v>1440</v>
      </c>
      <c r="I529" s="1239" t="s">
        <v>1493</v>
      </c>
      <c r="J529" s="1240" t="s">
        <v>1479</v>
      </c>
      <c r="K529" s="1184" t="s">
        <v>676</v>
      </c>
      <c r="L529" s="1183" t="s">
        <v>784</v>
      </c>
      <c r="M529" s="1186">
        <f>54510000-2370000</f>
        <v>52140000</v>
      </c>
      <c r="N529" s="1185" t="s">
        <v>1578</v>
      </c>
      <c r="O529" s="1185" t="s">
        <v>1499</v>
      </c>
      <c r="R529" s="1180"/>
    </row>
    <row r="530" spans="1:18" s="1159" customFormat="1" ht="90" x14ac:dyDescent="0.25">
      <c r="A530" s="1182">
        <v>2022524</v>
      </c>
      <c r="B530" s="1182">
        <v>7658</v>
      </c>
      <c r="C530" s="1265" t="s">
        <v>681</v>
      </c>
      <c r="D530" s="1227" t="s">
        <v>700</v>
      </c>
      <c r="E530" s="1236">
        <v>80111600</v>
      </c>
      <c r="F530" s="1185" t="s">
        <v>1156</v>
      </c>
      <c r="G530" s="1245" t="s">
        <v>1440</v>
      </c>
      <c r="H530" s="1246" t="s">
        <v>1440</v>
      </c>
      <c r="I530" s="1239" t="s">
        <v>1493</v>
      </c>
      <c r="J530" s="1240" t="s">
        <v>1479</v>
      </c>
      <c r="K530" s="1184" t="s">
        <v>676</v>
      </c>
      <c r="L530" s="1183" t="s">
        <v>677</v>
      </c>
      <c r="M530" s="1186">
        <f>36685000-1595000</f>
        <v>35090000</v>
      </c>
      <c r="N530" s="1185" t="s">
        <v>726</v>
      </c>
      <c r="O530" s="1185" t="s">
        <v>1499</v>
      </c>
    </row>
    <row r="531" spans="1:18" s="1159" customFormat="1" ht="90" x14ac:dyDescent="0.25">
      <c r="A531" s="1182">
        <v>2022525</v>
      </c>
      <c r="B531" s="1182">
        <v>7658</v>
      </c>
      <c r="C531" s="1265" t="s">
        <v>681</v>
      </c>
      <c r="D531" s="1227" t="s">
        <v>700</v>
      </c>
      <c r="E531" s="1236">
        <v>80111600</v>
      </c>
      <c r="F531" s="1185" t="s">
        <v>1157</v>
      </c>
      <c r="G531" s="1245" t="s">
        <v>1440</v>
      </c>
      <c r="H531" s="1246" t="s">
        <v>1440</v>
      </c>
      <c r="I531" s="1239" t="s">
        <v>1493</v>
      </c>
      <c r="J531" s="1240" t="s">
        <v>1479</v>
      </c>
      <c r="K531" s="1184" t="s">
        <v>676</v>
      </c>
      <c r="L531" s="1183" t="s">
        <v>677</v>
      </c>
      <c r="M531" s="1186">
        <f>54050000-2350000</f>
        <v>51700000</v>
      </c>
      <c r="N531" s="1185" t="s">
        <v>726</v>
      </c>
      <c r="O531" s="1185" t="s">
        <v>1499</v>
      </c>
    </row>
    <row r="532" spans="1:18" s="1159" customFormat="1" ht="90" x14ac:dyDescent="0.25">
      <c r="A532" s="1182">
        <v>2022526</v>
      </c>
      <c r="B532" s="1182">
        <v>7658</v>
      </c>
      <c r="C532" s="1265" t="s">
        <v>681</v>
      </c>
      <c r="D532" s="1227" t="s">
        <v>700</v>
      </c>
      <c r="E532" s="1236">
        <v>80111600</v>
      </c>
      <c r="F532" s="1185" t="s">
        <v>1158</v>
      </c>
      <c r="G532" s="1245" t="s">
        <v>1440</v>
      </c>
      <c r="H532" s="1246" t="s">
        <v>1440</v>
      </c>
      <c r="I532" s="1239" t="s">
        <v>1493</v>
      </c>
      <c r="J532" s="1240" t="s">
        <v>1479</v>
      </c>
      <c r="K532" s="1184" t="s">
        <v>676</v>
      </c>
      <c r="L532" s="1183" t="s">
        <v>677</v>
      </c>
      <c r="M532" s="1186">
        <f>28175000-1225000</f>
        <v>26950000</v>
      </c>
      <c r="N532" s="1185" t="s">
        <v>726</v>
      </c>
      <c r="O532" s="1185" t="s">
        <v>1499</v>
      </c>
    </row>
    <row r="533" spans="1:18" s="1159" customFormat="1" ht="90" x14ac:dyDescent="0.25">
      <c r="A533" s="1182">
        <v>2022527</v>
      </c>
      <c r="B533" s="1182">
        <v>7658</v>
      </c>
      <c r="C533" s="1265" t="s">
        <v>681</v>
      </c>
      <c r="D533" s="1227" t="s">
        <v>700</v>
      </c>
      <c r="E533" s="1236">
        <v>80111600</v>
      </c>
      <c r="F533" s="1185" t="s">
        <v>1159</v>
      </c>
      <c r="G533" s="1245" t="s">
        <v>1440</v>
      </c>
      <c r="H533" s="1246" t="s">
        <v>1440</v>
      </c>
      <c r="I533" s="1239" t="s">
        <v>1493</v>
      </c>
      <c r="J533" s="1240" t="s">
        <v>1479</v>
      </c>
      <c r="K533" s="1184" t="s">
        <v>676</v>
      </c>
      <c r="L533" s="1183" t="s">
        <v>677</v>
      </c>
      <c r="M533" s="1188">
        <f>36685000+28175000-6435000</f>
        <v>58425000</v>
      </c>
      <c r="N533" s="1185" t="s">
        <v>726</v>
      </c>
      <c r="O533" s="1185" t="s">
        <v>1499</v>
      </c>
      <c r="P533" s="1248"/>
    </row>
    <row r="534" spans="1:18" s="1159" customFormat="1" ht="90" x14ac:dyDescent="0.25">
      <c r="A534" s="1182">
        <v>2022528</v>
      </c>
      <c r="B534" s="1182">
        <v>7658</v>
      </c>
      <c r="C534" s="1265" t="s">
        <v>681</v>
      </c>
      <c r="D534" s="1227" t="s">
        <v>700</v>
      </c>
      <c r="E534" s="1236">
        <v>80111600</v>
      </c>
      <c r="F534" s="1185" t="s">
        <v>1160</v>
      </c>
      <c r="G534" s="1245" t="s">
        <v>1440</v>
      </c>
      <c r="H534" s="1246" t="s">
        <v>1440</v>
      </c>
      <c r="I534" s="1239" t="s">
        <v>1493</v>
      </c>
      <c r="J534" s="1240" t="s">
        <v>1479</v>
      </c>
      <c r="K534" s="1184" t="s">
        <v>676</v>
      </c>
      <c r="L534" s="1183" t="s">
        <v>677</v>
      </c>
      <c r="M534" s="1186">
        <f>51750000-2250000</f>
        <v>49500000</v>
      </c>
      <c r="N534" s="1185" t="s">
        <v>726</v>
      </c>
      <c r="O534" s="1185" t="s">
        <v>1499</v>
      </c>
    </row>
    <row r="535" spans="1:18" s="1159" customFormat="1" ht="90" x14ac:dyDescent="0.25">
      <c r="A535" s="1182">
        <v>2022529</v>
      </c>
      <c r="B535" s="1182">
        <v>7658</v>
      </c>
      <c r="C535" s="1265" t="s">
        <v>681</v>
      </c>
      <c r="D535" s="1227" t="s">
        <v>700</v>
      </c>
      <c r="E535" s="1236">
        <v>80111600</v>
      </c>
      <c r="F535" s="1185" t="s">
        <v>1161</v>
      </c>
      <c r="G535" s="1245" t="s">
        <v>1440</v>
      </c>
      <c r="H535" s="1246" t="s">
        <v>1440</v>
      </c>
      <c r="I535" s="1239" t="s">
        <v>1493</v>
      </c>
      <c r="J535" s="1240" t="s">
        <v>1479</v>
      </c>
      <c r="K535" s="1184" t="s">
        <v>676</v>
      </c>
      <c r="L535" s="1184" t="s">
        <v>677</v>
      </c>
      <c r="M535" s="1188">
        <f>48300000+20700000-1200000</f>
        <v>67800000</v>
      </c>
      <c r="N535" s="1185" t="s">
        <v>726</v>
      </c>
      <c r="O535" s="1185" t="s">
        <v>1499</v>
      </c>
      <c r="P535" s="1248"/>
    </row>
    <row r="536" spans="1:18" s="1159" customFormat="1" ht="90" x14ac:dyDescent="0.25">
      <c r="A536" s="1182">
        <v>2022530</v>
      </c>
      <c r="B536" s="1182">
        <v>7658</v>
      </c>
      <c r="C536" s="1265" t="s">
        <v>681</v>
      </c>
      <c r="D536" s="1227" t="s">
        <v>700</v>
      </c>
      <c r="E536" s="1236">
        <v>80111600</v>
      </c>
      <c r="F536" s="1185" t="s">
        <v>1141</v>
      </c>
      <c r="G536" s="1245" t="s">
        <v>1440</v>
      </c>
      <c r="H536" s="1246" t="s">
        <v>1440</v>
      </c>
      <c r="I536" s="1239" t="s">
        <v>1493</v>
      </c>
      <c r="J536" s="1240" t="s">
        <v>1479</v>
      </c>
      <c r="K536" s="1184" t="s">
        <v>676</v>
      </c>
      <c r="L536" s="1183" t="s">
        <v>677</v>
      </c>
      <c r="M536" s="1186">
        <f>82915000-3605000</f>
        <v>79310000</v>
      </c>
      <c r="N536" s="1185" t="s">
        <v>726</v>
      </c>
      <c r="O536" s="1185" t="s">
        <v>1499</v>
      </c>
    </row>
    <row r="537" spans="1:18" s="1159" customFormat="1" ht="90" x14ac:dyDescent="0.25">
      <c r="A537" s="1182">
        <v>2022531</v>
      </c>
      <c r="B537" s="1182">
        <v>7658</v>
      </c>
      <c r="C537" s="1265" t="s">
        <v>681</v>
      </c>
      <c r="D537" s="1227" t="s">
        <v>700</v>
      </c>
      <c r="E537" s="1236">
        <v>80111600</v>
      </c>
      <c r="F537" s="1185" t="s">
        <v>1162</v>
      </c>
      <c r="G537" s="1245" t="s">
        <v>1440</v>
      </c>
      <c r="H537" s="1246" t="s">
        <v>1440</v>
      </c>
      <c r="I537" s="1239" t="s">
        <v>1493</v>
      </c>
      <c r="J537" s="1240" t="s">
        <v>1479</v>
      </c>
      <c r="K537" s="1184" t="s">
        <v>676</v>
      </c>
      <c r="L537" s="1183" t="s">
        <v>677</v>
      </c>
      <c r="M537" s="1186">
        <f>45655000-1985000</f>
        <v>43670000</v>
      </c>
      <c r="N537" s="1185" t="s">
        <v>1578</v>
      </c>
      <c r="O537" s="1185" t="s">
        <v>1499</v>
      </c>
    </row>
    <row r="538" spans="1:18" s="1159" customFormat="1" ht="90" x14ac:dyDescent="0.25">
      <c r="A538" s="1182">
        <v>2022532</v>
      </c>
      <c r="B538" s="1182">
        <v>7658</v>
      </c>
      <c r="C538" s="1265" t="s">
        <v>681</v>
      </c>
      <c r="D538" s="1227" t="s">
        <v>700</v>
      </c>
      <c r="E538" s="1236">
        <v>80111600</v>
      </c>
      <c r="F538" s="1185" t="s">
        <v>1163</v>
      </c>
      <c r="G538" s="1245" t="s">
        <v>1440</v>
      </c>
      <c r="H538" s="1246" t="s">
        <v>1440</v>
      </c>
      <c r="I538" s="1239" t="s">
        <v>1493</v>
      </c>
      <c r="J538" s="1240" t="s">
        <v>1479</v>
      </c>
      <c r="K538" s="1184" t="s">
        <v>676</v>
      </c>
      <c r="L538" s="1183" t="s">
        <v>677</v>
      </c>
      <c r="M538" s="1186">
        <f>47380000-2060000</f>
        <v>45320000</v>
      </c>
      <c r="N538" s="1185" t="s">
        <v>1578</v>
      </c>
      <c r="O538" s="1185" t="s">
        <v>1499</v>
      </c>
    </row>
    <row r="539" spans="1:18" s="1159" customFormat="1" ht="90" x14ac:dyDescent="0.25">
      <c r="A539" s="1182">
        <v>2022533</v>
      </c>
      <c r="B539" s="1182">
        <v>7658</v>
      </c>
      <c r="C539" s="1265" t="s">
        <v>681</v>
      </c>
      <c r="D539" s="1227" t="s">
        <v>700</v>
      </c>
      <c r="E539" s="1236">
        <v>80111600</v>
      </c>
      <c r="F539" s="1185" t="s">
        <v>1164</v>
      </c>
      <c r="G539" s="1245" t="s">
        <v>1440</v>
      </c>
      <c r="H539" s="1246" t="s">
        <v>1440</v>
      </c>
      <c r="I539" s="1239" t="s">
        <v>1493</v>
      </c>
      <c r="J539" s="1240" t="s">
        <v>1479</v>
      </c>
      <c r="K539" s="1184" t="s">
        <v>676</v>
      </c>
      <c r="L539" s="1183" t="s">
        <v>677</v>
      </c>
      <c r="M539" s="1186">
        <f>54050000-2350000</f>
        <v>51700000</v>
      </c>
      <c r="N539" s="1185" t="s">
        <v>1578</v>
      </c>
      <c r="O539" s="1185" t="s">
        <v>1499</v>
      </c>
    </row>
    <row r="540" spans="1:18" s="1159" customFormat="1" ht="90" x14ac:dyDescent="0.25">
      <c r="A540" s="1182">
        <v>2022534</v>
      </c>
      <c r="B540" s="1182">
        <v>7658</v>
      </c>
      <c r="C540" s="1265" t="s">
        <v>681</v>
      </c>
      <c r="D540" s="1227" t="s">
        <v>700</v>
      </c>
      <c r="E540" s="1236">
        <v>80111600</v>
      </c>
      <c r="F540" s="1185" t="s">
        <v>1165</v>
      </c>
      <c r="G540" s="1245" t="s">
        <v>1440</v>
      </c>
      <c r="H540" s="1246" t="s">
        <v>1440</v>
      </c>
      <c r="I540" s="1239" t="s">
        <v>1493</v>
      </c>
      <c r="J540" s="1240" t="s">
        <v>1479</v>
      </c>
      <c r="K540" s="1184" t="s">
        <v>676</v>
      </c>
      <c r="L540" s="1183" t="s">
        <v>784</v>
      </c>
      <c r="M540" s="1186">
        <f>88550000-3850000</f>
        <v>84700000</v>
      </c>
      <c r="N540" s="1185" t="s">
        <v>726</v>
      </c>
      <c r="O540" s="1185" t="s">
        <v>1499</v>
      </c>
    </row>
    <row r="541" spans="1:18" s="1159" customFormat="1" ht="90" x14ac:dyDescent="0.25">
      <c r="A541" s="1182">
        <v>2022535</v>
      </c>
      <c r="B541" s="1182">
        <v>7658</v>
      </c>
      <c r="C541" s="1265" t="s">
        <v>681</v>
      </c>
      <c r="D541" s="1227" t="s">
        <v>700</v>
      </c>
      <c r="E541" s="1236">
        <v>80111600</v>
      </c>
      <c r="F541" s="1185" t="s">
        <v>1166</v>
      </c>
      <c r="G541" s="1245" t="s">
        <v>1440</v>
      </c>
      <c r="H541" s="1246" t="s">
        <v>1440</v>
      </c>
      <c r="I541" s="1239" t="s">
        <v>1493</v>
      </c>
      <c r="J541" s="1240" t="s">
        <v>1479</v>
      </c>
      <c r="K541" s="1184" t="s">
        <v>676</v>
      </c>
      <c r="L541" s="1183" t="s">
        <v>677</v>
      </c>
      <c r="M541" s="1186">
        <f>38525000-1675000</f>
        <v>36850000</v>
      </c>
      <c r="N541" s="1185" t="s">
        <v>726</v>
      </c>
      <c r="O541" s="1185" t="s">
        <v>1499</v>
      </c>
    </row>
    <row r="542" spans="1:18" s="1159" customFormat="1" ht="90" x14ac:dyDescent="0.25">
      <c r="A542" s="1182">
        <v>2022536</v>
      </c>
      <c r="B542" s="1182">
        <v>7658</v>
      </c>
      <c r="C542" s="1265" t="s">
        <v>681</v>
      </c>
      <c r="D542" s="1227" t="s">
        <v>700</v>
      </c>
      <c r="E542" s="1236">
        <v>80111600</v>
      </c>
      <c r="F542" s="1185" t="s">
        <v>1167</v>
      </c>
      <c r="G542" s="1245" t="s">
        <v>1440</v>
      </c>
      <c r="H542" s="1246" t="s">
        <v>1440</v>
      </c>
      <c r="I542" s="1239" t="s">
        <v>1493</v>
      </c>
      <c r="J542" s="1240" t="s">
        <v>1479</v>
      </c>
      <c r="K542" s="1184" t="s">
        <v>676</v>
      </c>
      <c r="L542" s="1183" t="s">
        <v>677</v>
      </c>
      <c r="M542" s="1186">
        <f>38525000-1125000</f>
        <v>37400000</v>
      </c>
      <c r="N542" s="1185" t="s">
        <v>726</v>
      </c>
      <c r="O542" s="1185" t="s">
        <v>1499</v>
      </c>
    </row>
    <row r="543" spans="1:18" s="1159" customFormat="1" ht="90" x14ac:dyDescent="0.25">
      <c r="A543" s="1182">
        <v>2022537</v>
      </c>
      <c r="B543" s="1182">
        <v>7658</v>
      </c>
      <c r="C543" s="1265" t="s">
        <v>681</v>
      </c>
      <c r="D543" s="1227" t="s">
        <v>700</v>
      </c>
      <c r="E543" s="1236">
        <v>80111600</v>
      </c>
      <c r="F543" s="1185" t="s">
        <v>1168</v>
      </c>
      <c r="G543" s="1245" t="s">
        <v>1440</v>
      </c>
      <c r="H543" s="1246" t="s">
        <v>1440</v>
      </c>
      <c r="I543" s="1239" t="s">
        <v>1493</v>
      </c>
      <c r="J543" s="1240" t="s">
        <v>1479</v>
      </c>
      <c r="K543" s="1184" t="s">
        <v>676</v>
      </c>
      <c r="L543" s="1184" t="s">
        <v>677</v>
      </c>
      <c r="M543" s="1186">
        <f>48300000+13225000+7475000-3000000</f>
        <v>66000000</v>
      </c>
      <c r="N543" s="1185" t="s">
        <v>1578</v>
      </c>
      <c r="O543" s="1185" t="s">
        <v>1499</v>
      </c>
    </row>
    <row r="544" spans="1:18" s="1159" customFormat="1" ht="90" x14ac:dyDescent="0.25">
      <c r="A544" s="1182">
        <v>2022538</v>
      </c>
      <c r="B544" s="1182">
        <v>7658</v>
      </c>
      <c r="C544" s="1182" t="s">
        <v>681</v>
      </c>
      <c r="D544" s="1227" t="s">
        <v>700</v>
      </c>
      <c r="E544" s="1236">
        <v>80111600</v>
      </c>
      <c r="F544" s="1185" t="s">
        <v>1169</v>
      </c>
      <c r="G544" s="1245" t="s">
        <v>1440</v>
      </c>
      <c r="H544" s="1246" t="s">
        <v>1440</v>
      </c>
      <c r="I544" s="1239" t="s">
        <v>1493</v>
      </c>
      <c r="J544" s="1240" t="s">
        <v>1479</v>
      </c>
      <c r="K544" s="1184" t="s">
        <v>676</v>
      </c>
      <c r="L544" s="1183" t="s">
        <v>677</v>
      </c>
      <c r="M544" s="1186">
        <f>65550000-23200000</f>
        <v>42350000</v>
      </c>
      <c r="N544" s="1185" t="s">
        <v>726</v>
      </c>
      <c r="O544" s="1185" t="s">
        <v>1499</v>
      </c>
    </row>
    <row r="545" spans="1:18" s="1159" customFormat="1" ht="90" x14ac:dyDescent="0.25">
      <c r="A545" s="1182">
        <v>2022539</v>
      </c>
      <c r="B545" s="1182">
        <v>7658</v>
      </c>
      <c r="C545" s="1182" t="s">
        <v>681</v>
      </c>
      <c r="D545" s="1227" t="s">
        <v>700</v>
      </c>
      <c r="E545" s="1236">
        <v>80111600</v>
      </c>
      <c r="F545" s="1185" t="s">
        <v>1170</v>
      </c>
      <c r="G545" s="1245" t="s">
        <v>1440</v>
      </c>
      <c r="H545" s="1246" t="s">
        <v>1440</v>
      </c>
      <c r="I545" s="1239" t="s">
        <v>1493</v>
      </c>
      <c r="J545" s="1240" t="s">
        <v>1479</v>
      </c>
      <c r="K545" s="1184" t="s">
        <v>676</v>
      </c>
      <c r="L545" s="1183" t="s">
        <v>677</v>
      </c>
      <c r="M545" s="1186">
        <f>69000000-3000000</f>
        <v>66000000</v>
      </c>
      <c r="N545" s="1185" t="s">
        <v>726</v>
      </c>
      <c r="O545" s="1185" t="s">
        <v>1499</v>
      </c>
    </row>
    <row r="546" spans="1:18" s="1159" customFormat="1" ht="90" x14ac:dyDescent="0.25">
      <c r="A546" s="1182">
        <v>2022540</v>
      </c>
      <c r="B546" s="1182">
        <v>7658</v>
      </c>
      <c r="C546" s="1182" t="s">
        <v>681</v>
      </c>
      <c r="D546" s="1227" t="s">
        <v>700</v>
      </c>
      <c r="E546" s="1236">
        <v>80111600</v>
      </c>
      <c r="F546" s="1185" t="s">
        <v>1171</v>
      </c>
      <c r="G546" s="1245" t="s">
        <v>1440</v>
      </c>
      <c r="H546" s="1246" t="s">
        <v>1440</v>
      </c>
      <c r="I546" s="1239" t="s">
        <v>1493</v>
      </c>
      <c r="J546" s="1240" t="s">
        <v>1479</v>
      </c>
      <c r="K546" s="1184" t="s">
        <v>676</v>
      </c>
      <c r="L546" s="1183" t="s">
        <v>677</v>
      </c>
      <c r="M546" s="1186">
        <f>39100000-3900000</f>
        <v>35200000</v>
      </c>
      <c r="N546" s="1185" t="s">
        <v>726</v>
      </c>
      <c r="O546" s="1185" t="s">
        <v>1499</v>
      </c>
    </row>
    <row r="547" spans="1:18" s="1159" customFormat="1" ht="90" x14ac:dyDescent="0.25">
      <c r="A547" s="1182">
        <v>2022541</v>
      </c>
      <c r="B547" s="1182">
        <v>7658</v>
      </c>
      <c r="C547" s="1182" t="s">
        <v>681</v>
      </c>
      <c r="D547" s="1227" t="s">
        <v>700</v>
      </c>
      <c r="E547" s="1236">
        <v>80111600</v>
      </c>
      <c r="F547" s="1185" t="s">
        <v>1172</v>
      </c>
      <c r="G547" s="1245" t="s">
        <v>1440</v>
      </c>
      <c r="H547" s="1246" t="s">
        <v>1440</v>
      </c>
      <c r="I547" s="1239" t="s">
        <v>1493</v>
      </c>
      <c r="J547" s="1240" t="s">
        <v>1479</v>
      </c>
      <c r="K547" s="1184" t="s">
        <v>676</v>
      </c>
      <c r="L547" s="1183" t="s">
        <v>677</v>
      </c>
      <c r="M547" s="1186">
        <f>36685000-1595000</f>
        <v>35090000</v>
      </c>
      <c r="N547" s="1185" t="s">
        <v>726</v>
      </c>
      <c r="O547" s="1185" t="s">
        <v>1499</v>
      </c>
    </row>
    <row r="548" spans="1:18" ht="60" x14ac:dyDescent="0.2">
      <c r="A548" s="1172">
        <v>2022542</v>
      </c>
      <c r="B548" s="1270" t="s">
        <v>459</v>
      </c>
      <c r="C548" s="1270"/>
      <c r="D548" s="1190" t="s">
        <v>691</v>
      </c>
      <c r="E548" s="1221" t="s">
        <v>1173</v>
      </c>
      <c r="F548" s="1197" t="s">
        <v>1174</v>
      </c>
      <c r="G548" s="1268" t="s">
        <v>1548</v>
      </c>
      <c r="H548" s="1268" t="s">
        <v>1548</v>
      </c>
      <c r="I548" s="1268" t="s">
        <v>1589</v>
      </c>
      <c r="J548" s="1268" t="s">
        <v>1456</v>
      </c>
      <c r="K548" s="1176" t="s">
        <v>43</v>
      </c>
      <c r="L548" s="1271"/>
      <c r="M548" s="1249">
        <v>4200000</v>
      </c>
      <c r="N548" s="1175"/>
      <c r="O548" s="1175"/>
    </row>
    <row r="549" spans="1:18" ht="60" x14ac:dyDescent="0.2">
      <c r="A549" s="1172">
        <v>2022543</v>
      </c>
      <c r="B549" s="1270" t="s">
        <v>459</v>
      </c>
      <c r="C549" s="1270"/>
      <c r="D549" s="1190" t="s">
        <v>691</v>
      </c>
      <c r="E549" s="1221" t="s">
        <v>1173</v>
      </c>
      <c r="F549" s="1197" t="s">
        <v>1175</v>
      </c>
      <c r="G549" s="1268" t="s">
        <v>1549</v>
      </c>
      <c r="H549" s="1268" t="s">
        <v>1549</v>
      </c>
      <c r="I549" s="1268" t="s">
        <v>1590</v>
      </c>
      <c r="J549" s="1268" t="s">
        <v>1456</v>
      </c>
      <c r="K549" s="1176" t="s">
        <v>43</v>
      </c>
      <c r="L549" s="1271"/>
      <c r="M549" s="1249">
        <v>6799000</v>
      </c>
      <c r="N549" s="1175"/>
      <c r="O549" s="1175"/>
    </row>
    <row r="550" spans="1:18" ht="60" x14ac:dyDescent="0.2">
      <c r="A550" s="1172">
        <v>2022544</v>
      </c>
      <c r="B550" s="1270" t="s">
        <v>459</v>
      </c>
      <c r="C550" s="1270"/>
      <c r="D550" s="1190" t="s">
        <v>691</v>
      </c>
      <c r="E550" s="1221" t="s">
        <v>1173</v>
      </c>
      <c r="F550" s="1197" t="s">
        <v>989</v>
      </c>
      <c r="G550" s="1268" t="s">
        <v>1548</v>
      </c>
      <c r="H550" s="1268" t="s">
        <v>1548</v>
      </c>
      <c r="I550" s="1268" t="s">
        <v>1526</v>
      </c>
      <c r="J550" s="1268" t="s">
        <v>1501</v>
      </c>
      <c r="K550" s="1176" t="s">
        <v>43</v>
      </c>
      <c r="L550" s="1271"/>
      <c r="M550" s="1249">
        <v>10000000</v>
      </c>
      <c r="N550" s="1175"/>
      <c r="O550" s="1175"/>
    </row>
    <row r="551" spans="1:18" ht="60" x14ac:dyDescent="0.2">
      <c r="A551" s="1172">
        <v>2022545</v>
      </c>
      <c r="B551" s="1270" t="s">
        <v>459</v>
      </c>
      <c r="C551" s="1270"/>
      <c r="D551" s="1190" t="s">
        <v>691</v>
      </c>
      <c r="E551" s="1221" t="s">
        <v>1173</v>
      </c>
      <c r="F551" s="1197" t="s">
        <v>1176</v>
      </c>
      <c r="G551" s="1268" t="s">
        <v>1548</v>
      </c>
      <c r="H551" s="1268" t="s">
        <v>1548</v>
      </c>
      <c r="I551" s="1268" t="s">
        <v>1496</v>
      </c>
      <c r="J551" s="1268" t="s">
        <v>1501</v>
      </c>
      <c r="K551" s="1176" t="s">
        <v>43</v>
      </c>
      <c r="L551" s="1271"/>
      <c r="M551" s="1249">
        <v>87000000</v>
      </c>
      <c r="N551" s="1175"/>
      <c r="O551" s="1175"/>
    </row>
    <row r="552" spans="1:18" ht="60" x14ac:dyDescent="0.2">
      <c r="A552" s="1172">
        <v>2022546</v>
      </c>
      <c r="B552" s="1270" t="s">
        <v>459</v>
      </c>
      <c r="C552" s="1270"/>
      <c r="D552" s="1190" t="s">
        <v>691</v>
      </c>
      <c r="E552" s="1221" t="s">
        <v>1173</v>
      </c>
      <c r="F552" s="1197" t="s">
        <v>1174</v>
      </c>
      <c r="G552" s="1268" t="s">
        <v>1548</v>
      </c>
      <c r="H552" s="1268" t="s">
        <v>1548</v>
      </c>
      <c r="I552" s="1268" t="s">
        <v>1589</v>
      </c>
      <c r="J552" s="1268" t="s">
        <v>1456</v>
      </c>
      <c r="K552" s="1176" t="s">
        <v>43</v>
      </c>
      <c r="L552" s="1271"/>
      <c r="M552" s="1249">
        <v>5600000</v>
      </c>
      <c r="N552" s="1175"/>
      <c r="O552" s="1175"/>
    </row>
    <row r="553" spans="1:18" ht="60" x14ac:dyDescent="0.2">
      <c r="A553" s="1172">
        <v>2022547</v>
      </c>
      <c r="B553" s="1270" t="s">
        <v>459</v>
      </c>
      <c r="C553" s="1270"/>
      <c r="D553" s="1190" t="s">
        <v>691</v>
      </c>
      <c r="E553" s="1221" t="s">
        <v>1173</v>
      </c>
      <c r="F553" s="1197" t="s">
        <v>1177</v>
      </c>
      <c r="G553" s="1268" t="s">
        <v>1549</v>
      </c>
      <c r="H553" s="1268" t="s">
        <v>1549</v>
      </c>
      <c r="I553" s="1268" t="s">
        <v>1590</v>
      </c>
      <c r="J553" s="1268" t="s">
        <v>1456</v>
      </c>
      <c r="K553" s="1176" t="s">
        <v>43</v>
      </c>
      <c r="L553" s="1271"/>
      <c r="M553" s="1249">
        <v>28400000</v>
      </c>
      <c r="N553" s="1175"/>
      <c r="O553" s="1175"/>
    </row>
    <row r="554" spans="1:18" ht="120" x14ac:dyDescent="0.2">
      <c r="A554" s="1182">
        <v>2022548</v>
      </c>
      <c r="B554" s="1272" t="s">
        <v>459</v>
      </c>
      <c r="C554" s="1273"/>
      <c r="D554" s="1227" t="s">
        <v>691</v>
      </c>
      <c r="E554" s="1274" t="s">
        <v>1178</v>
      </c>
      <c r="F554" s="1275" t="s">
        <v>1179</v>
      </c>
      <c r="G554" s="1265" t="s">
        <v>1548</v>
      </c>
      <c r="H554" s="1265" t="s">
        <v>1548</v>
      </c>
      <c r="I554" s="1265" t="s">
        <v>1496</v>
      </c>
      <c r="J554" s="1265" t="s">
        <v>1501</v>
      </c>
      <c r="K554" s="1184" t="s">
        <v>43</v>
      </c>
      <c r="L554" s="1276"/>
      <c r="M554" s="1188">
        <f>100000000-20000000</f>
        <v>80000000</v>
      </c>
      <c r="N554" s="1185"/>
      <c r="O554" s="1185"/>
      <c r="R554" s="1159"/>
    </row>
    <row r="555" spans="1:18" ht="120" x14ac:dyDescent="0.2">
      <c r="A555" s="1182">
        <v>2022549</v>
      </c>
      <c r="B555" s="1272" t="s">
        <v>459</v>
      </c>
      <c r="C555" s="1273"/>
      <c r="D555" s="1227" t="s">
        <v>691</v>
      </c>
      <c r="E555" s="1274" t="s">
        <v>1178</v>
      </c>
      <c r="F555" s="1275" t="s">
        <v>1180</v>
      </c>
      <c r="G555" s="1265" t="s">
        <v>1549</v>
      </c>
      <c r="H555" s="1265" t="s">
        <v>1549</v>
      </c>
      <c r="I555" s="1265" t="s">
        <v>1590</v>
      </c>
      <c r="J555" s="1265" t="s">
        <v>1456</v>
      </c>
      <c r="K555" s="1184" t="s">
        <v>43</v>
      </c>
      <c r="L555" s="1276"/>
      <c r="M555" s="1188">
        <f>10000000+20000000</f>
        <v>30000000</v>
      </c>
      <c r="N555" s="1185"/>
      <c r="O555" s="1185"/>
      <c r="R555" s="1159"/>
    </row>
    <row r="556" spans="1:18" ht="60" x14ac:dyDescent="0.2">
      <c r="A556" s="1172">
        <v>2022550</v>
      </c>
      <c r="B556" s="1270" t="s">
        <v>459</v>
      </c>
      <c r="C556" s="1270"/>
      <c r="D556" s="1190" t="s">
        <v>691</v>
      </c>
      <c r="E556" s="1221" t="s">
        <v>1173</v>
      </c>
      <c r="F556" s="1197" t="s">
        <v>991</v>
      </c>
      <c r="G556" s="1268" t="s">
        <v>1548</v>
      </c>
      <c r="H556" s="1268" t="s">
        <v>1548</v>
      </c>
      <c r="I556" s="1268" t="s">
        <v>1496</v>
      </c>
      <c r="J556" s="1268" t="s">
        <v>1501</v>
      </c>
      <c r="K556" s="1176" t="s">
        <v>43</v>
      </c>
      <c r="L556" s="1271"/>
      <c r="M556" s="1249">
        <v>42542000</v>
      </c>
      <c r="N556" s="1175"/>
      <c r="O556" s="1175"/>
    </row>
    <row r="557" spans="1:18" ht="60" x14ac:dyDescent="0.2">
      <c r="A557" s="1172">
        <v>2022551</v>
      </c>
      <c r="B557" s="1270" t="s">
        <v>459</v>
      </c>
      <c r="C557" s="1270"/>
      <c r="D557" s="1190" t="s">
        <v>691</v>
      </c>
      <c r="E557" s="1221" t="s">
        <v>1173</v>
      </c>
      <c r="F557" s="1197" t="s">
        <v>989</v>
      </c>
      <c r="G557" s="1268" t="s">
        <v>1548</v>
      </c>
      <c r="H557" s="1268" t="s">
        <v>1548</v>
      </c>
      <c r="I557" s="1268" t="s">
        <v>1526</v>
      </c>
      <c r="J557" s="1268" t="s">
        <v>1501</v>
      </c>
      <c r="K557" s="1176" t="s">
        <v>43</v>
      </c>
      <c r="L557" s="1271"/>
      <c r="M557" s="1249">
        <v>2345000</v>
      </c>
      <c r="N557" s="1175"/>
      <c r="O557" s="1175"/>
    </row>
    <row r="558" spans="1:18" ht="60" x14ac:dyDescent="0.2">
      <c r="A558" s="1172">
        <v>2022552</v>
      </c>
      <c r="B558" s="1270" t="s">
        <v>459</v>
      </c>
      <c r="C558" s="1270"/>
      <c r="D558" s="1190" t="s">
        <v>691</v>
      </c>
      <c r="E558" s="1221" t="s">
        <v>1173</v>
      </c>
      <c r="F558" s="1197" t="s">
        <v>989</v>
      </c>
      <c r="G558" s="1268" t="s">
        <v>1548</v>
      </c>
      <c r="H558" s="1268" t="s">
        <v>1548</v>
      </c>
      <c r="I558" s="1268" t="s">
        <v>1526</v>
      </c>
      <c r="J558" s="1268" t="s">
        <v>1501</v>
      </c>
      <c r="K558" s="1176" t="s">
        <v>43</v>
      </c>
      <c r="L558" s="1271"/>
      <c r="M558" s="1249">
        <v>1450000</v>
      </c>
      <c r="N558" s="1175"/>
      <c r="O558" s="1175"/>
    </row>
    <row r="559" spans="1:18" ht="60" x14ac:dyDescent="0.2">
      <c r="A559" s="1172">
        <v>2022553</v>
      </c>
      <c r="B559" s="1270" t="s">
        <v>459</v>
      </c>
      <c r="C559" s="1270"/>
      <c r="D559" s="1190" t="s">
        <v>691</v>
      </c>
      <c r="E559" s="1221" t="s">
        <v>1173</v>
      </c>
      <c r="F559" s="1197" t="s">
        <v>991</v>
      </c>
      <c r="G559" s="1268" t="s">
        <v>1548</v>
      </c>
      <c r="H559" s="1268" t="s">
        <v>1548</v>
      </c>
      <c r="I559" s="1268" t="s">
        <v>1496</v>
      </c>
      <c r="J559" s="1268" t="s">
        <v>1501</v>
      </c>
      <c r="K559" s="1176" t="s">
        <v>43</v>
      </c>
      <c r="L559" s="1271"/>
      <c r="M559" s="1249">
        <v>11550000</v>
      </c>
      <c r="N559" s="1175"/>
      <c r="O559" s="1175"/>
    </row>
    <row r="560" spans="1:18" ht="60" x14ac:dyDescent="0.2">
      <c r="A560" s="1172">
        <v>2022554</v>
      </c>
      <c r="B560" s="1270" t="s">
        <v>459</v>
      </c>
      <c r="C560" s="1270"/>
      <c r="D560" s="1190" t="s">
        <v>691</v>
      </c>
      <c r="E560" s="1221" t="s">
        <v>1173</v>
      </c>
      <c r="F560" s="1197" t="s">
        <v>1174</v>
      </c>
      <c r="G560" s="1268" t="s">
        <v>1548</v>
      </c>
      <c r="H560" s="1268" t="s">
        <v>1548</v>
      </c>
      <c r="I560" s="1268" t="s">
        <v>1589</v>
      </c>
      <c r="J560" s="1268" t="s">
        <v>1456</v>
      </c>
      <c r="K560" s="1176" t="s">
        <v>43</v>
      </c>
      <c r="L560" s="1271"/>
      <c r="M560" s="1249">
        <v>2800000</v>
      </c>
      <c r="N560" s="1175"/>
      <c r="O560" s="1175"/>
    </row>
    <row r="561" spans="1:15" ht="60" x14ac:dyDescent="0.2">
      <c r="A561" s="1172">
        <v>2022555</v>
      </c>
      <c r="B561" s="1270" t="s">
        <v>459</v>
      </c>
      <c r="C561" s="1270"/>
      <c r="D561" s="1190" t="s">
        <v>691</v>
      </c>
      <c r="E561" s="1221" t="s">
        <v>1173</v>
      </c>
      <c r="F561" s="1197" t="s">
        <v>1181</v>
      </c>
      <c r="G561" s="1268" t="s">
        <v>1549</v>
      </c>
      <c r="H561" s="1268" t="s">
        <v>1549</v>
      </c>
      <c r="I561" s="1268" t="s">
        <v>1590</v>
      </c>
      <c r="J561" s="1268" t="s">
        <v>1456</v>
      </c>
      <c r="K561" s="1176" t="s">
        <v>43</v>
      </c>
      <c r="L561" s="1271"/>
      <c r="M561" s="1249">
        <v>5204000</v>
      </c>
      <c r="N561" s="1175"/>
      <c r="O561" s="1175"/>
    </row>
    <row r="562" spans="1:15" ht="60" x14ac:dyDescent="0.2">
      <c r="A562" s="1172">
        <v>2022556</v>
      </c>
      <c r="B562" s="1270" t="s">
        <v>459</v>
      </c>
      <c r="C562" s="1270"/>
      <c r="D562" s="1190" t="s">
        <v>691</v>
      </c>
      <c r="E562" s="1221" t="s">
        <v>1173</v>
      </c>
      <c r="F562" s="1197" t="s">
        <v>989</v>
      </c>
      <c r="G562" s="1268" t="s">
        <v>1548</v>
      </c>
      <c r="H562" s="1268" t="s">
        <v>1548</v>
      </c>
      <c r="I562" s="1268" t="s">
        <v>1526</v>
      </c>
      <c r="J562" s="1268" t="s">
        <v>1501</v>
      </c>
      <c r="K562" s="1176" t="s">
        <v>43</v>
      </c>
      <c r="L562" s="1271"/>
      <c r="M562" s="1249">
        <v>1308000</v>
      </c>
      <c r="N562" s="1175"/>
      <c r="O562" s="1175"/>
    </row>
    <row r="563" spans="1:15" ht="60" x14ac:dyDescent="0.2">
      <c r="A563" s="1172">
        <v>2022557</v>
      </c>
      <c r="B563" s="1270" t="s">
        <v>459</v>
      </c>
      <c r="C563" s="1270"/>
      <c r="D563" s="1190" t="s">
        <v>691</v>
      </c>
      <c r="E563" s="1221" t="s">
        <v>1173</v>
      </c>
      <c r="F563" s="1197" t="s">
        <v>991</v>
      </c>
      <c r="G563" s="1268" t="s">
        <v>1548</v>
      </c>
      <c r="H563" s="1268" t="s">
        <v>1548</v>
      </c>
      <c r="I563" s="1268" t="s">
        <v>1496</v>
      </c>
      <c r="J563" s="1268" t="s">
        <v>1501</v>
      </c>
      <c r="K563" s="1176" t="s">
        <v>43</v>
      </c>
      <c r="L563" s="1271"/>
      <c r="M563" s="1249">
        <v>14692000</v>
      </c>
      <c r="N563" s="1175"/>
      <c r="O563" s="1175"/>
    </row>
    <row r="564" spans="1:15" ht="60" x14ac:dyDescent="0.2">
      <c r="A564" s="1172">
        <v>2022558</v>
      </c>
      <c r="B564" s="1270" t="s">
        <v>459</v>
      </c>
      <c r="C564" s="1270"/>
      <c r="D564" s="1190" t="s">
        <v>691</v>
      </c>
      <c r="E564" s="1221" t="s">
        <v>1173</v>
      </c>
      <c r="F564" s="1197" t="s">
        <v>1182</v>
      </c>
      <c r="G564" s="1268" t="s">
        <v>1548</v>
      </c>
      <c r="H564" s="1268" t="s">
        <v>1548</v>
      </c>
      <c r="I564" s="1268" t="s">
        <v>1589</v>
      </c>
      <c r="J564" s="1268" t="s">
        <v>1456</v>
      </c>
      <c r="K564" s="1176" t="s">
        <v>43</v>
      </c>
      <c r="L564" s="1271"/>
      <c r="M564" s="1249">
        <v>1400000</v>
      </c>
      <c r="N564" s="1175"/>
      <c r="O564" s="1175"/>
    </row>
    <row r="565" spans="1:15" ht="60" x14ac:dyDescent="0.2">
      <c r="A565" s="1172">
        <v>2022559</v>
      </c>
      <c r="B565" s="1270" t="s">
        <v>459</v>
      </c>
      <c r="C565" s="1270"/>
      <c r="D565" s="1190" t="s">
        <v>691</v>
      </c>
      <c r="E565" s="1221" t="s">
        <v>1173</v>
      </c>
      <c r="F565" s="1197" t="s">
        <v>1181</v>
      </c>
      <c r="G565" s="1268" t="s">
        <v>1549</v>
      </c>
      <c r="H565" s="1268" t="s">
        <v>1549</v>
      </c>
      <c r="I565" s="1268" t="s">
        <v>1590</v>
      </c>
      <c r="J565" s="1268" t="s">
        <v>1456</v>
      </c>
      <c r="K565" s="1176" t="s">
        <v>43</v>
      </c>
      <c r="L565" s="1271"/>
      <c r="M565" s="1249">
        <v>9600000</v>
      </c>
      <c r="N565" s="1175"/>
      <c r="O565" s="1175"/>
    </row>
    <row r="566" spans="1:15" ht="120" x14ac:dyDescent="0.2">
      <c r="A566" s="1172">
        <v>2022560</v>
      </c>
      <c r="B566" s="1270" t="s">
        <v>459</v>
      </c>
      <c r="C566" s="1270"/>
      <c r="D566" s="1190" t="s">
        <v>691</v>
      </c>
      <c r="E566" s="1270" t="s">
        <v>1183</v>
      </c>
      <c r="F566" s="1197" t="s">
        <v>1184</v>
      </c>
      <c r="G566" s="1268" t="s">
        <v>1564</v>
      </c>
      <c r="H566" s="1268" t="s">
        <v>1564</v>
      </c>
      <c r="I566" s="1268" t="s">
        <v>1591</v>
      </c>
      <c r="J566" s="1268" t="s">
        <v>1592</v>
      </c>
      <c r="K566" s="1176" t="s">
        <v>43</v>
      </c>
      <c r="L566" s="1271"/>
      <c r="M566" s="1249">
        <v>79500000</v>
      </c>
      <c r="N566" s="1175"/>
      <c r="O566" s="1175"/>
    </row>
    <row r="567" spans="1:15" ht="135" x14ac:dyDescent="0.2">
      <c r="A567" s="1172">
        <v>2022561</v>
      </c>
      <c r="B567" s="1270" t="s">
        <v>459</v>
      </c>
      <c r="C567" s="1270"/>
      <c r="D567" s="1190" t="s">
        <v>691</v>
      </c>
      <c r="E567" s="1270" t="s">
        <v>1183</v>
      </c>
      <c r="F567" s="1197" t="s">
        <v>1185</v>
      </c>
      <c r="G567" s="1268" t="s">
        <v>1553</v>
      </c>
      <c r="H567" s="1268" t="s">
        <v>1553</v>
      </c>
      <c r="I567" s="1268" t="s">
        <v>1593</v>
      </c>
      <c r="J567" s="1268" t="s">
        <v>1592</v>
      </c>
      <c r="K567" s="1176" t="s">
        <v>43</v>
      </c>
      <c r="L567" s="1271"/>
      <c r="M567" s="1249">
        <v>41500000</v>
      </c>
      <c r="N567" s="1175"/>
      <c r="O567" s="1175"/>
    </row>
    <row r="568" spans="1:15" ht="45" x14ac:dyDescent="0.2">
      <c r="A568" s="1172">
        <v>2022562</v>
      </c>
      <c r="B568" s="1270" t="s">
        <v>459</v>
      </c>
      <c r="C568" s="1270"/>
      <c r="D568" s="1190" t="s">
        <v>691</v>
      </c>
      <c r="E568" s="1270" t="s">
        <v>1186</v>
      </c>
      <c r="F568" s="1197" t="s">
        <v>1187</v>
      </c>
      <c r="G568" s="1268" t="s">
        <v>1553</v>
      </c>
      <c r="H568" s="1268" t="s">
        <v>1553</v>
      </c>
      <c r="I568" s="1268" t="s">
        <v>1594</v>
      </c>
      <c r="J568" s="1268" t="s">
        <v>1595</v>
      </c>
      <c r="K568" s="1176" t="s">
        <v>43</v>
      </c>
      <c r="L568" s="1271"/>
      <c r="M568" s="1249">
        <v>1500000000</v>
      </c>
      <c r="N568" s="1175"/>
      <c r="O568" s="1175"/>
    </row>
    <row r="569" spans="1:15" ht="45" x14ac:dyDescent="0.2">
      <c r="A569" s="1172">
        <v>2022563</v>
      </c>
      <c r="B569" s="1270" t="s">
        <v>459</v>
      </c>
      <c r="C569" s="1270"/>
      <c r="D569" s="1190" t="s">
        <v>691</v>
      </c>
      <c r="E569" s="1270" t="s">
        <v>1186</v>
      </c>
      <c r="F569" s="1197" t="s">
        <v>1187</v>
      </c>
      <c r="G569" s="1268" t="s">
        <v>1553</v>
      </c>
      <c r="H569" s="1268" t="s">
        <v>1553</v>
      </c>
      <c r="I569" s="1268" t="s">
        <v>1594</v>
      </c>
      <c r="J569" s="1268" t="s">
        <v>1595</v>
      </c>
      <c r="K569" s="1176" t="s">
        <v>43</v>
      </c>
      <c r="L569" s="1271"/>
      <c r="M569" s="1249">
        <v>550000000</v>
      </c>
      <c r="N569" s="1175"/>
      <c r="O569" s="1175"/>
    </row>
    <row r="570" spans="1:15" ht="45" x14ac:dyDescent="0.2">
      <c r="A570" s="1172">
        <v>2022564</v>
      </c>
      <c r="B570" s="1270" t="s">
        <v>459</v>
      </c>
      <c r="C570" s="1270"/>
      <c r="D570" s="1190" t="s">
        <v>691</v>
      </c>
      <c r="E570" s="1270" t="s">
        <v>1186</v>
      </c>
      <c r="F570" s="1197" t="s">
        <v>1187</v>
      </c>
      <c r="G570" s="1268" t="s">
        <v>1553</v>
      </c>
      <c r="H570" s="1268" t="s">
        <v>1553</v>
      </c>
      <c r="I570" s="1268" t="s">
        <v>1594</v>
      </c>
      <c r="J570" s="1268" t="s">
        <v>1595</v>
      </c>
      <c r="K570" s="1176" t="s">
        <v>43</v>
      </c>
      <c r="L570" s="1271"/>
      <c r="M570" s="1249">
        <v>733000000</v>
      </c>
      <c r="N570" s="1175"/>
      <c r="O570" s="1175"/>
    </row>
    <row r="571" spans="1:15" ht="45" x14ac:dyDescent="0.2">
      <c r="A571" s="1172">
        <v>2022565</v>
      </c>
      <c r="B571" s="1270" t="s">
        <v>459</v>
      </c>
      <c r="C571" s="1270"/>
      <c r="D571" s="1190" t="s">
        <v>691</v>
      </c>
      <c r="E571" s="1270" t="s">
        <v>1186</v>
      </c>
      <c r="F571" s="1197" t="s">
        <v>1187</v>
      </c>
      <c r="G571" s="1268" t="s">
        <v>1553</v>
      </c>
      <c r="H571" s="1268" t="s">
        <v>1553</v>
      </c>
      <c r="I571" s="1268" t="s">
        <v>1594</v>
      </c>
      <c r="J571" s="1268" t="s">
        <v>1595</v>
      </c>
      <c r="K571" s="1176" t="s">
        <v>43</v>
      </c>
      <c r="L571" s="1271"/>
      <c r="M571" s="1249">
        <v>150000000</v>
      </c>
      <c r="N571" s="1175"/>
      <c r="O571" s="1175"/>
    </row>
    <row r="572" spans="1:15" ht="45" x14ac:dyDescent="0.2">
      <c r="A572" s="1172">
        <v>2022566</v>
      </c>
      <c r="B572" s="1270" t="s">
        <v>459</v>
      </c>
      <c r="C572" s="1270"/>
      <c r="D572" s="1190" t="s">
        <v>691</v>
      </c>
      <c r="E572" s="1270" t="s">
        <v>1186</v>
      </c>
      <c r="F572" s="1197" t="s">
        <v>1187</v>
      </c>
      <c r="G572" s="1268" t="s">
        <v>1553</v>
      </c>
      <c r="H572" s="1268" t="s">
        <v>1553</v>
      </c>
      <c r="I572" s="1268" t="s">
        <v>1594</v>
      </c>
      <c r="J572" s="1268" t="s">
        <v>1595</v>
      </c>
      <c r="K572" s="1176" t="s">
        <v>43</v>
      </c>
      <c r="L572" s="1271"/>
      <c r="M572" s="1249">
        <v>300000000</v>
      </c>
      <c r="N572" s="1175"/>
      <c r="O572" s="1175"/>
    </row>
    <row r="573" spans="1:15" ht="45" x14ac:dyDescent="0.2">
      <c r="A573" s="1172">
        <v>2022567</v>
      </c>
      <c r="B573" s="1270" t="s">
        <v>459</v>
      </c>
      <c r="C573" s="1270"/>
      <c r="D573" s="1190" t="s">
        <v>691</v>
      </c>
      <c r="E573" s="1270" t="s">
        <v>1186</v>
      </c>
      <c r="F573" s="1197" t="s">
        <v>1187</v>
      </c>
      <c r="G573" s="1268" t="s">
        <v>1553</v>
      </c>
      <c r="H573" s="1268" t="s">
        <v>1553</v>
      </c>
      <c r="I573" s="1268" t="s">
        <v>1594</v>
      </c>
      <c r="J573" s="1268" t="s">
        <v>1595</v>
      </c>
      <c r="K573" s="1176" t="s">
        <v>43</v>
      </c>
      <c r="L573" s="1271"/>
      <c r="M573" s="1249">
        <v>67000000</v>
      </c>
      <c r="N573" s="1175"/>
      <c r="O573" s="1175"/>
    </row>
    <row r="574" spans="1:15" ht="45" x14ac:dyDescent="0.2">
      <c r="A574" s="1172">
        <v>2022568</v>
      </c>
      <c r="B574" s="1270" t="s">
        <v>459</v>
      </c>
      <c r="C574" s="1270"/>
      <c r="D574" s="1190" t="s">
        <v>691</v>
      </c>
      <c r="E574" s="1270" t="s">
        <v>1188</v>
      </c>
      <c r="F574" s="1197" t="s">
        <v>1189</v>
      </c>
      <c r="G574" s="1268" t="s">
        <v>1559</v>
      </c>
      <c r="H574" s="1268" t="s">
        <v>1559</v>
      </c>
      <c r="I574" s="1268" t="s">
        <v>1591</v>
      </c>
      <c r="J574" s="1268" t="s">
        <v>1592</v>
      </c>
      <c r="K574" s="1176" t="s">
        <v>43</v>
      </c>
      <c r="L574" s="1271"/>
      <c r="M574" s="1249">
        <v>124000000</v>
      </c>
      <c r="N574" s="1175"/>
      <c r="O574" s="1175"/>
    </row>
    <row r="575" spans="1:15" ht="45" x14ac:dyDescent="0.2">
      <c r="A575" s="1172">
        <v>2022569</v>
      </c>
      <c r="B575" s="1270" t="s">
        <v>459</v>
      </c>
      <c r="C575" s="1270"/>
      <c r="D575" s="1190" t="s">
        <v>691</v>
      </c>
      <c r="E575" s="1270" t="s">
        <v>1188</v>
      </c>
      <c r="F575" s="1197" t="s">
        <v>1190</v>
      </c>
      <c r="G575" s="1268" t="s">
        <v>1548</v>
      </c>
      <c r="H575" s="1268" t="s">
        <v>1548</v>
      </c>
      <c r="I575" s="1268" t="s">
        <v>1594</v>
      </c>
      <c r="J575" s="1268" t="s">
        <v>1592</v>
      </c>
      <c r="K575" s="1176" t="s">
        <v>43</v>
      </c>
      <c r="L575" s="1271"/>
      <c r="M575" s="1249">
        <v>109000000</v>
      </c>
      <c r="N575" s="1175"/>
      <c r="O575" s="1175"/>
    </row>
    <row r="576" spans="1:15" ht="45" x14ac:dyDescent="0.2">
      <c r="A576" s="1172">
        <v>2022570</v>
      </c>
      <c r="B576" s="1270" t="s">
        <v>459</v>
      </c>
      <c r="C576" s="1270"/>
      <c r="D576" s="1190" t="s">
        <v>691</v>
      </c>
      <c r="E576" s="1270" t="s">
        <v>782</v>
      </c>
      <c r="F576" s="1197" t="s">
        <v>1191</v>
      </c>
      <c r="G576" s="1268" t="s">
        <v>1565</v>
      </c>
      <c r="H576" s="1268" t="s">
        <v>1565</v>
      </c>
      <c r="I576" s="1268" t="s">
        <v>1596</v>
      </c>
      <c r="J576" s="1268" t="s">
        <v>1592</v>
      </c>
      <c r="K576" s="1176" t="s">
        <v>43</v>
      </c>
      <c r="L576" s="1271"/>
      <c r="M576" s="1249">
        <v>350000000</v>
      </c>
      <c r="N576" s="1175"/>
      <c r="O576" s="1175"/>
    </row>
    <row r="577" spans="1:18" ht="60" x14ac:dyDescent="0.2">
      <c r="A577" s="1182">
        <v>2022571</v>
      </c>
      <c r="B577" s="1273" t="s">
        <v>459</v>
      </c>
      <c r="C577" s="1273"/>
      <c r="D577" s="1227" t="s">
        <v>691</v>
      </c>
      <c r="E577" s="1273" t="s">
        <v>985</v>
      </c>
      <c r="F577" s="1275" t="s">
        <v>1192</v>
      </c>
      <c r="G577" s="1265" t="s">
        <v>1554</v>
      </c>
      <c r="H577" s="1265" t="s">
        <v>1554</v>
      </c>
      <c r="I577" s="1265" t="s">
        <v>1602</v>
      </c>
      <c r="J577" s="1265" t="s">
        <v>1595</v>
      </c>
      <c r="K577" s="1184" t="s">
        <v>43</v>
      </c>
      <c r="L577" s="1276"/>
      <c r="M577" s="1188">
        <v>756263000</v>
      </c>
      <c r="N577" s="1185"/>
      <c r="O577" s="1185"/>
      <c r="R577" s="1159"/>
    </row>
    <row r="578" spans="1:18" ht="45" x14ac:dyDescent="0.2">
      <c r="A578" s="1172">
        <v>2022572</v>
      </c>
      <c r="B578" s="1270" t="s">
        <v>459</v>
      </c>
      <c r="C578" s="1270"/>
      <c r="D578" s="1190" t="s">
        <v>691</v>
      </c>
      <c r="E578" s="1270" t="s">
        <v>1173</v>
      </c>
      <c r="F578" s="1197" t="s">
        <v>989</v>
      </c>
      <c r="G578" s="1268" t="s">
        <v>1548</v>
      </c>
      <c r="H578" s="1268" t="s">
        <v>1548</v>
      </c>
      <c r="I578" s="1268" t="s">
        <v>1526</v>
      </c>
      <c r="J578" s="1268" t="s">
        <v>1501</v>
      </c>
      <c r="K578" s="1176" t="s">
        <v>43</v>
      </c>
      <c r="L578" s="1271"/>
      <c r="M578" s="1249">
        <v>37063000</v>
      </c>
      <c r="N578" s="1175"/>
      <c r="O578" s="1175"/>
    </row>
    <row r="579" spans="1:18" ht="45" x14ac:dyDescent="0.2">
      <c r="A579" s="1172">
        <v>2022573</v>
      </c>
      <c r="B579" s="1270" t="s">
        <v>459</v>
      </c>
      <c r="C579" s="1270"/>
      <c r="D579" s="1190" t="s">
        <v>691</v>
      </c>
      <c r="E579" s="1270" t="s">
        <v>1173</v>
      </c>
      <c r="F579" s="1197" t="s">
        <v>991</v>
      </c>
      <c r="G579" s="1268" t="s">
        <v>1548</v>
      </c>
      <c r="H579" s="1268" t="s">
        <v>1548</v>
      </c>
      <c r="I579" s="1268" t="s">
        <v>1496</v>
      </c>
      <c r="J579" s="1268" t="s">
        <v>1501</v>
      </c>
      <c r="K579" s="1176" t="s">
        <v>43</v>
      </c>
      <c r="L579" s="1271"/>
      <c r="M579" s="1249">
        <v>382937000</v>
      </c>
      <c r="N579" s="1175"/>
      <c r="O579" s="1175"/>
    </row>
    <row r="580" spans="1:18" ht="45" x14ac:dyDescent="0.2">
      <c r="A580" s="1172">
        <v>2022574</v>
      </c>
      <c r="B580" s="1270" t="s">
        <v>459</v>
      </c>
      <c r="C580" s="1270"/>
      <c r="D580" s="1190" t="s">
        <v>691</v>
      </c>
      <c r="E580" s="1270" t="s">
        <v>1193</v>
      </c>
      <c r="F580" s="1197" t="s">
        <v>1598</v>
      </c>
      <c r="G580" s="1268" t="s">
        <v>1548</v>
      </c>
      <c r="H580" s="1268" t="s">
        <v>1548</v>
      </c>
      <c r="I580" s="1268" t="s">
        <v>1590</v>
      </c>
      <c r="J580" s="1268" t="s">
        <v>1592</v>
      </c>
      <c r="K580" s="1176" t="s">
        <v>43</v>
      </c>
      <c r="L580" s="1271"/>
      <c r="M580" s="1249">
        <v>4019274</v>
      </c>
      <c r="N580" s="1175"/>
      <c r="O580" s="1175"/>
    </row>
    <row r="581" spans="1:18" ht="45" x14ac:dyDescent="0.2">
      <c r="A581" s="1172">
        <v>2022575</v>
      </c>
      <c r="B581" s="1270" t="s">
        <v>459</v>
      </c>
      <c r="C581" s="1270"/>
      <c r="D581" s="1190" t="s">
        <v>691</v>
      </c>
      <c r="E581" s="1270" t="s">
        <v>1195</v>
      </c>
      <c r="F581" s="1197" t="s">
        <v>1196</v>
      </c>
      <c r="G581" s="1268" t="s">
        <v>1548</v>
      </c>
      <c r="H581" s="1268" t="s">
        <v>1548</v>
      </c>
      <c r="I581" s="1268" t="s">
        <v>1599</v>
      </c>
      <c r="J581" s="1268" t="s">
        <v>1592</v>
      </c>
      <c r="K581" s="1176" t="s">
        <v>43</v>
      </c>
      <c r="L581" s="1271"/>
      <c r="M581" s="1249">
        <v>8664250</v>
      </c>
      <c r="N581" s="1175"/>
      <c r="O581" s="1175"/>
    </row>
    <row r="582" spans="1:18" ht="45" x14ac:dyDescent="0.2">
      <c r="A582" s="1172">
        <v>2022576</v>
      </c>
      <c r="B582" s="1270" t="s">
        <v>459</v>
      </c>
      <c r="C582" s="1270"/>
      <c r="D582" s="1190" t="s">
        <v>691</v>
      </c>
      <c r="E582" s="1270" t="s">
        <v>1193</v>
      </c>
      <c r="F582" s="1197" t="s">
        <v>1197</v>
      </c>
      <c r="G582" s="1268" t="s">
        <v>1559</v>
      </c>
      <c r="H582" s="1268" t="s">
        <v>1559</v>
      </c>
      <c r="I582" s="1268" t="s">
        <v>1600</v>
      </c>
      <c r="J582" s="1268" t="s">
        <v>1592</v>
      </c>
      <c r="K582" s="1176" t="s">
        <v>43</v>
      </c>
      <c r="L582" s="1271"/>
      <c r="M582" s="1249">
        <v>13335750</v>
      </c>
      <c r="N582" s="1175"/>
      <c r="O582" s="1175"/>
    </row>
    <row r="583" spans="1:18" ht="45" x14ac:dyDescent="0.2">
      <c r="A583" s="1172">
        <v>2022577</v>
      </c>
      <c r="B583" s="1270" t="s">
        <v>459</v>
      </c>
      <c r="C583" s="1270"/>
      <c r="D583" s="1190" t="s">
        <v>691</v>
      </c>
      <c r="E583" s="1270" t="s">
        <v>1195</v>
      </c>
      <c r="F583" s="1197" t="s">
        <v>1194</v>
      </c>
      <c r="G583" s="1268" t="s">
        <v>1562</v>
      </c>
      <c r="H583" s="1268" t="s">
        <v>1562</v>
      </c>
      <c r="I583" s="1268" t="s">
        <v>1590</v>
      </c>
      <c r="J583" s="1268" t="s">
        <v>1592</v>
      </c>
      <c r="K583" s="1176" t="s">
        <v>43</v>
      </c>
      <c r="L583" s="1271"/>
      <c r="M583" s="1249">
        <v>3980726</v>
      </c>
      <c r="N583" s="1175"/>
      <c r="O583" s="1175"/>
    </row>
    <row r="584" spans="1:18" ht="60" x14ac:dyDescent="0.2">
      <c r="A584" s="1172">
        <v>2022578</v>
      </c>
      <c r="B584" s="1270" t="s">
        <v>459</v>
      </c>
      <c r="C584" s="1270"/>
      <c r="D584" s="1190" t="s">
        <v>691</v>
      </c>
      <c r="E584" s="1270" t="s">
        <v>810</v>
      </c>
      <c r="F584" s="1197" t="s">
        <v>811</v>
      </c>
      <c r="G584" s="1268" t="s">
        <v>1548</v>
      </c>
      <c r="H584" s="1268" t="s">
        <v>1548</v>
      </c>
      <c r="I584" s="1268">
        <v>0</v>
      </c>
      <c r="J584" s="1268" t="s">
        <v>1601</v>
      </c>
      <c r="K584" s="1176" t="s">
        <v>43</v>
      </c>
      <c r="L584" s="1271"/>
      <c r="M584" s="1249">
        <v>20000000</v>
      </c>
      <c r="N584" s="1175"/>
      <c r="O584" s="1175"/>
    </row>
    <row r="585" spans="1:18" ht="45" x14ac:dyDescent="0.2">
      <c r="A585" s="1172">
        <v>2022579</v>
      </c>
      <c r="B585" s="1270" t="s">
        <v>459</v>
      </c>
      <c r="C585" s="1270"/>
      <c r="D585" s="1190" t="s">
        <v>691</v>
      </c>
      <c r="E585" s="1270" t="s">
        <v>810</v>
      </c>
      <c r="F585" s="1197" t="s">
        <v>1198</v>
      </c>
      <c r="G585" s="1268" t="s">
        <v>1548</v>
      </c>
      <c r="H585" s="1268" t="s">
        <v>1548</v>
      </c>
      <c r="I585" s="1268" t="s">
        <v>1602</v>
      </c>
      <c r="J585" s="1268" t="s">
        <v>1601</v>
      </c>
      <c r="K585" s="1176" t="s">
        <v>43</v>
      </c>
      <c r="L585" s="1271"/>
      <c r="M585" s="1249">
        <v>130000000</v>
      </c>
      <c r="N585" s="1175"/>
      <c r="O585" s="1175"/>
    </row>
    <row r="586" spans="1:18" ht="30" x14ac:dyDescent="0.2">
      <c r="A586" s="1172">
        <v>2022580</v>
      </c>
      <c r="B586" s="1270" t="s">
        <v>459</v>
      </c>
      <c r="C586" s="1270"/>
      <c r="D586" s="1190" t="s">
        <v>684</v>
      </c>
      <c r="E586" s="1270" t="s">
        <v>782</v>
      </c>
      <c r="F586" s="1197" t="s">
        <v>1199</v>
      </c>
      <c r="G586" s="1277" t="s">
        <v>1548</v>
      </c>
      <c r="H586" s="1277" t="s">
        <v>1548</v>
      </c>
      <c r="I586" s="1268" t="s">
        <v>1603</v>
      </c>
      <c r="J586" s="1268" t="s">
        <v>1592</v>
      </c>
      <c r="K586" s="1176" t="s">
        <v>43</v>
      </c>
      <c r="L586" s="1271"/>
      <c r="M586" s="1249">
        <v>85650000</v>
      </c>
      <c r="N586" s="1175"/>
      <c r="O586" s="1175"/>
    </row>
    <row r="587" spans="1:18" ht="45" x14ac:dyDescent="0.2">
      <c r="A587" s="1172">
        <v>2022581</v>
      </c>
      <c r="B587" s="1270" t="s">
        <v>459</v>
      </c>
      <c r="C587" s="1270"/>
      <c r="D587" s="1190" t="s">
        <v>684</v>
      </c>
      <c r="E587" s="1270" t="s">
        <v>782</v>
      </c>
      <c r="F587" s="1197" t="s">
        <v>1200</v>
      </c>
      <c r="G587" s="1277" t="s">
        <v>1548</v>
      </c>
      <c r="H587" s="1277" t="s">
        <v>1548</v>
      </c>
      <c r="I587" s="1268" t="s">
        <v>1603</v>
      </c>
      <c r="J587" s="1268" t="s">
        <v>1592</v>
      </c>
      <c r="K587" s="1176" t="s">
        <v>43</v>
      </c>
      <c r="L587" s="1271"/>
      <c r="M587" s="1249">
        <v>55350000</v>
      </c>
      <c r="N587" s="1175"/>
      <c r="O587" s="1175"/>
    </row>
    <row r="588" spans="1:18" ht="45" x14ac:dyDescent="0.2">
      <c r="A588" s="1172">
        <v>2022582</v>
      </c>
      <c r="B588" s="1270" t="s">
        <v>459</v>
      </c>
      <c r="C588" s="1270"/>
      <c r="D588" s="1190" t="s">
        <v>684</v>
      </c>
      <c r="E588" s="1270" t="s">
        <v>782</v>
      </c>
      <c r="F588" s="1197" t="s">
        <v>1201</v>
      </c>
      <c r="G588" s="1277" t="s">
        <v>1548</v>
      </c>
      <c r="H588" s="1277" t="s">
        <v>1548</v>
      </c>
      <c r="I588" s="1268" t="s">
        <v>1500</v>
      </c>
      <c r="J588" s="1268" t="s">
        <v>1592</v>
      </c>
      <c r="K588" s="1176" t="s">
        <v>43</v>
      </c>
      <c r="L588" s="1271"/>
      <c r="M588" s="1249">
        <v>99000000</v>
      </c>
      <c r="N588" s="1175"/>
      <c r="O588" s="1175"/>
    </row>
    <row r="589" spans="1:18" ht="90" x14ac:dyDescent="0.2">
      <c r="A589" s="1172">
        <v>2022583</v>
      </c>
      <c r="B589" s="1270" t="s">
        <v>459</v>
      </c>
      <c r="C589" s="1270"/>
      <c r="D589" s="1190" t="s">
        <v>700</v>
      </c>
      <c r="E589" s="1270" t="s">
        <v>1202</v>
      </c>
      <c r="F589" s="1197" t="s">
        <v>1203</v>
      </c>
      <c r="G589" s="1277" t="s">
        <v>1548</v>
      </c>
      <c r="H589" s="1277" t="s">
        <v>1548</v>
      </c>
      <c r="I589" s="1268" t="s">
        <v>1485</v>
      </c>
      <c r="J589" s="1268" t="s">
        <v>1604</v>
      </c>
      <c r="K589" s="1176" t="s">
        <v>43</v>
      </c>
      <c r="L589" s="1271"/>
      <c r="M589" s="1249">
        <v>22000000</v>
      </c>
      <c r="N589" s="1175"/>
      <c r="O589" s="1175"/>
    </row>
    <row r="590" spans="1:18" ht="30" x14ac:dyDescent="0.2">
      <c r="A590" s="1172">
        <v>2022584</v>
      </c>
      <c r="B590" s="1270" t="s">
        <v>459</v>
      </c>
      <c r="C590" s="1270"/>
      <c r="D590" s="1190" t="s">
        <v>703</v>
      </c>
      <c r="E590" s="1270" t="s">
        <v>1204</v>
      </c>
      <c r="F590" s="1197" t="s">
        <v>1205</v>
      </c>
      <c r="G590" s="1268" t="s">
        <v>1553</v>
      </c>
      <c r="H590" s="1268" t="s">
        <v>1553</v>
      </c>
      <c r="I590" s="1268" t="s">
        <v>1590</v>
      </c>
      <c r="J590" s="1268" t="s">
        <v>1592</v>
      </c>
      <c r="K590" s="1176" t="s">
        <v>43</v>
      </c>
      <c r="L590" s="1271"/>
      <c r="M590" s="1249">
        <v>700102000</v>
      </c>
      <c r="N590" s="1175"/>
      <c r="O590" s="1175"/>
    </row>
    <row r="591" spans="1:18" ht="195" x14ac:dyDescent="0.2">
      <c r="A591" s="1172">
        <v>2022585</v>
      </c>
      <c r="B591" s="1270" t="s">
        <v>459</v>
      </c>
      <c r="C591" s="1270"/>
      <c r="D591" s="1190" t="s">
        <v>697</v>
      </c>
      <c r="E591" s="1270" t="s">
        <v>1206</v>
      </c>
      <c r="F591" s="1197" t="s">
        <v>1207</v>
      </c>
      <c r="G591" s="1268" t="s">
        <v>1559</v>
      </c>
      <c r="H591" s="1268" t="s">
        <v>1559</v>
      </c>
      <c r="I591" s="1268" t="s">
        <v>1590</v>
      </c>
      <c r="J591" s="1268" t="s">
        <v>1595</v>
      </c>
      <c r="K591" s="1176" t="s">
        <v>43</v>
      </c>
      <c r="L591" s="1271"/>
      <c r="M591" s="1249">
        <v>40000000</v>
      </c>
      <c r="N591" s="1175"/>
      <c r="O591" s="1175"/>
      <c r="R591" s="330"/>
    </row>
    <row r="592" spans="1:18" ht="45" x14ac:dyDescent="0.2">
      <c r="A592" s="1172">
        <v>2022586</v>
      </c>
      <c r="B592" s="1270" t="s">
        <v>459</v>
      </c>
      <c r="C592" s="1270"/>
      <c r="D592" s="1190" t="s">
        <v>697</v>
      </c>
      <c r="E592" s="1270" t="s">
        <v>1208</v>
      </c>
      <c r="F592" s="1197" t="s">
        <v>1209</v>
      </c>
      <c r="G592" s="1268" t="s">
        <v>1549</v>
      </c>
      <c r="H592" s="1268" t="s">
        <v>1549</v>
      </c>
      <c r="I592" s="1268" t="s">
        <v>1600</v>
      </c>
      <c r="J592" s="1268" t="s">
        <v>1595</v>
      </c>
      <c r="K592" s="1176" t="s">
        <v>43</v>
      </c>
      <c r="L592" s="1271"/>
      <c r="M592" s="1249">
        <v>870000000</v>
      </c>
      <c r="N592" s="1175"/>
      <c r="O592" s="1175"/>
    </row>
    <row r="593" spans="1:18" ht="30" x14ac:dyDescent="0.2">
      <c r="A593" s="1172">
        <v>2022587</v>
      </c>
      <c r="B593" s="1270" t="s">
        <v>459</v>
      </c>
      <c r="C593" s="1270"/>
      <c r="D593" s="1190" t="s">
        <v>697</v>
      </c>
      <c r="E593" s="1270" t="s">
        <v>1210</v>
      </c>
      <c r="F593" s="1197" t="s">
        <v>1211</v>
      </c>
      <c r="G593" s="1268" t="s">
        <v>1605</v>
      </c>
      <c r="H593" s="1268" t="s">
        <v>1605</v>
      </c>
      <c r="I593" s="1268" t="s">
        <v>1212</v>
      </c>
      <c r="J593" s="1268"/>
      <c r="K593" s="1176" t="s">
        <v>43</v>
      </c>
      <c r="L593" s="1271"/>
      <c r="M593" s="1249">
        <v>150000000</v>
      </c>
      <c r="N593" s="1175"/>
      <c r="O593" s="1175"/>
    </row>
    <row r="594" spans="1:18" ht="30" x14ac:dyDescent="0.2">
      <c r="A594" s="1172">
        <v>2022588</v>
      </c>
      <c r="B594" s="1270" t="s">
        <v>459</v>
      </c>
      <c r="C594" s="1270"/>
      <c r="D594" s="1190" t="s">
        <v>697</v>
      </c>
      <c r="E594" s="1270" t="s">
        <v>1213</v>
      </c>
      <c r="F594" s="1197" t="s">
        <v>1214</v>
      </c>
      <c r="G594" s="1268" t="s">
        <v>1564</v>
      </c>
      <c r="H594" s="1268" t="s">
        <v>1564</v>
      </c>
      <c r="I594" s="1268" t="s">
        <v>1591</v>
      </c>
      <c r="J594" s="1268" t="s">
        <v>1601</v>
      </c>
      <c r="K594" s="1176" t="s">
        <v>43</v>
      </c>
      <c r="L594" s="1271"/>
      <c r="M594" s="1249">
        <v>250000000</v>
      </c>
      <c r="N594" s="1175"/>
      <c r="O594" s="1175"/>
    </row>
    <row r="595" spans="1:18" ht="90" x14ac:dyDescent="0.2">
      <c r="A595" s="1182">
        <v>2022589</v>
      </c>
      <c r="B595" s="1273" t="s">
        <v>459</v>
      </c>
      <c r="C595" s="1273"/>
      <c r="D595" s="1227" t="s">
        <v>697</v>
      </c>
      <c r="E595" s="1273" t="s">
        <v>1215</v>
      </c>
      <c r="F595" s="1275" t="s">
        <v>1216</v>
      </c>
      <c r="G595" s="1265" t="s">
        <v>1549</v>
      </c>
      <c r="H595" s="1265" t="s">
        <v>1549</v>
      </c>
      <c r="I595" s="1265" t="s">
        <v>1600</v>
      </c>
      <c r="J595" s="1265" t="s">
        <v>1604</v>
      </c>
      <c r="K595" s="1184" t="s">
        <v>43</v>
      </c>
      <c r="L595" s="1276"/>
      <c r="M595" s="1188">
        <f>50000000-29250000</f>
        <v>20750000</v>
      </c>
      <c r="N595" s="1185"/>
      <c r="O595" s="1185"/>
      <c r="R595" s="1159"/>
    </row>
    <row r="596" spans="1:18" ht="60" x14ac:dyDescent="0.2">
      <c r="A596" s="1172">
        <v>2022590</v>
      </c>
      <c r="B596" s="1270" t="s">
        <v>459</v>
      </c>
      <c r="C596" s="1270"/>
      <c r="D596" s="1190" t="s">
        <v>697</v>
      </c>
      <c r="E596" s="1270" t="s">
        <v>1212</v>
      </c>
      <c r="F596" s="1197" t="s">
        <v>1217</v>
      </c>
      <c r="G596" s="1268" t="s">
        <v>1553</v>
      </c>
      <c r="H596" s="1268" t="s">
        <v>1553</v>
      </c>
      <c r="I596" s="1268" t="s">
        <v>1594</v>
      </c>
      <c r="J596" s="1268" t="s">
        <v>1606</v>
      </c>
      <c r="K596" s="1176" t="s">
        <v>43</v>
      </c>
      <c r="L596" s="1271"/>
      <c r="M596" s="1249">
        <v>2476000000</v>
      </c>
      <c r="N596" s="1175"/>
      <c r="O596" s="1175"/>
    </row>
    <row r="597" spans="1:18" ht="84" customHeight="1" x14ac:dyDescent="0.2">
      <c r="A597" s="1172">
        <v>2022591</v>
      </c>
      <c r="B597" s="1270" t="s">
        <v>459</v>
      </c>
      <c r="C597" s="1270"/>
      <c r="D597" s="1173" t="s">
        <v>673</v>
      </c>
      <c r="E597" s="1270" t="s">
        <v>1218</v>
      </c>
      <c r="F597" s="1197" t="s">
        <v>1607</v>
      </c>
      <c r="G597" s="1268" t="s">
        <v>1548</v>
      </c>
      <c r="H597" s="1268" t="s">
        <v>1548</v>
      </c>
      <c r="I597" s="1268" t="s">
        <v>1608</v>
      </c>
      <c r="J597" s="1268" t="s">
        <v>1592</v>
      </c>
      <c r="K597" s="1176" t="s">
        <v>43</v>
      </c>
      <c r="L597" s="1271"/>
      <c r="M597" s="1249">
        <v>35000000</v>
      </c>
      <c r="N597" s="1175"/>
      <c r="O597" s="1175"/>
    </row>
    <row r="598" spans="1:18" ht="45" x14ac:dyDescent="0.2">
      <c r="A598" s="1172">
        <v>2022592</v>
      </c>
      <c r="B598" s="1270" t="s">
        <v>459</v>
      </c>
      <c r="C598" s="1270"/>
      <c r="D598" s="1173" t="s">
        <v>673</v>
      </c>
      <c r="E598" s="1270" t="s">
        <v>1218</v>
      </c>
      <c r="F598" s="1197" t="s">
        <v>1220</v>
      </c>
      <c r="G598" s="1268" t="s">
        <v>1548</v>
      </c>
      <c r="H598" s="1268" t="s">
        <v>1548</v>
      </c>
      <c r="I598" s="1268" t="s">
        <v>1608</v>
      </c>
      <c r="J598" s="1268" t="s">
        <v>1609</v>
      </c>
      <c r="K598" s="1176" t="s">
        <v>43</v>
      </c>
      <c r="L598" s="1271"/>
      <c r="M598" s="1249">
        <v>19810000</v>
      </c>
      <c r="N598" s="1175"/>
      <c r="O598" s="1175"/>
    </row>
    <row r="599" spans="1:18" ht="60" x14ac:dyDescent="0.2">
      <c r="A599" s="1172">
        <v>2022593</v>
      </c>
      <c r="B599" s="1270" t="s">
        <v>459</v>
      </c>
      <c r="C599" s="1270"/>
      <c r="D599" s="1173" t="s">
        <v>673</v>
      </c>
      <c r="E599" s="1270" t="s">
        <v>1221</v>
      </c>
      <c r="F599" s="1197" t="s">
        <v>1222</v>
      </c>
      <c r="G599" s="1268" t="s">
        <v>1548</v>
      </c>
      <c r="H599" s="1268" t="s">
        <v>1548</v>
      </c>
      <c r="I599" s="1268" t="s">
        <v>1610</v>
      </c>
      <c r="J599" s="1268" t="s">
        <v>1592</v>
      </c>
      <c r="K599" s="1176" t="s">
        <v>43</v>
      </c>
      <c r="L599" s="1271"/>
      <c r="M599" s="1249">
        <v>10000000</v>
      </c>
      <c r="N599" s="1175"/>
      <c r="O599" s="1175"/>
      <c r="R599" s="1278"/>
    </row>
    <row r="600" spans="1:18" ht="45" x14ac:dyDescent="0.2">
      <c r="A600" s="1172">
        <v>2022594</v>
      </c>
      <c r="B600" s="1270" t="s">
        <v>459</v>
      </c>
      <c r="C600" s="1270"/>
      <c r="D600" s="1173" t="s">
        <v>673</v>
      </c>
      <c r="E600" s="1270" t="s">
        <v>1223</v>
      </c>
      <c r="F600" s="1197" t="s">
        <v>1611</v>
      </c>
      <c r="G600" s="1268" t="s">
        <v>1548</v>
      </c>
      <c r="H600" s="1268" t="s">
        <v>1548</v>
      </c>
      <c r="I600" s="1268" t="s">
        <v>1590</v>
      </c>
      <c r="J600" s="1268" t="s">
        <v>1592</v>
      </c>
      <c r="K600" s="1176" t="s">
        <v>43</v>
      </c>
      <c r="L600" s="1271"/>
      <c r="M600" s="1249">
        <v>8386190</v>
      </c>
      <c r="N600" s="1175"/>
      <c r="O600" s="1175"/>
    </row>
    <row r="601" spans="1:18" ht="30" x14ac:dyDescent="0.2">
      <c r="A601" s="1172">
        <v>2022595</v>
      </c>
      <c r="B601" s="1270" t="s">
        <v>459</v>
      </c>
      <c r="C601" s="1270"/>
      <c r="D601" s="1173" t="s">
        <v>673</v>
      </c>
      <c r="E601" s="1270" t="s">
        <v>1225</v>
      </c>
      <c r="F601" s="1197" t="s">
        <v>1226</v>
      </c>
      <c r="G601" s="1268" t="s">
        <v>1565</v>
      </c>
      <c r="H601" s="1268" t="s">
        <v>1565</v>
      </c>
      <c r="I601" s="1268" t="s">
        <v>1594</v>
      </c>
      <c r="J601" s="1268" t="s">
        <v>1592</v>
      </c>
      <c r="K601" s="1176" t="s">
        <v>43</v>
      </c>
      <c r="L601" s="1271"/>
      <c r="M601" s="1249">
        <v>35000000</v>
      </c>
      <c r="N601" s="1175"/>
      <c r="O601" s="1175"/>
    </row>
    <row r="602" spans="1:18" ht="45" x14ac:dyDescent="0.2">
      <c r="A602" s="1172">
        <v>2022596</v>
      </c>
      <c r="B602" s="1270" t="s">
        <v>459</v>
      </c>
      <c r="C602" s="1270"/>
      <c r="D602" s="1173" t="s">
        <v>673</v>
      </c>
      <c r="E602" s="1270" t="s">
        <v>1227</v>
      </c>
      <c r="F602" s="1197" t="s">
        <v>1612</v>
      </c>
      <c r="G602" s="1268" t="s">
        <v>1564</v>
      </c>
      <c r="H602" s="1268" t="s">
        <v>1564</v>
      </c>
      <c r="I602" s="1268" t="s">
        <v>1608</v>
      </c>
      <c r="J602" s="1268" t="s">
        <v>1501</v>
      </c>
      <c r="K602" s="1176" t="s">
        <v>43</v>
      </c>
      <c r="L602" s="1271"/>
      <c r="M602" s="1249">
        <v>35000000</v>
      </c>
      <c r="N602" s="1175"/>
      <c r="O602" s="1175"/>
    </row>
    <row r="603" spans="1:18" ht="75" x14ac:dyDescent="0.2">
      <c r="A603" s="1182">
        <v>2022597</v>
      </c>
      <c r="B603" s="1273" t="s">
        <v>459</v>
      </c>
      <c r="C603" s="1273"/>
      <c r="D603" s="1279" t="s">
        <v>673</v>
      </c>
      <c r="E603" s="1273" t="s">
        <v>1229</v>
      </c>
      <c r="F603" s="1275" t="s">
        <v>1230</v>
      </c>
      <c r="G603" s="1265" t="s">
        <v>1549</v>
      </c>
      <c r="H603" s="1265" t="s">
        <v>1549</v>
      </c>
      <c r="I603" s="1265" t="s">
        <v>1590</v>
      </c>
      <c r="J603" s="1265" t="s">
        <v>1501</v>
      </c>
      <c r="K603" s="1184" t="s">
        <v>43</v>
      </c>
      <c r="L603" s="1276"/>
      <c r="M603" s="1188">
        <f>300000000-81890487</f>
        <v>218109513</v>
      </c>
      <c r="N603" s="1185"/>
      <c r="O603" s="1185"/>
      <c r="R603" s="1159"/>
    </row>
    <row r="604" spans="1:18" ht="60" x14ac:dyDescent="0.2">
      <c r="A604" s="1172">
        <v>2022598</v>
      </c>
      <c r="B604" s="1270" t="s">
        <v>459</v>
      </c>
      <c r="C604" s="1270"/>
      <c r="D604" s="1173" t="s">
        <v>673</v>
      </c>
      <c r="E604" s="1270" t="s">
        <v>1231</v>
      </c>
      <c r="F604" s="1197" t="s">
        <v>1232</v>
      </c>
      <c r="G604" s="1268" t="s">
        <v>1548</v>
      </c>
      <c r="H604" s="1268" t="s">
        <v>1548</v>
      </c>
      <c r="I604" s="1268" t="s">
        <v>1614</v>
      </c>
      <c r="J604" s="1268" t="s">
        <v>1592</v>
      </c>
      <c r="K604" s="1176" t="s">
        <v>43</v>
      </c>
      <c r="L604" s="1271"/>
      <c r="M604" s="1249">
        <v>120473160</v>
      </c>
      <c r="N604" s="1175"/>
      <c r="O604" s="1175"/>
    </row>
    <row r="605" spans="1:18" ht="45" x14ac:dyDescent="0.2">
      <c r="A605" s="1172">
        <v>2022599</v>
      </c>
      <c r="B605" s="1270" t="s">
        <v>459</v>
      </c>
      <c r="C605" s="1270"/>
      <c r="D605" s="1173" t="s">
        <v>673</v>
      </c>
      <c r="E605" s="1270" t="s">
        <v>1231</v>
      </c>
      <c r="F605" s="1197" t="s">
        <v>1234</v>
      </c>
      <c r="G605" s="1268" t="s">
        <v>1559</v>
      </c>
      <c r="H605" s="1268" t="s">
        <v>1559</v>
      </c>
      <c r="I605" s="1268" t="s">
        <v>1615</v>
      </c>
      <c r="J605" s="1268" t="s">
        <v>1592</v>
      </c>
      <c r="K605" s="1176" t="s">
        <v>43</v>
      </c>
      <c r="L605" s="1271"/>
      <c r="M605" s="1249">
        <v>171518585</v>
      </c>
      <c r="N605" s="1175"/>
      <c r="O605" s="1175"/>
    </row>
    <row r="606" spans="1:18" ht="30" x14ac:dyDescent="0.2">
      <c r="A606" s="1172">
        <v>2022600</v>
      </c>
      <c r="B606" s="1270" t="s">
        <v>459</v>
      </c>
      <c r="C606" s="1270"/>
      <c r="D606" s="1173" t="s">
        <v>673</v>
      </c>
      <c r="E606" s="1270" t="s">
        <v>1212</v>
      </c>
      <c r="F606" s="1197" t="s">
        <v>1235</v>
      </c>
      <c r="G606" s="1268" t="s">
        <v>1212</v>
      </c>
      <c r="H606" s="1268" t="s">
        <v>1212</v>
      </c>
      <c r="I606" s="1268" t="s">
        <v>1212</v>
      </c>
      <c r="J606" s="1268" t="s">
        <v>1212</v>
      </c>
      <c r="K606" s="1176"/>
      <c r="L606" s="1271"/>
      <c r="M606" s="1249">
        <v>1613810</v>
      </c>
      <c r="N606" s="1175"/>
      <c r="O606" s="1175"/>
    </row>
    <row r="607" spans="1:18" ht="30" x14ac:dyDescent="0.2">
      <c r="A607" s="1172">
        <v>2022601</v>
      </c>
      <c r="B607" s="1270" t="s">
        <v>459</v>
      </c>
      <c r="C607" s="1270"/>
      <c r="D607" s="1173" t="s">
        <v>673</v>
      </c>
      <c r="E607" s="1270" t="s">
        <v>1212</v>
      </c>
      <c r="F607" s="1197" t="s">
        <v>1236</v>
      </c>
      <c r="G607" s="1268" t="s">
        <v>1212</v>
      </c>
      <c r="H607" s="1268" t="s">
        <v>1212</v>
      </c>
      <c r="I607" s="1268" t="s">
        <v>1212</v>
      </c>
      <c r="J607" s="1268" t="s">
        <v>1212</v>
      </c>
      <c r="K607" s="1176"/>
      <c r="L607" s="1271"/>
      <c r="M607" s="1249">
        <v>8008255</v>
      </c>
      <c r="N607" s="1175"/>
      <c r="O607" s="1175"/>
    </row>
    <row r="608" spans="1:18" s="330" customFormat="1" ht="120" x14ac:dyDescent="0.2">
      <c r="A608" s="1172">
        <v>2022602</v>
      </c>
      <c r="B608" s="1280">
        <v>7637</v>
      </c>
      <c r="C608" s="1268" t="s">
        <v>645</v>
      </c>
      <c r="D608" s="1173" t="s">
        <v>673</v>
      </c>
      <c r="E608" s="1280">
        <v>80111600</v>
      </c>
      <c r="F608" s="1197" t="s">
        <v>1237</v>
      </c>
      <c r="G608" s="1268" t="s">
        <v>1440</v>
      </c>
      <c r="H608" s="1268" t="s">
        <v>1440</v>
      </c>
      <c r="I608" s="1268" t="s">
        <v>1616</v>
      </c>
      <c r="J608" s="1268" t="s">
        <v>1479</v>
      </c>
      <c r="K608" s="1176" t="s">
        <v>676</v>
      </c>
      <c r="L608" s="1281" t="s">
        <v>677</v>
      </c>
      <c r="M608" s="1249">
        <v>3500000</v>
      </c>
      <c r="N608" s="1175" t="s">
        <v>734</v>
      </c>
      <c r="O608" s="1175" t="s">
        <v>1411</v>
      </c>
      <c r="R608" s="1207"/>
    </row>
    <row r="609" spans="1:18" ht="90" x14ac:dyDescent="0.2">
      <c r="A609" s="1172">
        <v>2022603</v>
      </c>
      <c r="B609" s="1172">
        <v>7655</v>
      </c>
      <c r="C609" s="1172" t="s">
        <v>670</v>
      </c>
      <c r="D609" s="1190" t="s">
        <v>673</v>
      </c>
      <c r="E609" s="1172">
        <v>80111600</v>
      </c>
      <c r="F609" s="1192" t="s">
        <v>1238</v>
      </c>
      <c r="G609" s="1193" t="s">
        <v>1440</v>
      </c>
      <c r="H609" s="1212" t="s">
        <v>1440</v>
      </c>
      <c r="I609" s="1215" t="s">
        <v>1481</v>
      </c>
      <c r="J609" s="1195" t="s">
        <v>1479</v>
      </c>
      <c r="K609" s="1176" t="s">
        <v>676</v>
      </c>
      <c r="L609" s="1176" t="s">
        <v>677</v>
      </c>
      <c r="M609" s="1179">
        <v>42000000</v>
      </c>
      <c r="N609" s="1214" t="s">
        <v>728</v>
      </c>
      <c r="O609" s="1206" t="s">
        <v>1480</v>
      </c>
      <c r="R609" s="1159"/>
    </row>
    <row r="610" spans="1:18" ht="60" x14ac:dyDescent="0.2">
      <c r="A610" s="1172">
        <v>2022604</v>
      </c>
      <c r="B610" s="1172">
        <v>7655</v>
      </c>
      <c r="C610" s="1172" t="s">
        <v>670</v>
      </c>
      <c r="D610" s="1190" t="s">
        <v>684</v>
      </c>
      <c r="E610" s="1172">
        <v>80111600</v>
      </c>
      <c r="F610" s="1192" t="s">
        <v>1239</v>
      </c>
      <c r="G610" s="1224">
        <v>44578</v>
      </c>
      <c r="H610" s="1224">
        <v>44578</v>
      </c>
      <c r="I610" s="1194" t="s">
        <v>1617</v>
      </c>
      <c r="J610" s="1195" t="s">
        <v>1479</v>
      </c>
      <c r="K610" s="1176" t="s">
        <v>676</v>
      </c>
      <c r="L610" s="1176" t="s">
        <v>677</v>
      </c>
      <c r="M610" s="1179">
        <v>28175000</v>
      </c>
      <c r="N610" s="1197" t="s">
        <v>732</v>
      </c>
      <c r="O610" s="1197" t="s">
        <v>1480</v>
      </c>
      <c r="R610" s="1159"/>
    </row>
    <row r="611" spans="1:18" ht="60" x14ac:dyDescent="0.2">
      <c r="A611" s="1172">
        <v>2022605</v>
      </c>
      <c r="B611" s="1172">
        <v>7655</v>
      </c>
      <c r="C611" s="1172" t="s">
        <v>670</v>
      </c>
      <c r="D611" s="1190" t="s">
        <v>673</v>
      </c>
      <c r="E611" s="1172">
        <v>80111600</v>
      </c>
      <c r="F611" s="1192" t="s">
        <v>1240</v>
      </c>
      <c r="G611" s="1193" t="s">
        <v>1440</v>
      </c>
      <c r="H611" s="1212" t="s">
        <v>1440</v>
      </c>
      <c r="I611" s="1282" t="s">
        <v>1484</v>
      </c>
      <c r="J611" s="1195" t="s">
        <v>1479</v>
      </c>
      <c r="K611" s="1176" t="s">
        <v>676</v>
      </c>
      <c r="L611" s="1176" t="s">
        <v>677</v>
      </c>
      <c r="M611" s="1179">
        <f>10*4500000</f>
        <v>45000000</v>
      </c>
      <c r="N611" s="1197" t="s">
        <v>732</v>
      </c>
      <c r="O611" s="1206" t="s">
        <v>1480</v>
      </c>
      <c r="R611" s="1159"/>
    </row>
    <row r="612" spans="1:18" ht="60" x14ac:dyDescent="0.2">
      <c r="A612" s="1172">
        <v>2022606</v>
      </c>
      <c r="B612" s="1172">
        <v>7655</v>
      </c>
      <c r="C612" s="1172" t="s">
        <v>670</v>
      </c>
      <c r="D612" s="1190" t="s">
        <v>684</v>
      </c>
      <c r="E612" s="1172">
        <v>80111600</v>
      </c>
      <c r="F612" s="1197" t="s">
        <v>1241</v>
      </c>
      <c r="G612" s="1283">
        <v>44582</v>
      </c>
      <c r="H612" s="1283">
        <v>44582</v>
      </c>
      <c r="I612" s="1268" t="s">
        <v>1590</v>
      </c>
      <c r="J612" s="1195" t="s">
        <v>1479</v>
      </c>
      <c r="K612" s="1176" t="s">
        <v>676</v>
      </c>
      <c r="L612" s="1176" t="s">
        <v>677</v>
      </c>
      <c r="M612" s="1179">
        <v>19200000</v>
      </c>
      <c r="N612" s="1197" t="s">
        <v>732</v>
      </c>
      <c r="O612" s="1206" t="s">
        <v>1480</v>
      </c>
      <c r="R612" s="1159"/>
    </row>
    <row r="613" spans="1:18" ht="105" x14ac:dyDescent="0.2">
      <c r="A613" s="1172">
        <v>2022607</v>
      </c>
      <c r="B613" s="1280" t="s">
        <v>97</v>
      </c>
      <c r="C613" s="1280" t="s">
        <v>97</v>
      </c>
      <c r="D613" s="1190" t="s">
        <v>691</v>
      </c>
      <c r="E613" s="1270" t="s">
        <v>1242</v>
      </c>
      <c r="F613" s="1197" t="s">
        <v>1243</v>
      </c>
      <c r="G613" s="1277">
        <v>44606</v>
      </c>
      <c r="H613" s="1268"/>
      <c r="I613" s="1268" t="s">
        <v>1618</v>
      </c>
      <c r="J613" s="1268" t="s">
        <v>1619</v>
      </c>
      <c r="K613" s="1176" t="s">
        <v>97</v>
      </c>
      <c r="L613" s="1271" t="s">
        <v>97</v>
      </c>
      <c r="M613" s="1249">
        <v>0</v>
      </c>
      <c r="N613" s="1175" t="s">
        <v>97</v>
      </c>
      <c r="O613" s="1175" t="s">
        <v>97</v>
      </c>
    </row>
    <row r="614" spans="1:18" ht="105" x14ac:dyDescent="0.2">
      <c r="A614" s="1191">
        <v>2022608</v>
      </c>
      <c r="B614" s="1191">
        <v>7637</v>
      </c>
      <c r="C614" s="1191" t="s">
        <v>645</v>
      </c>
      <c r="D614" s="1243" t="s">
        <v>673</v>
      </c>
      <c r="E614" s="1284">
        <v>80111600</v>
      </c>
      <c r="F614" s="1243" t="s">
        <v>1244</v>
      </c>
      <c r="G614" s="1285" t="s">
        <v>1440</v>
      </c>
      <c r="H614" s="1285" t="s">
        <v>1440</v>
      </c>
      <c r="I614" s="1285">
        <v>10</v>
      </c>
      <c r="J614" s="1285" t="s">
        <v>1441</v>
      </c>
      <c r="K614" s="1285" t="s">
        <v>676</v>
      </c>
      <c r="L614" s="1286" t="s">
        <v>677</v>
      </c>
      <c r="M614" s="1196">
        <v>23400000</v>
      </c>
      <c r="N614" s="1287" t="s">
        <v>734</v>
      </c>
      <c r="O614" s="1287" t="s">
        <v>1411</v>
      </c>
      <c r="R614" s="1159"/>
    </row>
    <row r="615" spans="1:18" s="1278" customFormat="1" ht="75" x14ac:dyDescent="0.25">
      <c r="A615" s="1182">
        <v>2022609</v>
      </c>
      <c r="B615" s="1182">
        <v>7658</v>
      </c>
      <c r="C615" s="1265" t="s">
        <v>681</v>
      </c>
      <c r="D615" s="1182" t="s">
        <v>694</v>
      </c>
      <c r="E615" s="1182" t="s">
        <v>1472</v>
      </c>
      <c r="F615" s="1182" t="s">
        <v>1246</v>
      </c>
      <c r="G615" s="1182" t="s">
        <v>1440</v>
      </c>
      <c r="H615" s="1182" t="s">
        <v>1440</v>
      </c>
      <c r="I615" s="1182" t="s">
        <v>1620</v>
      </c>
      <c r="J615" s="1182" t="s">
        <v>1558</v>
      </c>
      <c r="K615" s="1182" t="s">
        <v>676</v>
      </c>
      <c r="L615" s="1182" t="s">
        <v>677</v>
      </c>
      <c r="M615" s="1288">
        <f>181080376-104794000</f>
        <v>76286376</v>
      </c>
      <c r="N615" s="1182" t="s">
        <v>743</v>
      </c>
      <c r="O615" s="1182" t="s">
        <v>1551</v>
      </c>
      <c r="R615" s="1159"/>
    </row>
    <row r="616" spans="1:18" ht="105" x14ac:dyDescent="0.2">
      <c r="A616" s="1172">
        <v>2022610</v>
      </c>
      <c r="B616" s="1270" t="s">
        <v>459</v>
      </c>
      <c r="C616" s="1270"/>
      <c r="D616" s="1173" t="s">
        <v>673</v>
      </c>
      <c r="E616" s="1172" t="s">
        <v>1229</v>
      </c>
      <c r="F616" s="1197" t="s">
        <v>1247</v>
      </c>
      <c r="G616" s="1268" t="s">
        <v>1553</v>
      </c>
      <c r="H616" s="1268" t="s">
        <v>1553</v>
      </c>
      <c r="I616" s="1289" t="s">
        <v>1621</v>
      </c>
      <c r="J616" s="1268" t="s">
        <v>1501</v>
      </c>
      <c r="K616" s="1176" t="s">
        <v>43</v>
      </c>
      <c r="L616" s="1271"/>
      <c r="M616" s="1249">
        <v>81890487</v>
      </c>
      <c r="N616" s="1175"/>
      <c r="O616" s="1175"/>
    </row>
    <row r="617" spans="1:18" ht="75.599999999999994" customHeight="1" x14ac:dyDescent="0.2">
      <c r="A617" s="1272">
        <v>2022611</v>
      </c>
      <c r="B617" s="1265">
        <v>7658</v>
      </c>
      <c r="C617" s="1265" t="s">
        <v>681</v>
      </c>
      <c r="D617" s="1265" t="s">
        <v>694</v>
      </c>
      <c r="E617" s="1290"/>
      <c r="F617" s="1273" t="s">
        <v>1133</v>
      </c>
      <c r="G617" s="1291"/>
      <c r="H617" s="1291"/>
      <c r="I617" s="1291"/>
      <c r="J617" s="1291"/>
      <c r="K617" s="1182" t="s">
        <v>676</v>
      </c>
      <c r="L617" s="1183" t="s">
        <v>677</v>
      </c>
      <c r="M617" s="1188">
        <v>560000</v>
      </c>
      <c r="N617" s="1185" t="s">
        <v>743</v>
      </c>
      <c r="O617" s="1185" t="s">
        <v>1551</v>
      </c>
      <c r="R617" s="1159"/>
    </row>
    <row r="618" spans="1:18" ht="125.45" customHeight="1" x14ac:dyDescent="0.2">
      <c r="A618" s="1272">
        <v>2022612</v>
      </c>
      <c r="B618" s="1265">
        <v>7637</v>
      </c>
      <c r="C618" s="1265" t="s">
        <v>645</v>
      </c>
      <c r="D618" s="1265" t="s">
        <v>673</v>
      </c>
      <c r="E618" s="1265" t="s">
        <v>1229</v>
      </c>
      <c r="F618" s="1274" t="s">
        <v>1230</v>
      </c>
      <c r="G618" s="1272" t="s">
        <v>1549</v>
      </c>
      <c r="H618" s="1272" t="s">
        <v>1549</v>
      </c>
      <c r="I618" s="1272" t="s">
        <v>1590</v>
      </c>
      <c r="J618" s="1274" t="s">
        <v>1501</v>
      </c>
      <c r="K618" s="1182" t="s">
        <v>676</v>
      </c>
      <c r="L618" s="1183" t="s">
        <v>737</v>
      </c>
      <c r="M618" s="1188">
        <v>55735449</v>
      </c>
      <c r="N618" s="1187" t="s">
        <v>734</v>
      </c>
      <c r="O618" s="1187" t="s">
        <v>1411</v>
      </c>
      <c r="R618" s="1180"/>
    </row>
    <row r="619" spans="1:18" ht="90" x14ac:dyDescent="0.25">
      <c r="A619" s="1272">
        <v>2022613</v>
      </c>
      <c r="B619" s="1292">
        <v>7658</v>
      </c>
      <c r="C619" s="1292" t="s">
        <v>681</v>
      </c>
      <c r="D619" s="1292" t="s">
        <v>700</v>
      </c>
      <c r="E619" s="1293"/>
      <c r="F619" s="1185" t="s">
        <v>1248</v>
      </c>
      <c r="G619" s="1292" t="s">
        <v>1445</v>
      </c>
      <c r="H619" s="1292" t="s">
        <v>1445</v>
      </c>
      <c r="I619" s="1294" t="s">
        <v>97</v>
      </c>
      <c r="J619" s="1294" t="s">
        <v>97</v>
      </c>
      <c r="K619" s="1292" t="s">
        <v>676</v>
      </c>
      <c r="L619" s="1295" t="s">
        <v>1629</v>
      </c>
      <c r="M619" s="1186">
        <v>35781881</v>
      </c>
      <c r="N619" s="1185" t="s">
        <v>1578</v>
      </c>
      <c r="O619" s="1185" t="s">
        <v>1499</v>
      </c>
      <c r="P619" s="1296"/>
      <c r="R619" s="1159"/>
    </row>
    <row r="620" spans="1:18" ht="90" x14ac:dyDescent="0.25">
      <c r="A620" s="1272">
        <v>2022614</v>
      </c>
      <c r="B620" s="1292">
        <v>7658</v>
      </c>
      <c r="C620" s="1292" t="s">
        <v>681</v>
      </c>
      <c r="D620" s="1292" t="s">
        <v>700</v>
      </c>
      <c r="E620" s="1293"/>
      <c r="F620" s="1185" t="s">
        <v>1249</v>
      </c>
      <c r="G620" s="1292" t="s">
        <v>1445</v>
      </c>
      <c r="H620" s="1292" t="s">
        <v>1445</v>
      </c>
      <c r="I620" s="1294" t="s">
        <v>97</v>
      </c>
      <c r="J620" s="1294" t="s">
        <v>97</v>
      </c>
      <c r="K620" s="1292" t="s">
        <v>676</v>
      </c>
      <c r="L620" s="1295" t="s">
        <v>1630</v>
      </c>
      <c r="M620" s="1186">
        <f>27886255+576000</f>
        <v>28462255</v>
      </c>
      <c r="N620" s="1185" t="s">
        <v>1578</v>
      </c>
      <c r="O620" s="1185" t="s">
        <v>1499</v>
      </c>
      <c r="P620" s="1296"/>
      <c r="R620" s="1159"/>
    </row>
    <row r="621" spans="1:18" ht="90" x14ac:dyDescent="0.25">
      <c r="A621" s="1272">
        <v>2022615</v>
      </c>
      <c r="B621" s="1292">
        <v>7658</v>
      </c>
      <c r="C621" s="1292" t="s">
        <v>681</v>
      </c>
      <c r="D621" s="1292" t="s">
        <v>700</v>
      </c>
      <c r="E621" s="1293"/>
      <c r="F621" s="1185" t="s">
        <v>1251</v>
      </c>
      <c r="G621" s="1292" t="s">
        <v>1445</v>
      </c>
      <c r="H621" s="1292" t="s">
        <v>1445</v>
      </c>
      <c r="I621" s="1294" t="s">
        <v>97</v>
      </c>
      <c r="J621" s="1294" t="s">
        <v>97</v>
      </c>
      <c r="K621" s="1292" t="s">
        <v>676</v>
      </c>
      <c r="L621" s="1295" t="s">
        <v>1631</v>
      </c>
      <c r="M621" s="1186">
        <v>46885058</v>
      </c>
      <c r="N621" s="1185" t="s">
        <v>726</v>
      </c>
      <c r="O621" s="1185" t="s">
        <v>1499</v>
      </c>
      <c r="P621" s="1296"/>
      <c r="R621" s="1159"/>
    </row>
    <row r="622" spans="1:18" ht="90" x14ac:dyDescent="0.25">
      <c r="A622" s="1272">
        <v>2022616</v>
      </c>
      <c r="B622" s="1292">
        <v>7658</v>
      </c>
      <c r="C622" s="1292" t="s">
        <v>681</v>
      </c>
      <c r="D622" s="1292" t="s">
        <v>700</v>
      </c>
      <c r="E622" s="1293"/>
      <c r="F622" s="1185" t="s">
        <v>1252</v>
      </c>
      <c r="G622" s="1292" t="s">
        <v>1445</v>
      </c>
      <c r="H622" s="1292" t="s">
        <v>1445</v>
      </c>
      <c r="I622" s="1294" t="s">
        <v>97</v>
      </c>
      <c r="J622" s="1294" t="s">
        <v>97</v>
      </c>
      <c r="K622" s="1292" t="s">
        <v>676</v>
      </c>
      <c r="L622" s="1295" t="s">
        <v>1632</v>
      </c>
      <c r="M622" s="1186">
        <v>432800</v>
      </c>
      <c r="N622" s="1185" t="s">
        <v>1578</v>
      </c>
      <c r="O622" s="1185" t="s">
        <v>1499</v>
      </c>
      <c r="P622" s="1296"/>
      <c r="R622" s="1159"/>
    </row>
    <row r="623" spans="1:18" ht="90" x14ac:dyDescent="0.2">
      <c r="A623" s="1272">
        <v>2022617</v>
      </c>
      <c r="B623" s="1292">
        <v>7658</v>
      </c>
      <c r="C623" s="1292" t="s">
        <v>681</v>
      </c>
      <c r="D623" s="1292" t="s">
        <v>700</v>
      </c>
      <c r="E623" s="1292" t="s">
        <v>1124</v>
      </c>
      <c r="F623" s="1185" t="s">
        <v>1254</v>
      </c>
      <c r="G623" s="1292" t="s">
        <v>1449</v>
      </c>
      <c r="H623" s="1292" t="s">
        <v>1449</v>
      </c>
      <c r="I623" s="1292" t="s">
        <v>1581</v>
      </c>
      <c r="J623" s="1292" t="s">
        <v>1537</v>
      </c>
      <c r="K623" s="1292" t="s">
        <v>676</v>
      </c>
      <c r="L623" s="1297" t="s">
        <v>983</v>
      </c>
      <c r="M623" s="1186">
        <v>175000000</v>
      </c>
      <c r="N623" s="1185" t="s">
        <v>726</v>
      </c>
      <c r="O623" s="1185" t="s">
        <v>1499</v>
      </c>
      <c r="P623" s="1296"/>
      <c r="R623" s="1159"/>
    </row>
    <row r="624" spans="1:18" ht="60" x14ac:dyDescent="0.2">
      <c r="A624" s="1272">
        <v>2022618</v>
      </c>
      <c r="B624" s="1273" t="s">
        <v>459</v>
      </c>
      <c r="C624" s="1273" t="s">
        <v>459</v>
      </c>
      <c r="D624" s="1265" t="s">
        <v>697</v>
      </c>
      <c r="E624" s="1265" t="s">
        <v>1633</v>
      </c>
      <c r="F624" s="1274" t="s">
        <v>1255</v>
      </c>
      <c r="G624" s="1272" t="s">
        <v>1549</v>
      </c>
      <c r="H624" s="1272" t="s">
        <v>1554</v>
      </c>
      <c r="I624" s="1272" t="s">
        <v>1599</v>
      </c>
      <c r="J624" s="1265" t="s">
        <v>1604</v>
      </c>
      <c r="K624" s="1265" t="s">
        <v>772</v>
      </c>
      <c r="L624" s="1265"/>
      <c r="M624" s="1186">
        <v>29250000</v>
      </c>
      <c r="N624" s="1291"/>
      <c r="O624" s="1291"/>
      <c r="R624" s="1159"/>
    </row>
    <row r="625" spans="1:18" ht="105" x14ac:dyDescent="0.2">
      <c r="A625" s="1272">
        <v>2022619</v>
      </c>
      <c r="B625" s="1272">
        <v>7637</v>
      </c>
      <c r="C625" s="1274" t="s">
        <v>645</v>
      </c>
      <c r="D625" s="1274" t="s">
        <v>673</v>
      </c>
      <c r="E625" s="1290" t="s">
        <v>1256</v>
      </c>
      <c r="F625" s="1274" t="s">
        <v>1257</v>
      </c>
      <c r="G625" s="1272" t="s">
        <v>1554</v>
      </c>
      <c r="H625" s="1272" t="s">
        <v>1564</v>
      </c>
      <c r="I625" s="1272">
        <v>12</v>
      </c>
      <c r="J625" s="1274" t="s">
        <v>1456</v>
      </c>
      <c r="K625" s="1274" t="s">
        <v>676</v>
      </c>
      <c r="L625" s="1265" t="s">
        <v>731</v>
      </c>
      <c r="M625" s="1186">
        <v>8000000</v>
      </c>
      <c r="N625" s="1274" t="s">
        <v>734</v>
      </c>
      <c r="O625" s="1274" t="s">
        <v>1411</v>
      </c>
      <c r="R625" s="1159"/>
    </row>
    <row r="626" spans="1:18" ht="102.75" customHeight="1" x14ac:dyDescent="0.2">
      <c r="A626" s="1272">
        <v>2022620</v>
      </c>
      <c r="B626" s="1272">
        <v>7658</v>
      </c>
      <c r="C626" s="1274" t="s">
        <v>681</v>
      </c>
      <c r="D626" s="1274" t="s">
        <v>700</v>
      </c>
      <c r="E626" s="1265" t="s">
        <v>1634</v>
      </c>
      <c r="F626" s="1274" t="s">
        <v>1259</v>
      </c>
      <c r="G626" s="1272" t="s">
        <v>1445</v>
      </c>
      <c r="H626" s="1272" t="s">
        <v>1445</v>
      </c>
      <c r="I626" s="1272" t="s">
        <v>1579</v>
      </c>
      <c r="J626" s="1274" t="s">
        <v>1537</v>
      </c>
      <c r="K626" s="1274" t="s">
        <v>676</v>
      </c>
      <c r="L626" s="1265" t="s">
        <v>983</v>
      </c>
      <c r="M626" s="1186">
        <v>8000000</v>
      </c>
      <c r="N626" s="1274" t="s">
        <v>726</v>
      </c>
      <c r="O626" s="1274" t="s">
        <v>1499</v>
      </c>
      <c r="R626" s="1159"/>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xr:uid="{00000000-0009-0000-0000-000009000000}"/>
  <mergeCells count="4">
    <mergeCell ref="A1:L1"/>
    <mergeCell ref="A2:L2"/>
    <mergeCell ref="A3:O3"/>
    <mergeCell ref="M4:N4"/>
  </mergeCells>
  <dataValidations count="1">
    <dataValidation type="list" allowBlank="1" showInputMessage="1" showErrorMessage="1" sqref="L609 L214:L217 L182 L220:L255 L614 L611:L612 L7:L15 L17:L48" xr:uid="{00000000-0002-0000-0900-000000000000}">
      <formula1>tec</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740"/>
  <sheetViews>
    <sheetView workbookViewId="0">
      <selection activeCell="A2" sqref="A2:XFD2"/>
    </sheetView>
  </sheetViews>
  <sheetFormatPr baseColWidth="10" defaultColWidth="9.140625" defaultRowHeight="15" x14ac:dyDescent="0.25"/>
  <cols>
    <col min="1" max="1" width="10.5703125" style="806" customWidth="1"/>
    <col min="2" max="2" width="28" style="806" customWidth="1"/>
    <col min="3" max="3" width="18" style="806" customWidth="1"/>
    <col min="4" max="4" width="8" style="806" customWidth="1"/>
    <col min="5" max="5" width="11.42578125" style="806" customWidth="1"/>
    <col min="6" max="6" width="5.7109375" style="806" customWidth="1"/>
    <col min="7" max="7" width="10.140625" style="806" customWidth="1"/>
    <col min="8" max="8" width="22.140625" style="806" customWidth="1"/>
    <col min="9" max="9" width="15.42578125" style="806" customWidth="1"/>
    <col min="10" max="10" width="20.85546875" style="806" customWidth="1"/>
    <col min="11" max="11" width="9.7109375" style="806" customWidth="1"/>
    <col min="12" max="12" width="7" style="806" customWidth="1"/>
    <col min="13" max="13" width="4" style="806" customWidth="1"/>
    <col min="14" max="14" width="5.42578125" style="806" customWidth="1"/>
    <col min="15" max="15" width="41.85546875" style="806" customWidth="1"/>
    <col min="16" max="16" width="13.5703125" style="806" customWidth="1"/>
    <col min="17" max="17" width="26.42578125" style="806" customWidth="1"/>
    <col min="18" max="18" width="9.140625" style="806" customWidth="1"/>
  </cols>
  <sheetData>
    <row r="1" spans="1:18" ht="18" x14ac:dyDescent="0.25">
      <c r="A1" s="805" t="s">
        <v>1635</v>
      </c>
      <c r="B1" s="805"/>
      <c r="C1" s="805"/>
      <c r="D1" s="805"/>
      <c r="E1" s="805"/>
      <c r="F1" s="805"/>
      <c r="G1" s="805"/>
      <c r="H1" s="805"/>
      <c r="I1" s="805"/>
      <c r="J1" s="805"/>
      <c r="K1" s="805"/>
      <c r="L1" s="805"/>
      <c r="M1" s="805"/>
      <c r="N1" s="805"/>
      <c r="O1" s="805"/>
      <c r="P1" s="805"/>
      <c r="Q1" s="805"/>
      <c r="R1" s="805"/>
    </row>
    <row r="2" spans="1:18" s="810" customFormat="1" x14ac:dyDescent="0.25">
      <c r="A2" s="807" t="s">
        <v>651</v>
      </c>
      <c r="B2" s="808" t="s">
        <v>1636</v>
      </c>
      <c r="C2" s="808" t="s">
        <v>659</v>
      </c>
      <c r="D2" s="808" t="s">
        <v>1637</v>
      </c>
      <c r="E2" s="808" t="s">
        <v>1638</v>
      </c>
      <c r="F2" s="808" t="s">
        <v>1639</v>
      </c>
      <c r="G2" s="808" t="s">
        <v>1640</v>
      </c>
      <c r="H2" s="808" t="s">
        <v>656</v>
      </c>
      <c r="I2" s="808" t="s">
        <v>657</v>
      </c>
      <c r="J2" s="808" t="s">
        <v>1641</v>
      </c>
      <c r="K2" s="808" t="s">
        <v>1642</v>
      </c>
      <c r="L2" s="808" t="s">
        <v>1643</v>
      </c>
      <c r="M2" s="808" t="s">
        <v>1644</v>
      </c>
      <c r="N2" s="808" t="s">
        <v>1645</v>
      </c>
      <c r="O2" s="808" t="s">
        <v>1646</v>
      </c>
      <c r="P2" s="808" t="s">
        <v>1647</v>
      </c>
      <c r="Q2" s="808" t="s">
        <v>1648</v>
      </c>
      <c r="R2" s="809"/>
    </row>
    <row r="3" spans="1:18" x14ac:dyDescent="0.25">
      <c r="A3" s="811" t="s">
        <v>1649</v>
      </c>
      <c r="B3" s="811" t="s">
        <v>1650</v>
      </c>
      <c r="C3" s="812">
        <v>20000000</v>
      </c>
      <c r="D3" s="811" t="s">
        <v>1542</v>
      </c>
      <c r="E3" s="811" t="s">
        <v>1542</v>
      </c>
      <c r="F3" s="811" t="s">
        <v>1651</v>
      </c>
      <c r="G3" s="811" t="s">
        <v>1652</v>
      </c>
      <c r="H3" s="811" t="s">
        <v>1653</v>
      </c>
      <c r="I3" s="811" t="s">
        <v>1654</v>
      </c>
      <c r="J3" s="813">
        <v>20000000</v>
      </c>
      <c r="K3" s="811" t="s">
        <v>1655</v>
      </c>
      <c r="L3" s="811" t="s">
        <v>1212</v>
      </c>
      <c r="M3" s="811" t="s">
        <v>1635</v>
      </c>
      <c r="N3" s="811" t="s">
        <v>1635</v>
      </c>
      <c r="O3" s="811" t="s">
        <v>1656</v>
      </c>
      <c r="P3" s="811" t="s">
        <v>1657</v>
      </c>
      <c r="Q3" s="811" t="s">
        <v>1658</v>
      </c>
    </row>
    <row r="4" spans="1:18" x14ac:dyDescent="0.25">
      <c r="A4" s="811" t="s">
        <v>1649</v>
      </c>
      <c r="B4" s="811" t="s">
        <v>1659</v>
      </c>
      <c r="C4" s="812">
        <v>47200000</v>
      </c>
      <c r="D4" s="811" t="s">
        <v>1542</v>
      </c>
      <c r="E4" s="811" t="s">
        <v>1542</v>
      </c>
      <c r="F4" s="811" t="s">
        <v>1651</v>
      </c>
      <c r="G4" s="811" t="s">
        <v>1652</v>
      </c>
      <c r="H4" s="811" t="s">
        <v>1653</v>
      </c>
      <c r="I4" s="811" t="s">
        <v>1654</v>
      </c>
      <c r="J4" s="813">
        <v>47200000</v>
      </c>
      <c r="K4" s="811" t="s">
        <v>1655</v>
      </c>
      <c r="L4" s="811" t="s">
        <v>1212</v>
      </c>
      <c r="M4" s="811" t="s">
        <v>1635</v>
      </c>
      <c r="N4" s="811" t="s">
        <v>1635</v>
      </c>
      <c r="O4" s="811" t="s">
        <v>1656</v>
      </c>
      <c r="P4" s="811" t="s">
        <v>1657</v>
      </c>
      <c r="Q4" s="811" t="s">
        <v>1658</v>
      </c>
    </row>
    <row r="5" spans="1:18" x14ac:dyDescent="0.25">
      <c r="A5" s="811" t="s">
        <v>1660</v>
      </c>
      <c r="B5" s="811" t="s">
        <v>1661</v>
      </c>
      <c r="C5" s="812">
        <v>20000000</v>
      </c>
      <c r="D5" s="811" t="s">
        <v>1453</v>
      </c>
      <c r="E5" s="811" t="s">
        <v>1453</v>
      </c>
      <c r="F5" s="811" t="s">
        <v>1662</v>
      </c>
      <c r="G5" s="811" t="s">
        <v>1652</v>
      </c>
      <c r="H5" s="811" t="s">
        <v>1663</v>
      </c>
      <c r="I5" s="811" t="s">
        <v>1654</v>
      </c>
      <c r="J5" s="813">
        <v>20000000</v>
      </c>
      <c r="K5" s="811" t="s">
        <v>1655</v>
      </c>
      <c r="L5" s="811" t="s">
        <v>1212</v>
      </c>
      <c r="M5" s="811" t="s">
        <v>1635</v>
      </c>
      <c r="N5" s="811" t="s">
        <v>1635</v>
      </c>
      <c r="O5" s="811" t="s">
        <v>432</v>
      </c>
      <c r="P5" s="811" t="s">
        <v>1657</v>
      </c>
      <c r="Q5" s="811" t="s">
        <v>1664</v>
      </c>
    </row>
    <row r="6" spans="1:18" x14ac:dyDescent="0.25">
      <c r="A6" s="811" t="s">
        <v>1649</v>
      </c>
      <c r="B6" s="811" t="s">
        <v>1665</v>
      </c>
      <c r="C6" s="812">
        <v>23162500</v>
      </c>
      <c r="D6" s="811" t="s">
        <v>1542</v>
      </c>
      <c r="E6" s="811" t="s">
        <v>1542</v>
      </c>
      <c r="F6" s="811" t="s">
        <v>1666</v>
      </c>
      <c r="G6" s="811" t="s">
        <v>1652</v>
      </c>
      <c r="H6" s="811" t="s">
        <v>1653</v>
      </c>
      <c r="I6" s="811" t="s">
        <v>1654</v>
      </c>
      <c r="J6" s="813">
        <v>23162500</v>
      </c>
      <c r="K6" s="811" t="s">
        <v>1655</v>
      </c>
      <c r="L6" s="811" t="s">
        <v>1212</v>
      </c>
      <c r="M6" s="811" t="s">
        <v>1635</v>
      </c>
      <c r="N6" s="811" t="s">
        <v>1635</v>
      </c>
      <c r="O6" s="811" t="s">
        <v>1667</v>
      </c>
      <c r="P6" s="811" t="s">
        <v>1657</v>
      </c>
      <c r="Q6" s="811" t="s">
        <v>1668</v>
      </c>
    </row>
    <row r="7" spans="1:18" x14ac:dyDescent="0.25">
      <c r="A7" s="811" t="s">
        <v>1649</v>
      </c>
      <c r="B7" s="811" t="s">
        <v>1669</v>
      </c>
      <c r="C7" s="812">
        <v>23162500</v>
      </c>
      <c r="D7" s="811" t="s">
        <v>1542</v>
      </c>
      <c r="E7" s="811" t="s">
        <v>1542</v>
      </c>
      <c r="F7" s="811" t="s">
        <v>1666</v>
      </c>
      <c r="G7" s="811" t="s">
        <v>1652</v>
      </c>
      <c r="H7" s="811" t="s">
        <v>1653</v>
      </c>
      <c r="I7" s="811" t="s">
        <v>1654</v>
      </c>
      <c r="J7" s="813">
        <v>23162500</v>
      </c>
      <c r="K7" s="811" t="s">
        <v>1655</v>
      </c>
      <c r="L7" s="811" t="s">
        <v>1212</v>
      </c>
      <c r="M7" s="811" t="s">
        <v>1635</v>
      </c>
      <c r="N7" s="811" t="s">
        <v>1635</v>
      </c>
      <c r="O7" s="811" t="s">
        <v>1667</v>
      </c>
      <c r="P7" s="811" t="s">
        <v>1657</v>
      </c>
      <c r="Q7" s="811" t="s">
        <v>1668</v>
      </c>
    </row>
    <row r="8" spans="1:18" x14ac:dyDescent="0.25">
      <c r="A8" s="811" t="s">
        <v>1670</v>
      </c>
      <c r="B8" s="811" t="s">
        <v>1671</v>
      </c>
      <c r="C8" s="812">
        <v>161928000</v>
      </c>
      <c r="D8" s="811" t="s">
        <v>1542</v>
      </c>
      <c r="E8" s="811" t="s">
        <v>1542</v>
      </c>
      <c r="F8" s="811" t="s">
        <v>1672</v>
      </c>
      <c r="G8" s="811" t="s">
        <v>1652</v>
      </c>
      <c r="H8" s="811" t="s">
        <v>1653</v>
      </c>
      <c r="I8" s="811" t="s">
        <v>1654</v>
      </c>
      <c r="J8" s="813">
        <v>161928000</v>
      </c>
      <c r="K8" s="811" t="s">
        <v>1655</v>
      </c>
      <c r="L8" s="811" t="s">
        <v>1212</v>
      </c>
      <c r="M8" s="811" t="s">
        <v>1635</v>
      </c>
      <c r="N8" s="811" t="s">
        <v>1635</v>
      </c>
      <c r="O8" s="811" t="s">
        <v>1656</v>
      </c>
      <c r="P8" s="811" t="s">
        <v>1657</v>
      </c>
      <c r="Q8" s="811" t="s">
        <v>1658</v>
      </c>
    </row>
    <row r="9" spans="1:18" x14ac:dyDescent="0.25">
      <c r="A9" s="811" t="s">
        <v>1670</v>
      </c>
      <c r="B9" s="811" t="s">
        <v>1673</v>
      </c>
      <c r="C9" s="812">
        <v>325067484</v>
      </c>
      <c r="D9" s="811" t="s">
        <v>1542</v>
      </c>
      <c r="E9" s="811" t="s">
        <v>1542</v>
      </c>
      <c r="F9" s="811" t="s">
        <v>1672</v>
      </c>
      <c r="G9" s="811" t="s">
        <v>1652</v>
      </c>
      <c r="H9" s="811" t="s">
        <v>1653</v>
      </c>
      <c r="I9" s="811" t="s">
        <v>1654</v>
      </c>
      <c r="J9" s="813">
        <v>325067484</v>
      </c>
      <c r="K9" s="811" t="s">
        <v>1655</v>
      </c>
      <c r="L9" s="811" t="s">
        <v>1212</v>
      </c>
      <c r="M9" s="811" t="s">
        <v>1635</v>
      </c>
      <c r="N9" s="811" t="s">
        <v>1635</v>
      </c>
      <c r="O9" s="811" t="s">
        <v>1656</v>
      </c>
      <c r="P9" s="811" t="s">
        <v>1657</v>
      </c>
      <c r="Q9" s="811" t="s">
        <v>1658</v>
      </c>
    </row>
    <row r="10" spans="1:18" x14ac:dyDescent="0.25">
      <c r="A10" s="811" t="s">
        <v>1670</v>
      </c>
      <c r="B10" s="811" t="s">
        <v>1674</v>
      </c>
      <c r="C10" s="812">
        <v>135660000</v>
      </c>
      <c r="D10" s="811" t="s">
        <v>1542</v>
      </c>
      <c r="E10" s="811" t="s">
        <v>1542</v>
      </c>
      <c r="F10" s="811" t="s">
        <v>1662</v>
      </c>
      <c r="G10" s="811" t="s">
        <v>1652</v>
      </c>
      <c r="H10" s="811" t="s">
        <v>1653</v>
      </c>
      <c r="I10" s="811" t="s">
        <v>1654</v>
      </c>
      <c r="J10" s="813">
        <v>135660000</v>
      </c>
      <c r="K10" s="811" t="s">
        <v>1655</v>
      </c>
      <c r="L10" s="811" t="s">
        <v>1212</v>
      </c>
      <c r="M10" s="811" t="s">
        <v>1635</v>
      </c>
      <c r="N10" s="811" t="s">
        <v>1635</v>
      </c>
      <c r="O10" s="811" t="s">
        <v>1656</v>
      </c>
      <c r="P10" s="811" t="s">
        <v>1657</v>
      </c>
      <c r="Q10" s="811" t="s">
        <v>1658</v>
      </c>
    </row>
    <row r="11" spans="1:18" x14ac:dyDescent="0.25">
      <c r="A11" s="811" t="s">
        <v>1670</v>
      </c>
      <c r="B11" s="811" t="s">
        <v>1675</v>
      </c>
      <c r="C11" s="812">
        <v>330000000</v>
      </c>
      <c r="D11" s="811" t="s">
        <v>1542</v>
      </c>
      <c r="E11" s="811" t="s">
        <v>1542</v>
      </c>
      <c r="F11" s="811" t="s">
        <v>1672</v>
      </c>
      <c r="G11" s="811" t="s">
        <v>1652</v>
      </c>
      <c r="H11" s="811" t="s">
        <v>1653</v>
      </c>
      <c r="I11" s="811" t="s">
        <v>1654</v>
      </c>
      <c r="J11" s="813">
        <v>330000000</v>
      </c>
      <c r="K11" s="811" t="s">
        <v>1655</v>
      </c>
      <c r="L11" s="811" t="s">
        <v>1212</v>
      </c>
      <c r="M11" s="811" t="s">
        <v>1635</v>
      </c>
      <c r="N11" s="811" t="s">
        <v>1635</v>
      </c>
      <c r="O11" s="811" t="s">
        <v>1656</v>
      </c>
      <c r="P11" s="811" t="s">
        <v>1657</v>
      </c>
      <c r="Q11" s="811" t="s">
        <v>1658</v>
      </c>
    </row>
    <row r="12" spans="1:18" x14ac:dyDescent="0.25">
      <c r="A12" s="811" t="s">
        <v>1670</v>
      </c>
      <c r="B12" s="811" t="s">
        <v>1676</v>
      </c>
      <c r="C12" s="812">
        <v>251328000</v>
      </c>
      <c r="D12" s="811" t="s">
        <v>1446</v>
      </c>
      <c r="E12" s="811" t="s">
        <v>1446</v>
      </c>
      <c r="F12" s="811" t="s">
        <v>1672</v>
      </c>
      <c r="G12" s="811" t="s">
        <v>1652</v>
      </c>
      <c r="H12" s="811" t="s">
        <v>1653</v>
      </c>
      <c r="I12" s="811" t="s">
        <v>1654</v>
      </c>
      <c r="J12" s="813">
        <v>251328000</v>
      </c>
      <c r="K12" s="811" t="s">
        <v>1655</v>
      </c>
      <c r="L12" s="811" t="s">
        <v>1212</v>
      </c>
      <c r="M12" s="811" t="s">
        <v>1635</v>
      </c>
      <c r="N12" s="811" t="s">
        <v>1635</v>
      </c>
      <c r="O12" s="811" t="s">
        <v>1656</v>
      </c>
      <c r="P12" s="811" t="s">
        <v>1657</v>
      </c>
      <c r="Q12" s="811" t="s">
        <v>1658</v>
      </c>
    </row>
    <row r="13" spans="1:18" x14ac:dyDescent="0.25">
      <c r="A13" s="811" t="s">
        <v>1670</v>
      </c>
      <c r="B13" s="811" t="s">
        <v>1677</v>
      </c>
      <c r="C13" s="812">
        <v>180000000</v>
      </c>
      <c r="D13" s="811" t="s">
        <v>1446</v>
      </c>
      <c r="E13" s="811" t="s">
        <v>1446</v>
      </c>
      <c r="F13" s="811" t="s">
        <v>1672</v>
      </c>
      <c r="G13" s="811" t="s">
        <v>1652</v>
      </c>
      <c r="H13" s="811" t="s">
        <v>1653</v>
      </c>
      <c r="I13" s="811" t="s">
        <v>1654</v>
      </c>
      <c r="J13" s="813">
        <v>180000000</v>
      </c>
      <c r="K13" s="811" t="s">
        <v>1655</v>
      </c>
      <c r="L13" s="811" t="s">
        <v>1212</v>
      </c>
      <c r="M13" s="811" t="s">
        <v>1635</v>
      </c>
      <c r="N13" s="811" t="s">
        <v>1635</v>
      </c>
      <c r="O13" s="811" t="s">
        <v>1656</v>
      </c>
      <c r="P13" s="811" t="s">
        <v>1657</v>
      </c>
      <c r="Q13" s="811" t="s">
        <v>1658</v>
      </c>
    </row>
    <row r="14" spans="1:18" x14ac:dyDescent="0.25">
      <c r="A14" s="811" t="s">
        <v>1670</v>
      </c>
      <c r="B14" s="811" t="s">
        <v>1678</v>
      </c>
      <c r="C14" s="812">
        <v>240000000</v>
      </c>
      <c r="D14" s="811" t="s">
        <v>1446</v>
      </c>
      <c r="E14" s="811" t="s">
        <v>1446</v>
      </c>
      <c r="F14" s="811" t="s">
        <v>1672</v>
      </c>
      <c r="G14" s="811" t="s">
        <v>1652</v>
      </c>
      <c r="H14" s="811" t="s">
        <v>1653</v>
      </c>
      <c r="I14" s="811" t="s">
        <v>1654</v>
      </c>
      <c r="J14" s="813">
        <v>240000000</v>
      </c>
      <c r="K14" s="811" t="s">
        <v>1655</v>
      </c>
      <c r="L14" s="811" t="s">
        <v>1212</v>
      </c>
      <c r="M14" s="811" t="s">
        <v>1635</v>
      </c>
      <c r="N14" s="811" t="s">
        <v>1635</v>
      </c>
      <c r="O14" s="811" t="s">
        <v>1656</v>
      </c>
      <c r="P14" s="811" t="s">
        <v>1657</v>
      </c>
      <c r="Q14" s="811" t="s">
        <v>1658</v>
      </c>
    </row>
    <row r="15" spans="1:18" x14ac:dyDescent="0.25">
      <c r="A15" s="811" t="s">
        <v>1670</v>
      </c>
      <c r="B15" s="811" t="s">
        <v>1679</v>
      </c>
      <c r="C15" s="812">
        <v>300000000</v>
      </c>
      <c r="D15" s="811" t="s">
        <v>1446</v>
      </c>
      <c r="E15" s="811" t="s">
        <v>1446</v>
      </c>
      <c r="F15" s="811" t="s">
        <v>1672</v>
      </c>
      <c r="G15" s="811" t="s">
        <v>1652</v>
      </c>
      <c r="H15" s="811" t="s">
        <v>1653</v>
      </c>
      <c r="I15" s="811" t="s">
        <v>1654</v>
      </c>
      <c r="J15" s="813">
        <v>300000000</v>
      </c>
      <c r="K15" s="811" t="s">
        <v>1655</v>
      </c>
      <c r="L15" s="811" t="s">
        <v>1212</v>
      </c>
      <c r="M15" s="811" t="s">
        <v>1635</v>
      </c>
      <c r="N15" s="811" t="s">
        <v>1635</v>
      </c>
      <c r="O15" s="811" t="s">
        <v>1656</v>
      </c>
      <c r="P15" s="811" t="s">
        <v>1657</v>
      </c>
      <c r="Q15" s="811" t="s">
        <v>1658</v>
      </c>
    </row>
    <row r="16" spans="1:18" x14ac:dyDescent="0.25">
      <c r="A16" s="811" t="s">
        <v>1649</v>
      </c>
      <c r="B16" s="811" t="s">
        <v>1680</v>
      </c>
      <c r="C16" s="812">
        <v>85698000</v>
      </c>
      <c r="D16" s="811" t="s">
        <v>1445</v>
      </c>
      <c r="E16" s="811" t="s">
        <v>1445</v>
      </c>
      <c r="F16" s="811" t="s">
        <v>1666</v>
      </c>
      <c r="G16" s="811" t="s">
        <v>1652</v>
      </c>
      <c r="H16" s="811" t="s">
        <v>1653</v>
      </c>
      <c r="I16" s="811" t="s">
        <v>1654</v>
      </c>
      <c r="J16" s="813">
        <v>85698000</v>
      </c>
      <c r="K16" s="811" t="s">
        <v>1655</v>
      </c>
      <c r="L16" s="811" t="s">
        <v>1212</v>
      </c>
      <c r="M16" s="811" t="s">
        <v>1635</v>
      </c>
      <c r="N16" s="811" t="s">
        <v>1635</v>
      </c>
      <c r="O16" s="811" t="s">
        <v>1681</v>
      </c>
      <c r="P16" s="811" t="s">
        <v>1657</v>
      </c>
      <c r="Q16" s="811" t="s">
        <v>1682</v>
      </c>
    </row>
    <row r="17" spans="1:17" x14ac:dyDescent="0.25">
      <c r="A17" s="811" t="s">
        <v>1649</v>
      </c>
      <c r="B17" s="811" t="s">
        <v>1683</v>
      </c>
      <c r="C17" s="812">
        <v>96000000</v>
      </c>
      <c r="D17" s="811" t="s">
        <v>1542</v>
      </c>
      <c r="E17" s="811" t="s">
        <v>1542</v>
      </c>
      <c r="F17" s="811" t="s">
        <v>1651</v>
      </c>
      <c r="G17" s="811" t="s">
        <v>1652</v>
      </c>
      <c r="H17" s="811" t="s">
        <v>1653</v>
      </c>
      <c r="I17" s="811" t="s">
        <v>1654</v>
      </c>
      <c r="J17" s="813">
        <v>96000000</v>
      </c>
      <c r="K17" s="811" t="s">
        <v>1655</v>
      </c>
      <c r="L17" s="811" t="s">
        <v>1212</v>
      </c>
      <c r="M17" s="811" t="s">
        <v>1635</v>
      </c>
      <c r="N17" s="811" t="s">
        <v>1635</v>
      </c>
      <c r="O17" s="811" t="s">
        <v>1681</v>
      </c>
      <c r="P17" s="811" t="s">
        <v>1657</v>
      </c>
      <c r="Q17" s="811" t="s">
        <v>1682</v>
      </c>
    </row>
    <row r="18" spans="1:17" x14ac:dyDescent="0.25">
      <c r="A18" s="811" t="s">
        <v>1649</v>
      </c>
      <c r="B18" s="811" t="s">
        <v>1684</v>
      </c>
      <c r="C18" s="812">
        <v>58300000</v>
      </c>
      <c r="D18" s="811" t="s">
        <v>1449</v>
      </c>
      <c r="E18" s="811" t="s">
        <v>1449</v>
      </c>
      <c r="F18" s="811" t="s">
        <v>1685</v>
      </c>
      <c r="G18" s="811" t="s">
        <v>1652</v>
      </c>
      <c r="H18" s="811" t="s">
        <v>1653</v>
      </c>
      <c r="I18" s="811" t="s">
        <v>1654</v>
      </c>
      <c r="J18" s="813">
        <v>58300000</v>
      </c>
      <c r="K18" s="811" t="s">
        <v>1655</v>
      </c>
      <c r="L18" s="811" t="s">
        <v>1212</v>
      </c>
      <c r="M18" s="811" t="s">
        <v>1635</v>
      </c>
      <c r="N18" s="811" t="s">
        <v>1635</v>
      </c>
      <c r="O18" s="811" t="s">
        <v>1686</v>
      </c>
      <c r="P18" s="811" t="s">
        <v>1657</v>
      </c>
      <c r="Q18" s="811" t="s">
        <v>1658</v>
      </c>
    </row>
    <row r="19" spans="1:17" x14ac:dyDescent="0.25">
      <c r="A19" s="811" t="s">
        <v>1649</v>
      </c>
      <c r="B19" s="811" t="s">
        <v>1687</v>
      </c>
      <c r="C19" s="812">
        <v>58300000</v>
      </c>
      <c r="D19" s="811" t="s">
        <v>1449</v>
      </c>
      <c r="E19" s="811" t="s">
        <v>1449</v>
      </c>
      <c r="F19" s="811" t="s">
        <v>1685</v>
      </c>
      <c r="G19" s="811" t="s">
        <v>1652</v>
      </c>
      <c r="H19" s="811" t="s">
        <v>1653</v>
      </c>
      <c r="I19" s="811" t="s">
        <v>1654</v>
      </c>
      <c r="J19" s="813">
        <v>58300000</v>
      </c>
      <c r="K19" s="811" t="s">
        <v>1655</v>
      </c>
      <c r="L19" s="811" t="s">
        <v>1212</v>
      </c>
      <c r="M19" s="811" t="s">
        <v>1635</v>
      </c>
      <c r="N19" s="811" t="s">
        <v>1635</v>
      </c>
      <c r="O19" s="811" t="s">
        <v>1686</v>
      </c>
      <c r="P19" s="811" t="s">
        <v>1657</v>
      </c>
      <c r="Q19" s="811" t="s">
        <v>1658</v>
      </c>
    </row>
    <row r="20" spans="1:17" x14ac:dyDescent="0.25">
      <c r="A20" s="811" t="s">
        <v>1649</v>
      </c>
      <c r="B20" s="811" t="s">
        <v>1687</v>
      </c>
      <c r="C20" s="812">
        <v>43780000</v>
      </c>
      <c r="D20" s="811" t="s">
        <v>1449</v>
      </c>
      <c r="E20" s="811" t="s">
        <v>1449</v>
      </c>
      <c r="F20" s="811" t="s">
        <v>1672</v>
      </c>
      <c r="G20" s="811" t="s">
        <v>1652</v>
      </c>
      <c r="H20" s="811" t="s">
        <v>1653</v>
      </c>
      <c r="I20" s="811" t="s">
        <v>1654</v>
      </c>
      <c r="J20" s="813">
        <v>43780000</v>
      </c>
      <c r="K20" s="811" t="s">
        <v>1655</v>
      </c>
      <c r="L20" s="811" t="s">
        <v>1212</v>
      </c>
      <c r="M20" s="811" t="s">
        <v>1635</v>
      </c>
      <c r="N20" s="811" t="s">
        <v>1635</v>
      </c>
      <c r="O20" s="811" t="s">
        <v>1686</v>
      </c>
      <c r="P20" s="811" t="s">
        <v>1657</v>
      </c>
      <c r="Q20" s="811" t="s">
        <v>1658</v>
      </c>
    </row>
    <row r="21" spans="1:17" x14ac:dyDescent="0.25">
      <c r="A21" s="811" t="s">
        <v>1649</v>
      </c>
      <c r="B21" s="811" t="s">
        <v>1687</v>
      </c>
      <c r="C21" s="812">
        <v>53900000</v>
      </c>
      <c r="D21" s="811" t="s">
        <v>1449</v>
      </c>
      <c r="E21" s="811" t="s">
        <v>1449</v>
      </c>
      <c r="F21" s="811" t="s">
        <v>1672</v>
      </c>
      <c r="G21" s="811" t="s">
        <v>1652</v>
      </c>
      <c r="H21" s="811" t="s">
        <v>1653</v>
      </c>
      <c r="I21" s="811" t="s">
        <v>1654</v>
      </c>
      <c r="J21" s="813">
        <v>53900000</v>
      </c>
      <c r="K21" s="811" t="s">
        <v>1655</v>
      </c>
      <c r="L21" s="811" t="s">
        <v>1212</v>
      </c>
      <c r="M21" s="811" t="s">
        <v>1635</v>
      </c>
      <c r="N21" s="811" t="s">
        <v>1635</v>
      </c>
      <c r="O21" s="811" t="s">
        <v>1686</v>
      </c>
      <c r="P21" s="811" t="s">
        <v>1657</v>
      </c>
      <c r="Q21" s="811" t="s">
        <v>1658</v>
      </c>
    </row>
    <row r="22" spans="1:17" x14ac:dyDescent="0.25">
      <c r="A22" s="811" t="s">
        <v>1649</v>
      </c>
      <c r="B22" s="811" t="s">
        <v>1687</v>
      </c>
      <c r="C22" s="812">
        <v>58300000</v>
      </c>
      <c r="D22" s="811" t="s">
        <v>1449</v>
      </c>
      <c r="E22" s="811" t="s">
        <v>1449</v>
      </c>
      <c r="F22" s="811" t="s">
        <v>1672</v>
      </c>
      <c r="G22" s="811" t="s">
        <v>1652</v>
      </c>
      <c r="H22" s="811" t="s">
        <v>1653</v>
      </c>
      <c r="I22" s="811" t="s">
        <v>1654</v>
      </c>
      <c r="J22" s="813">
        <v>58300000</v>
      </c>
      <c r="K22" s="811" t="s">
        <v>1655</v>
      </c>
      <c r="L22" s="811" t="s">
        <v>1212</v>
      </c>
      <c r="M22" s="811" t="s">
        <v>1635</v>
      </c>
      <c r="N22" s="811" t="s">
        <v>1635</v>
      </c>
      <c r="O22" s="811" t="s">
        <v>1686</v>
      </c>
      <c r="P22" s="811" t="s">
        <v>1657</v>
      </c>
      <c r="Q22" s="811" t="s">
        <v>1658</v>
      </c>
    </row>
    <row r="23" spans="1:17" x14ac:dyDescent="0.25">
      <c r="A23" s="811" t="s">
        <v>1649</v>
      </c>
      <c r="B23" s="811" t="s">
        <v>1687</v>
      </c>
      <c r="C23" s="812">
        <v>43780000</v>
      </c>
      <c r="D23" s="811" t="s">
        <v>1449</v>
      </c>
      <c r="E23" s="811" t="s">
        <v>1449</v>
      </c>
      <c r="F23" s="811" t="s">
        <v>1672</v>
      </c>
      <c r="G23" s="811" t="s">
        <v>1652</v>
      </c>
      <c r="H23" s="811" t="s">
        <v>1653</v>
      </c>
      <c r="I23" s="811" t="s">
        <v>1654</v>
      </c>
      <c r="J23" s="813">
        <v>43780000</v>
      </c>
      <c r="K23" s="811" t="s">
        <v>1655</v>
      </c>
      <c r="L23" s="811" t="s">
        <v>1212</v>
      </c>
      <c r="M23" s="811" t="s">
        <v>1635</v>
      </c>
      <c r="N23" s="811" t="s">
        <v>1635</v>
      </c>
      <c r="O23" s="811" t="s">
        <v>1686</v>
      </c>
      <c r="P23" s="811" t="s">
        <v>1657</v>
      </c>
      <c r="Q23" s="811" t="s">
        <v>1658</v>
      </c>
    </row>
    <row r="24" spans="1:17" x14ac:dyDescent="0.25">
      <c r="A24" s="811" t="s">
        <v>1649</v>
      </c>
      <c r="B24" s="811" t="s">
        <v>1688</v>
      </c>
      <c r="C24" s="812">
        <v>44330000</v>
      </c>
      <c r="D24" s="811" t="s">
        <v>1449</v>
      </c>
      <c r="E24" s="811" t="s">
        <v>1449</v>
      </c>
      <c r="F24" s="811" t="s">
        <v>1672</v>
      </c>
      <c r="G24" s="811" t="s">
        <v>1652</v>
      </c>
      <c r="H24" s="811" t="s">
        <v>1653</v>
      </c>
      <c r="I24" s="811" t="s">
        <v>1654</v>
      </c>
      <c r="J24" s="813">
        <v>44330000</v>
      </c>
      <c r="K24" s="811" t="s">
        <v>1655</v>
      </c>
      <c r="L24" s="811" t="s">
        <v>1212</v>
      </c>
      <c r="M24" s="811" t="s">
        <v>1635</v>
      </c>
      <c r="N24" s="811" t="s">
        <v>1635</v>
      </c>
      <c r="O24" s="811" t="s">
        <v>1686</v>
      </c>
      <c r="P24" s="811" t="s">
        <v>1657</v>
      </c>
      <c r="Q24" s="811" t="s">
        <v>1658</v>
      </c>
    </row>
    <row r="25" spans="1:17" x14ac:dyDescent="0.25">
      <c r="A25" s="811" t="s">
        <v>1649</v>
      </c>
      <c r="B25" s="811" t="s">
        <v>1688</v>
      </c>
      <c r="C25" s="812">
        <v>58300000</v>
      </c>
      <c r="D25" s="811" t="s">
        <v>1449</v>
      </c>
      <c r="E25" s="811" t="s">
        <v>1449</v>
      </c>
      <c r="F25" s="811" t="s">
        <v>1689</v>
      </c>
      <c r="G25" s="811" t="s">
        <v>1652</v>
      </c>
      <c r="H25" s="811" t="s">
        <v>1653</v>
      </c>
      <c r="I25" s="811" t="s">
        <v>1654</v>
      </c>
      <c r="J25" s="813">
        <v>58300000</v>
      </c>
      <c r="K25" s="811" t="s">
        <v>1655</v>
      </c>
      <c r="L25" s="811" t="s">
        <v>1212</v>
      </c>
      <c r="M25" s="811" t="s">
        <v>1635</v>
      </c>
      <c r="N25" s="811" t="s">
        <v>1635</v>
      </c>
      <c r="O25" s="811" t="s">
        <v>1686</v>
      </c>
      <c r="P25" s="811" t="s">
        <v>1657</v>
      </c>
      <c r="Q25" s="811" t="s">
        <v>1658</v>
      </c>
    </row>
    <row r="26" spans="1:17" x14ac:dyDescent="0.25">
      <c r="A26" s="811" t="s">
        <v>1649</v>
      </c>
      <c r="B26" s="811" t="s">
        <v>1690</v>
      </c>
      <c r="C26" s="812">
        <v>47736000</v>
      </c>
      <c r="D26" s="811" t="s">
        <v>1449</v>
      </c>
      <c r="E26" s="811" t="s">
        <v>1449</v>
      </c>
      <c r="F26" s="811" t="s">
        <v>1672</v>
      </c>
      <c r="G26" s="811" t="s">
        <v>1652</v>
      </c>
      <c r="H26" s="811" t="s">
        <v>1653</v>
      </c>
      <c r="I26" s="811" t="s">
        <v>1654</v>
      </c>
      <c r="J26" s="813">
        <v>47736000</v>
      </c>
      <c r="K26" s="811" t="s">
        <v>1655</v>
      </c>
      <c r="L26" s="811" t="s">
        <v>1212</v>
      </c>
      <c r="M26" s="811" t="s">
        <v>1635</v>
      </c>
      <c r="N26" s="811" t="s">
        <v>1635</v>
      </c>
      <c r="O26" s="811" t="s">
        <v>1686</v>
      </c>
      <c r="P26" s="811" t="s">
        <v>1657</v>
      </c>
      <c r="Q26" s="811" t="s">
        <v>1658</v>
      </c>
    </row>
    <row r="27" spans="1:17" x14ac:dyDescent="0.25">
      <c r="A27" s="811" t="s">
        <v>1649</v>
      </c>
      <c r="B27" s="811" t="s">
        <v>1690</v>
      </c>
      <c r="C27" s="812">
        <v>112604000</v>
      </c>
      <c r="D27" s="811" t="s">
        <v>1449</v>
      </c>
      <c r="E27" s="811" t="s">
        <v>1449</v>
      </c>
      <c r="F27" s="811" t="s">
        <v>1672</v>
      </c>
      <c r="G27" s="811" t="s">
        <v>1652</v>
      </c>
      <c r="H27" s="811" t="s">
        <v>1653</v>
      </c>
      <c r="I27" s="811" t="s">
        <v>1654</v>
      </c>
      <c r="J27" s="813">
        <v>112604000</v>
      </c>
      <c r="K27" s="811" t="s">
        <v>1655</v>
      </c>
      <c r="L27" s="811" t="s">
        <v>1212</v>
      </c>
      <c r="M27" s="811" t="s">
        <v>1635</v>
      </c>
      <c r="N27" s="811" t="s">
        <v>1635</v>
      </c>
      <c r="O27" s="811" t="s">
        <v>1686</v>
      </c>
      <c r="P27" s="811" t="s">
        <v>1657</v>
      </c>
      <c r="Q27" s="811" t="s">
        <v>1658</v>
      </c>
    </row>
    <row r="28" spans="1:17" x14ac:dyDescent="0.25">
      <c r="A28" s="811" t="s">
        <v>1649</v>
      </c>
      <c r="B28" s="811" t="s">
        <v>1691</v>
      </c>
      <c r="C28" s="812">
        <v>58300000</v>
      </c>
      <c r="D28" s="811" t="s">
        <v>1449</v>
      </c>
      <c r="E28" s="811" t="s">
        <v>1449</v>
      </c>
      <c r="F28" s="811" t="s">
        <v>1685</v>
      </c>
      <c r="G28" s="811" t="s">
        <v>1652</v>
      </c>
      <c r="H28" s="811" t="s">
        <v>1653</v>
      </c>
      <c r="I28" s="811" t="s">
        <v>1654</v>
      </c>
      <c r="J28" s="813">
        <v>58300000</v>
      </c>
      <c r="K28" s="811" t="s">
        <v>1655</v>
      </c>
      <c r="L28" s="811" t="s">
        <v>1212</v>
      </c>
      <c r="M28" s="811" t="s">
        <v>1635</v>
      </c>
      <c r="N28" s="811" t="s">
        <v>1635</v>
      </c>
      <c r="O28" s="811" t="s">
        <v>1686</v>
      </c>
      <c r="P28" s="811" t="s">
        <v>1657</v>
      </c>
      <c r="Q28" s="811" t="s">
        <v>1658</v>
      </c>
    </row>
    <row r="29" spans="1:17" x14ac:dyDescent="0.25">
      <c r="A29" s="811" t="s">
        <v>1692</v>
      </c>
      <c r="B29" s="811" t="s">
        <v>1693</v>
      </c>
      <c r="C29" s="814" t="s">
        <v>1635</v>
      </c>
      <c r="D29" s="811" t="s">
        <v>1445</v>
      </c>
      <c r="E29" s="811" t="s">
        <v>1445</v>
      </c>
      <c r="F29" s="811" t="s">
        <v>1662</v>
      </c>
      <c r="G29" s="811" t="s">
        <v>1652</v>
      </c>
      <c r="H29" s="811" t="s">
        <v>1653</v>
      </c>
      <c r="I29" s="811" t="s">
        <v>1654</v>
      </c>
      <c r="J29" s="811" t="s">
        <v>1635</v>
      </c>
      <c r="K29" s="811" t="s">
        <v>1655</v>
      </c>
      <c r="L29" s="811" t="s">
        <v>1212</v>
      </c>
      <c r="M29" s="811" t="s">
        <v>1635</v>
      </c>
      <c r="N29" s="811" t="s">
        <v>1635</v>
      </c>
      <c r="O29" s="811" t="s">
        <v>1686</v>
      </c>
      <c r="P29" s="811" t="s">
        <v>1657</v>
      </c>
      <c r="Q29" s="811" t="s">
        <v>1658</v>
      </c>
    </row>
    <row r="30" spans="1:17" x14ac:dyDescent="0.25">
      <c r="A30" s="811" t="s">
        <v>1694</v>
      </c>
      <c r="B30" s="811" t="s">
        <v>1695</v>
      </c>
      <c r="C30" s="812">
        <v>59054190</v>
      </c>
      <c r="D30" s="811" t="s">
        <v>1454</v>
      </c>
      <c r="E30" s="811" t="s">
        <v>1454</v>
      </c>
      <c r="F30" s="811" t="s">
        <v>1662</v>
      </c>
      <c r="G30" s="811" t="s">
        <v>1652</v>
      </c>
      <c r="H30" s="811" t="s">
        <v>1577</v>
      </c>
      <c r="I30" s="811" t="s">
        <v>1654</v>
      </c>
      <c r="J30" s="813">
        <v>59054190</v>
      </c>
      <c r="K30" s="811" t="s">
        <v>1655</v>
      </c>
      <c r="L30" s="811" t="s">
        <v>1212</v>
      </c>
      <c r="M30" s="811" t="s">
        <v>1635</v>
      </c>
      <c r="N30" s="811" t="s">
        <v>1635</v>
      </c>
      <c r="O30" s="811" t="s">
        <v>1696</v>
      </c>
      <c r="P30" s="811" t="s">
        <v>1657</v>
      </c>
      <c r="Q30" s="811" t="s">
        <v>1682</v>
      </c>
    </row>
    <row r="31" spans="1:17" x14ac:dyDescent="0.25">
      <c r="A31" s="811" t="s">
        <v>1649</v>
      </c>
      <c r="B31" s="811" t="s">
        <v>1697</v>
      </c>
      <c r="C31" s="812">
        <v>59500000</v>
      </c>
      <c r="D31" s="811" t="s">
        <v>1445</v>
      </c>
      <c r="E31" s="811" t="s">
        <v>1542</v>
      </c>
      <c r="F31" s="811" t="s">
        <v>1698</v>
      </c>
      <c r="G31" s="811" t="s">
        <v>1652</v>
      </c>
      <c r="H31" s="811" t="s">
        <v>1653</v>
      </c>
      <c r="I31" s="811" t="s">
        <v>1654</v>
      </c>
      <c r="J31" s="813">
        <v>59500000</v>
      </c>
      <c r="K31" s="811" t="s">
        <v>1655</v>
      </c>
      <c r="L31" s="811" t="s">
        <v>1212</v>
      </c>
      <c r="M31" s="811" t="s">
        <v>1635</v>
      </c>
      <c r="N31" s="811" t="s">
        <v>1635</v>
      </c>
      <c r="O31" s="811" t="s">
        <v>1699</v>
      </c>
      <c r="P31" s="811" t="s">
        <v>1657</v>
      </c>
      <c r="Q31" s="811" t="s">
        <v>1700</v>
      </c>
    </row>
    <row r="32" spans="1:17" x14ac:dyDescent="0.25">
      <c r="A32" s="811" t="s">
        <v>1649</v>
      </c>
      <c r="B32" s="811" t="s">
        <v>1701</v>
      </c>
      <c r="C32" s="812">
        <v>27000000</v>
      </c>
      <c r="D32" s="811" t="s">
        <v>1453</v>
      </c>
      <c r="E32" s="811" t="s">
        <v>1453</v>
      </c>
      <c r="F32" s="811" t="s">
        <v>1662</v>
      </c>
      <c r="G32" s="811" t="s">
        <v>1652</v>
      </c>
      <c r="H32" s="811" t="s">
        <v>1653</v>
      </c>
      <c r="I32" s="811" t="s">
        <v>1654</v>
      </c>
      <c r="J32" s="813">
        <v>27000000</v>
      </c>
      <c r="K32" s="811" t="s">
        <v>1655</v>
      </c>
      <c r="L32" s="811" t="s">
        <v>1212</v>
      </c>
      <c r="M32" s="811" t="s">
        <v>1635</v>
      </c>
      <c r="N32" s="811" t="s">
        <v>1635</v>
      </c>
      <c r="O32" s="811" t="s">
        <v>1699</v>
      </c>
      <c r="P32" s="811" t="s">
        <v>1657</v>
      </c>
      <c r="Q32" s="811" t="s">
        <v>1700</v>
      </c>
    </row>
    <row r="33" spans="1:17" x14ac:dyDescent="0.25">
      <c r="A33" s="811" t="s">
        <v>1649</v>
      </c>
      <c r="B33" s="811" t="s">
        <v>1702</v>
      </c>
      <c r="C33" s="812">
        <v>59500000</v>
      </c>
      <c r="D33" s="811" t="s">
        <v>1542</v>
      </c>
      <c r="E33" s="811" t="s">
        <v>1542</v>
      </c>
      <c r="F33" s="811" t="s">
        <v>1698</v>
      </c>
      <c r="G33" s="811" t="s">
        <v>1652</v>
      </c>
      <c r="H33" s="811" t="s">
        <v>1653</v>
      </c>
      <c r="I33" s="811" t="s">
        <v>1654</v>
      </c>
      <c r="J33" s="813">
        <v>59500000</v>
      </c>
      <c r="K33" s="811" t="s">
        <v>1655</v>
      </c>
      <c r="L33" s="811" t="s">
        <v>1212</v>
      </c>
      <c r="M33" s="811" t="s">
        <v>1635</v>
      </c>
      <c r="N33" s="811" t="s">
        <v>1635</v>
      </c>
      <c r="O33" s="811" t="s">
        <v>1699</v>
      </c>
      <c r="P33" s="811" t="s">
        <v>1657</v>
      </c>
      <c r="Q33" s="811" t="s">
        <v>1700</v>
      </c>
    </row>
    <row r="34" spans="1:17" x14ac:dyDescent="0.25">
      <c r="A34" s="811" t="s">
        <v>1649</v>
      </c>
      <c r="B34" s="811" t="s">
        <v>1703</v>
      </c>
      <c r="C34" s="812">
        <v>6000000</v>
      </c>
      <c r="D34" s="811" t="s">
        <v>1449</v>
      </c>
      <c r="E34" s="811" t="s">
        <v>1449</v>
      </c>
      <c r="F34" s="811" t="s">
        <v>1685</v>
      </c>
      <c r="G34" s="811" t="s">
        <v>1652</v>
      </c>
      <c r="H34" s="811" t="s">
        <v>1653</v>
      </c>
      <c r="I34" s="811" t="s">
        <v>1654</v>
      </c>
      <c r="J34" s="813">
        <v>6000000</v>
      </c>
      <c r="K34" s="811" t="s">
        <v>1655</v>
      </c>
      <c r="L34" s="811" t="s">
        <v>1212</v>
      </c>
      <c r="M34" s="811" t="s">
        <v>1635</v>
      </c>
      <c r="N34" s="811" t="s">
        <v>1635</v>
      </c>
      <c r="O34" s="811" t="s">
        <v>1704</v>
      </c>
      <c r="P34" s="811" t="s">
        <v>1657</v>
      </c>
      <c r="Q34" s="811" t="s">
        <v>1705</v>
      </c>
    </row>
    <row r="35" spans="1:17" x14ac:dyDescent="0.25">
      <c r="A35" s="811" t="s">
        <v>1649</v>
      </c>
      <c r="B35" s="811" t="s">
        <v>1706</v>
      </c>
      <c r="C35" s="812">
        <v>63000000</v>
      </c>
      <c r="D35" s="811" t="s">
        <v>1445</v>
      </c>
      <c r="E35" s="811" t="s">
        <v>1445</v>
      </c>
      <c r="F35" s="811" t="s">
        <v>1666</v>
      </c>
      <c r="G35" s="811" t="s">
        <v>1652</v>
      </c>
      <c r="H35" s="811" t="s">
        <v>1653</v>
      </c>
      <c r="I35" s="811" t="s">
        <v>1654</v>
      </c>
      <c r="J35" s="813">
        <v>63000000</v>
      </c>
      <c r="K35" s="811" t="s">
        <v>1655</v>
      </c>
      <c r="L35" s="811" t="s">
        <v>1212</v>
      </c>
      <c r="M35" s="811" t="s">
        <v>1635</v>
      </c>
      <c r="N35" s="811" t="s">
        <v>1635</v>
      </c>
      <c r="O35" s="811" t="s">
        <v>1681</v>
      </c>
      <c r="P35" s="811" t="s">
        <v>1657</v>
      </c>
      <c r="Q35" s="811" t="s">
        <v>1682</v>
      </c>
    </row>
    <row r="36" spans="1:17" x14ac:dyDescent="0.25">
      <c r="A36" s="811" t="s">
        <v>1649</v>
      </c>
      <c r="B36" s="811" t="s">
        <v>1707</v>
      </c>
      <c r="C36" s="812">
        <v>85250000</v>
      </c>
      <c r="D36" s="811" t="s">
        <v>1440</v>
      </c>
      <c r="E36" s="811" t="s">
        <v>1440</v>
      </c>
      <c r="F36" s="811" t="s">
        <v>1689</v>
      </c>
      <c r="G36" s="811" t="s">
        <v>1652</v>
      </c>
      <c r="H36" s="811" t="s">
        <v>1653</v>
      </c>
      <c r="I36" s="811" t="s">
        <v>1654</v>
      </c>
      <c r="J36" s="813">
        <v>85250000</v>
      </c>
      <c r="K36" s="811" t="s">
        <v>1655</v>
      </c>
      <c r="L36" s="811" t="s">
        <v>1212</v>
      </c>
      <c r="M36" s="811" t="s">
        <v>1635</v>
      </c>
      <c r="N36" s="811" t="s">
        <v>1635</v>
      </c>
      <c r="O36" s="811" t="s">
        <v>1681</v>
      </c>
      <c r="P36" s="811" t="s">
        <v>1657</v>
      </c>
      <c r="Q36" s="811" t="s">
        <v>1682</v>
      </c>
    </row>
    <row r="37" spans="1:17" x14ac:dyDescent="0.25">
      <c r="A37" s="811" t="s">
        <v>1649</v>
      </c>
      <c r="B37" s="811" t="s">
        <v>1708</v>
      </c>
      <c r="C37" s="812">
        <v>33000000</v>
      </c>
      <c r="D37" s="811" t="s">
        <v>1454</v>
      </c>
      <c r="E37" s="811" t="s">
        <v>1454</v>
      </c>
      <c r="F37" s="811" t="s">
        <v>1662</v>
      </c>
      <c r="G37" s="811" t="s">
        <v>1652</v>
      </c>
      <c r="H37" s="811" t="s">
        <v>1653</v>
      </c>
      <c r="I37" s="811" t="s">
        <v>1654</v>
      </c>
      <c r="J37" s="813">
        <v>33000000</v>
      </c>
      <c r="K37" s="811" t="s">
        <v>1655</v>
      </c>
      <c r="L37" s="811" t="s">
        <v>1212</v>
      </c>
      <c r="M37" s="811" t="s">
        <v>1635</v>
      </c>
      <c r="N37" s="811" t="s">
        <v>1635</v>
      </c>
      <c r="O37" s="811" t="s">
        <v>1709</v>
      </c>
      <c r="P37" s="811" t="s">
        <v>1657</v>
      </c>
      <c r="Q37" s="811" t="s">
        <v>1710</v>
      </c>
    </row>
    <row r="38" spans="1:17" x14ac:dyDescent="0.25">
      <c r="A38" s="811" t="s">
        <v>1649</v>
      </c>
      <c r="B38" s="811" t="s">
        <v>1711</v>
      </c>
      <c r="C38" s="812">
        <v>22200000</v>
      </c>
      <c r="D38" s="811" t="s">
        <v>1453</v>
      </c>
      <c r="E38" s="811" t="s">
        <v>1453</v>
      </c>
      <c r="F38" s="811" t="s">
        <v>1662</v>
      </c>
      <c r="G38" s="811" t="s">
        <v>1652</v>
      </c>
      <c r="H38" s="811" t="s">
        <v>1653</v>
      </c>
      <c r="I38" s="811" t="s">
        <v>1654</v>
      </c>
      <c r="J38" s="813">
        <v>22200000</v>
      </c>
      <c r="K38" s="811" t="s">
        <v>1655</v>
      </c>
      <c r="L38" s="811" t="s">
        <v>1212</v>
      </c>
      <c r="M38" s="811" t="s">
        <v>1635</v>
      </c>
      <c r="N38" s="811" t="s">
        <v>1635</v>
      </c>
      <c r="O38" s="811" t="s">
        <v>1709</v>
      </c>
      <c r="P38" s="811" t="s">
        <v>1657</v>
      </c>
      <c r="Q38" s="811" t="s">
        <v>1710</v>
      </c>
    </row>
    <row r="39" spans="1:17" x14ac:dyDescent="0.25">
      <c r="A39" s="811" t="s">
        <v>1649</v>
      </c>
      <c r="B39" s="811" t="s">
        <v>1712</v>
      </c>
      <c r="C39" s="812">
        <v>20000000</v>
      </c>
      <c r="D39" s="811" t="s">
        <v>1454</v>
      </c>
      <c r="E39" s="811" t="s">
        <v>1454</v>
      </c>
      <c r="F39" s="811" t="s">
        <v>1662</v>
      </c>
      <c r="G39" s="811" t="s">
        <v>1652</v>
      </c>
      <c r="H39" s="811" t="s">
        <v>1653</v>
      </c>
      <c r="I39" s="811" t="s">
        <v>1654</v>
      </c>
      <c r="J39" s="813">
        <v>20000000</v>
      </c>
      <c r="K39" s="811" t="s">
        <v>1655</v>
      </c>
      <c r="L39" s="811" t="s">
        <v>1212</v>
      </c>
      <c r="M39" s="811" t="s">
        <v>1635</v>
      </c>
      <c r="N39" s="811" t="s">
        <v>1635</v>
      </c>
      <c r="O39" s="811" t="s">
        <v>1709</v>
      </c>
      <c r="P39" s="811" t="s">
        <v>1657</v>
      </c>
      <c r="Q39" s="811" t="s">
        <v>1710</v>
      </c>
    </row>
    <row r="40" spans="1:17" x14ac:dyDescent="0.25">
      <c r="A40" s="811" t="s">
        <v>1713</v>
      </c>
      <c r="B40" s="811" t="s">
        <v>461</v>
      </c>
      <c r="C40" s="812">
        <v>15000000</v>
      </c>
      <c r="D40" s="811" t="s">
        <v>1458</v>
      </c>
      <c r="E40" s="811" t="s">
        <v>1458</v>
      </c>
      <c r="F40" s="811" t="s">
        <v>1662</v>
      </c>
      <c r="G40" s="811" t="s">
        <v>1652</v>
      </c>
      <c r="H40" s="811" t="s">
        <v>1577</v>
      </c>
      <c r="I40" s="811" t="s">
        <v>1654</v>
      </c>
      <c r="J40" s="813">
        <v>15000000</v>
      </c>
      <c r="K40" s="811" t="s">
        <v>1655</v>
      </c>
      <c r="L40" s="811" t="s">
        <v>1212</v>
      </c>
      <c r="M40" s="811" t="s">
        <v>1635</v>
      </c>
      <c r="N40" s="811" t="s">
        <v>1635</v>
      </c>
      <c r="O40" s="811" t="s">
        <v>1709</v>
      </c>
      <c r="P40" s="811" t="s">
        <v>1657</v>
      </c>
      <c r="Q40" s="811" t="s">
        <v>1710</v>
      </c>
    </row>
    <row r="41" spans="1:17" x14ac:dyDescent="0.25">
      <c r="A41" s="811" t="s">
        <v>1714</v>
      </c>
      <c r="B41" s="811" t="s">
        <v>1715</v>
      </c>
      <c r="C41" s="812">
        <v>3000000</v>
      </c>
      <c r="D41" s="811" t="s">
        <v>1453</v>
      </c>
      <c r="E41" s="811" t="s">
        <v>1453</v>
      </c>
      <c r="F41" s="811" t="s">
        <v>1716</v>
      </c>
      <c r="G41" s="811" t="s">
        <v>1652</v>
      </c>
      <c r="H41" s="811" t="s">
        <v>1663</v>
      </c>
      <c r="I41" s="811" t="s">
        <v>1654</v>
      </c>
      <c r="J41" s="813">
        <v>3000000</v>
      </c>
      <c r="K41" s="811" t="s">
        <v>1655</v>
      </c>
      <c r="L41" s="811" t="s">
        <v>1212</v>
      </c>
      <c r="M41" s="811" t="s">
        <v>1635</v>
      </c>
      <c r="N41" s="811" t="s">
        <v>1635</v>
      </c>
      <c r="O41" s="811" t="s">
        <v>1709</v>
      </c>
      <c r="P41" s="811" t="s">
        <v>1657</v>
      </c>
      <c r="Q41" s="811" t="s">
        <v>1710</v>
      </c>
    </row>
    <row r="42" spans="1:17" x14ac:dyDescent="0.25">
      <c r="A42" s="811" t="s">
        <v>1649</v>
      </c>
      <c r="B42" s="811" t="s">
        <v>1717</v>
      </c>
      <c r="C42" s="812">
        <v>25000000</v>
      </c>
      <c r="D42" s="811" t="s">
        <v>1453</v>
      </c>
      <c r="E42" s="811" t="s">
        <v>1453</v>
      </c>
      <c r="F42" s="811" t="s">
        <v>1718</v>
      </c>
      <c r="G42" s="811" t="s">
        <v>1652</v>
      </c>
      <c r="H42" s="811" t="s">
        <v>1653</v>
      </c>
      <c r="I42" s="811" t="s">
        <v>1654</v>
      </c>
      <c r="J42" s="813">
        <v>25000000</v>
      </c>
      <c r="K42" s="811" t="s">
        <v>1655</v>
      </c>
      <c r="L42" s="811" t="s">
        <v>1212</v>
      </c>
      <c r="M42" s="811" t="s">
        <v>1635</v>
      </c>
      <c r="N42" s="811" t="s">
        <v>1635</v>
      </c>
      <c r="O42" s="811" t="s">
        <v>1709</v>
      </c>
      <c r="P42" s="811" t="s">
        <v>1657</v>
      </c>
      <c r="Q42" s="811" t="s">
        <v>1710</v>
      </c>
    </row>
    <row r="43" spans="1:17" x14ac:dyDescent="0.25">
      <c r="A43" s="811" t="s">
        <v>1649</v>
      </c>
      <c r="B43" s="811" t="s">
        <v>1719</v>
      </c>
      <c r="C43" s="812">
        <v>35000000</v>
      </c>
      <c r="D43" s="811" t="s">
        <v>1454</v>
      </c>
      <c r="E43" s="811" t="s">
        <v>1454</v>
      </c>
      <c r="F43" s="811" t="s">
        <v>1662</v>
      </c>
      <c r="G43" s="811" t="s">
        <v>1652</v>
      </c>
      <c r="H43" s="811" t="s">
        <v>1653</v>
      </c>
      <c r="I43" s="811" t="s">
        <v>1654</v>
      </c>
      <c r="J43" s="813">
        <v>35000000</v>
      </c>
      <c r="K43" s="811" t="s">
        <v>1655</v>
      </c>
      <c r="L43" s="811" t="s">
        <v>1212</v>
      </c>
      <c r="M43" s="811" t="s">
        <v>1635</v>
      </c>
      <c r="N43" s="811" t="s">
        <v>1635</v>
      </c>
      <c r="O43" s="811" t="s">
        <v>1709</v>
      </c>
      <c r="P43" s="811" t="s">
        <v>1657</v>
      </c>
      <c r="Q43" s="811" t="s">
        <v>1710</v>
      </c>
    </row>
    <row r="44" spans="1:17" x14ac:dyDescent="0.25">
      <c r="A44" s="811" t="s">
        <v>1649</v>
      </c>
      <c r="B44" s="811" t="s">
        <v>1720</v>
      </c>
      <c r="C44" s="812">
        <v>35000000</v>
      </c>
      <c r="D44" s="811" t="s">
        <v>1454</v>
      </c>
      <c r="E44" s="811" t="s">
        <v>1454</v>
      </c>
      <c r="F44" s="811" t="s">
        <v>1662</v>
      </c>
      <c r="G44" s="811" t="s">
        <v>1652</v>
      </c>
      <c r="H44" s="811" t="s">
        <v>1653</v>
      </c>
      <c r="I44" s="811" t="s">
        <v>1654</v>
      </c>
      <c r="J44" s="813">
        <v>35000000</v>
      </c>
      <c r="K44" s="811" t="s">
        <v>1655</v>
      </c>
      <c r="L44" s="811" t="s">
        <v>1212</v>
      </c>
      <c r="M44" s="811" t="s">
        <v>1635</v>
      </c>
      <c r="N44" s="811" t="s">
        <v>1635</v>
      </c>
      <c r="O44" s="811" t="s">
        <v>1709</v>
      </c>
      <c r="P44" s="811" t="s">
        <v>1657</v>
      </c>
      <c r="Q44" s="811" t="s">
        <v>1710</v>
      </c>
    </row>
    <row r="45" spans="1:17" x14ac:dyDescent="0.25">
      <c r="A45" s="811" t="s">
        <v>1649</v>
      </c>
      <c r="B45" s="811" t="s">
        <v>1721</v>
      </c>
      <c r="C45" s="812">
        <v>12000000</v>
      </c>
      <c r="D45" s="811" t="s">
        <v>1454</v>
      </c>
      <c r="E45" s="811" t="s">
        <v>1454</v>
      </c>
      <c r="F45" s="811" t="s">
        <v>1662</v>
      </c>
      <c r="G45" s="811" t="s">
        <v>1652</v>
      </c>
      <c r="H45" s="811" t="s">
        <v>1653</v>
      </c>
      <c r="I45" s="811" t="s">
        <v>1654</v>
      </c>
      <c r="J45" s="813">
        <v>12000000</v>
      </c>
      <c r="K45" s="811" t="s">
        <v>1655</v>
      </c>
      <c r="L45" s="811" t="s">
        <v>1212</v>
      </c>
      <c r="M45" s="811" t="s">
        <v>1635</v>
      </c>
      <c r="N45" s="811" t="s">
        <v>1635</v>
      </c>
      <c r="O45" s="811" t="s">
        <v>1709</v>
      </c>
      <c r="P45" s="811" t="s">
        <v>1657</v>
      </c>
      <c r="Q45" s="811" t="s">
        <v>1710</v>
      </c>
    </row>
    <row r="46" spans="1:17" x14ac:dyDescent="0.25">
      <c r="A46" s="811" t="s">
        <v>1649</v>
      </c>
      <c r="B46" s="811" t="s">
        <v>1722</v>
      </c>
      <c r="C46" s="812">
        <v>23621677</v>
      </c>
      <c r="D46" s="811" t="s">
        <v>1453</v>
      </c>
      <c r="E46" s="811" t="s">
        <v>1453</v>
      </c>
      <c r="F46" s="811" t="s">
        <v>1718</v>
      </c>
      <c r="G46" s="811" t="s">
        <v>1652</v>
      </c>
      <c r="H46" s="811" t="s">
        <v>1653</v>
      </c>
      <c r="I46" s="811" t="s">
        <v>1654</v>
      </c>
      <c r="J46" s="813">
        <v>23621677</v>
      </c>
      <c r="K46" s="811" t="s">
        <v>1655</v>
      </c>
      <c r="L46" s="811" t="s">
        <v>1212</v>
      </c>
      <c r="M46" s="811" t="s">
        <v>1635</v>
      </c>
      <c r="N46" s="811" t="s">
        <v>1635</v>
      </c>
      <c r="O46" s="811" t="s">
        <v>1723</v>
      </c>
      <c r="P46" s="811" t="s">
        <v>1657</v>
      </c>
      <c r="Q46" s="811" t="s">
        <v>1724</v>
      </c>
    </row>
    <row r="47" spans="1:17" x14ac:dyDescent="0.25">
      <c r="A47" s="811" t="s">
        <v>1725</v>
      </c>
      <c r="B47" s="811" t="s">
        <v>1726</v>
      </c>
      <c r="C47" s="812">
        <v>300000000</v>
      </c>
      <c r="D47" s="811" t="s">
        <v>1454</v>
      </c>
      <c r="E47" s="811" t="s">
        <v>1469</v>
      </c>
      <c r="F47" s="811" t="s">
        <v>1727</v>
      </c>
      <c r="G47" s="811" t="s">
        <v>1652</v>
      </c>
      <c r="H47" s="811" t="s">
        <v>1728</v>
      </c>
      <c r="I47" s="811" t="s">
        <v>1654</v>
      </c>
      <c r="J47" s="813">
        <v>300000000</v>
      </c>
      <c r="K47" s="811" t="s">
        <v>1655</v>
      </c>
      <c r="L47" s="811" t="s">
        <v>1212</v>
      </c>
      <c r="M47" s="811" t="s">
        <v>1635</v>
      </c>
      <c r="N47" s="811" t="s">
        <v>1635</v>
      </c>
      <c r="O47" s="811" t="s">
        <v>1729</v>
      </c>
      <c r="P47" s="811" t="s">
        <v>1657</v>
      </c>
      <c r="Q47" s="811" t="s">
        <v>1664</v>
      </c>
    </row>
    <row r="48" spans="1:17" x14ac:dyDescent="0.25">
      <c r="A48" s="811" t="s">
        <v>1649</v>
      </c>
      <c r="B48" s="811" t="s">
        <v>1730</v>
      </c>
      <c r="C48" s="812">
        <v>15600000</v>
      </c>
      <c r="D48" s="811" t="s">
        <v>1453</v>
      </c>
      <c r="E48" s="811" t="s">
        <v>1454</v>
      </c>
      <c r="F48" s="811" t="s">
        <v>1662</v>
      </c>
      <c r="G48" s="811" t="s">
        <v>1652</v>
      </c>
      <c r="H48" s="811" t="s">
        <v>1653</v>
      </c>
      <c r="I48" s="811" t="s">
        <v>1654</v>
      </c>
      <c r="J48" s="813">
        <v>15600000</v>
      </c>
      <c r="K48" s="811" t="s">
        <v>1655</v>
      </c>
      <c r="L48" s="811" t="s">
        <v>1212</v>
      </c>
      <c r="M48" s="811" t="s">
        <v>1635</v>
      </c>
      <c r="N48" s="811" t="s">
        <v>1635</v>
      </c>
      <c r="O48" s="811" t="s">
        <v>1729</v>
      </c>
      <c r="P48" s="811" t="s">
        <v>1657</v>
      </c>
      <c r="Q48" s="811" t="s">
        <v>1664</v>
      </c>
    </row>
    <row r="49" spans="1:17" x14ac:dyDescent="0.25">
      <c r="A49" s="811" t="s">
        <v>1731</v>
      </c>
      <c r="B49" s="811" t="s">
        <v>1732</v>
      </c>
      <c r="C49" s="812">
        <v>8000000</v>
      </c>
      <c r="D49" s="811" t="s">
        <v>1453</v>
      </c>
      <c r="E49" s="811" t="s">
        <v>1453</v>
      </c>
      <c r="F49" s="811" t="s">
        <v>1727</v>
      </c>
      <c r="G49" s="811" t="s">
        <v>1652</v>
      </c>
      <c r="H49" s="811" t="s">
        <v>1577</v>
      </c>
      <c r="I49" s="811" t="s">
        <v>1654</v>
      </c>
      <c r="J49" s="813">
        <v>8000000</v>
      </c>
      <c r="K49" s="811" t="s">
        <v>1655</v>
      </c>
      <c r="L49" s="811" t="s">
        <v>1212</v>
      </c>
      <c r="M49" s="811" t="s">
        <v>1635</v>
      </c>
      <c r="N49" s="811" t="s">
        <v>1635</v>
      </c>
      <c r="O49" s="811" t="s">
        <v>1729</v>
      </c>
      <c r="P49" s="811" t="s">
        <v>1657</v>
      </c>
      <c r="Q49" s="811" t="s">
        <v>1664</v>
      </c>
    </row>
    <row r="50" spans="1:17" x14ac:dyDescent="0.25">
      <c r="A50" s="811" t="s">
        <v>1733</v>
      </c>
      <c r="B50" s="811" t="s">
        <v>1734</v>
      </c>
      <c r="C50" s="812">
        <v>300000000</v>
      </c>
      <c r="D50" s="811" t="s">
        <v>1446</v>
      </c>
      <c r="E50" s="811" t="s">
        <v>1453</v>
      </c>
      <c r="F50" s="811" t="s">
        <v>1651</v>
      </c>
      <c r="G50" s="811" t="s">
        <v>1652</v>
      </c>
      <c r="H50" s="811" t="s">
        <v>1653</v>
      </c>
      <c r="I50" s="811" t="s">
        <v>1654</v>
      </c>
      <c r="J50" s="813">
        <v>300000000</v>
      </c>
      <c r="K50" s="811" t="s">
        <v>1655</v>
      </c>
      <c r="L50" s="811" t="s">
        <v>1212</v>
      </c>
      <c r="M50" s="811" t="s">
        <v>1635</v>
      </c>
      <c r="N50" s="811" t="s">
        <v>1635</v>
      </c>
      <c r="O50" s="811" t="s">
        <v>1729</v>
      </c>
      <c r="P50" s="811" t="s">
        <v>1657</v>
      </c>
      <c r="Q50" s="811" t="s">
        <v>1664</v>
      </c>
    </row>
    <row r="51" spans="1:17" x14ac:dyDescent="0.25">
      <c r="A51" s="811" t="s">
        <v>1735</v>
      </c>
      <c r="B51" s="811" t="s">
        <v>1736</v>
      </c>
      <c r="C51" s="812">
        <v>2000000000</v>
      </c>
      <c r="D51" s="811" t="s">
        <v>1446</v>
      </c>
      <c r="E51" s="811" t="s">
        <v>1446</v>
      </c>
      <c r="F51" s="811" t="s">
        <v>1716</v>
      </c>
      <c r="G51" s="811" t="s">
        <v>1652</v>
      </c>
      <c r="H51" s="811" t="s">
        <v>1653</v>
      </c>
      <c r="I51" s="811" t="s">
        <v>1654</v>
      </c>
      <c r="J51" s="813">
        <v>2000000000</v>
      </c>
      <c r="K51" s="811" t="s">
        <v>1655</v>
      </c>
      <c r="L51" s="811" t="s">
        <v>1212</v>
      </c>
      <c r="M51" s="811" t="s">
        <v>1635</v>
      </c>
      <c r="N51" s="811" t="s">
        <v>1635</v>
      </c>
      <c r="O51" s="811" t="s">
        <v>1729</v>
      </c>
      <c r="P51" s="811" t="s">
        <v>1657</v>
      </c>
      <c r="Q51" s="811" t="s">
        <v>1664</v>
      </c>
    </row>
    <row r="52" spans="1:17" x14ac:dyDescent="0.25">
      <c r="A52" s="811" t="s">
        <v>1737</v>
      </c>
      <c r="B52" s="811" t="s">
        <v>1738</v>
      </c>
      <c r="C52" s="812">
        <v>200000000</v>
      </c>
      <c r="D52" s="811" t="s">
        <v>1469</v>
      </c>
      <c r="E52" s="811" t="s">
        <v>1469</v>
      </c>
      <c r="F52" s="811" t="s">
        <v>1739</v>
      </c>
      <c r="G52" s="811" t="s">
        <v>1652</v>
      </c>
      <c r="H52" s="811" t="s">
        <v>1740</v>
      </c>
      <c r="I52" s="811" t="s">
        <v>1654</v>
      </c>
      <c r="J52" s="813">
        <v>200000000</v>
      </c>
      <c r="K52" s="811" t="s">
        <v>1655</v>
      </c>
      <c r="L52" s="811" t="s">
        <v>1212</v>
      </c>
      <c r="M52" s="811" t="s">
        <v>1635</v>
      </c>
      <c r="N52" s="811" t="s">
        <v>1635</v>
      </c>
      <c r="O52" s="811" t="s">
        <v>1729</v>
      </c>
      <c r="P52" s="811" t="s">
        <v>1657</v>
      </c>
      <c r="Q52" s="811" t="s">
        <v>1664</v>
      </c>
    </row>
    <row r="53" spans="1:17" x14ac:dyDescent="0.25">
      <c r="A53" s="811" t="s">
        <v>1741</v>
      </c>
      <c r="B53" s="811" t="s">
        <v>1742</v>
      </c>
      <c r="C53" s="812">
        <v>300000000</v>
      </c>
      <c r="D53" s="811" t="s">
        <v>1446</v>
      </c>
      <c r="E53" s="811" t="s">
        <v>1453</v>
      </c>
      <c r="F53" s="811" t="s">
        <v>1651</v>
      </c>
      <c r="G53" s="811" t="s">
        <v>1652</v>
      </c>
      <c r="H53" s="811" t="s">
        <v>1653</v>
      </c>
      <c r="I53" s="811" t="s">
        <v>1654</v>
      </c>
      <c r="J53" s="813">
        <v>300000000</v>
      </c>
      <c r="K53" s="811" t="s">
        <v>1655</v>
      </c>
      <c r="L53" s="811" t="s">
        <v>1212</v>
      </c>
      <c r="M53" s="811" t="s">
        <v>1635</v>
      </c>
      <c r="N53" s="811" t="s">
        <v>1635</v>
      </c>
      <c r="O53" s="811" t="s">
        <v>1729</v>
      </c>
      <c r="P53" s="811" t="s">
        <v>1657</v>
      </c>
      <c r="Q53" s="811" t="s">
        <v>1664</v>
      </c>
    </row>
    <row r="54" spans="1:17" x14ac:dyDescent="0.25">
      <c r="A54" s="811" t="s">
        <v>1743</v>
      </c>
      <c r="B54" s="811" t="s">
        <v>1744</v>
      </c>
      <c r="C54" s="812">
        <v>200000000</v>
      </c>
      <c r="D54" s="811" t="s">
        <v>1454</v>
      </c>
      <c r="E54" s="811" t="s">
        <v>1454</v>
      </c>
      <c r="F54" s="811" t="s">
        <v>1716</v>
      </c>
      <c r="G54" s="811" t="s">
        <v>1652</v>
      </c>
      <c r="H54" s="811" t="s">
        <v>1728</v>
      </c>
      <c r="I54" s="811" t="s">
        <v>1654</v>
      </c>
      <c r="J54" s="813">
        <v>200000000</v>
      </c>
      <c r="K54" s="811" t="s">
        <v>1655</v>
      </c>
      <c r="L54" s="811" t="s">
        <v>1212</v>
      </c>
      <c r="M54" s="811" t="s">
        <v>1635</v>
      </c>
      <c r="N54" s="811" t="s">
        <v>1635</v>
      </c>
      <c r="O54" s="811" t="s">
        <v>1729</v>
      </c>
      <c r="P54" s="811" t="s">
        <v>1657</v>
      </c>
      <c r="Q54" s="811" t="s">
        <v>1664</v>
      </c>
    </row>
    <row r="55" spans="1:17" x14ac:dyDescent="0.25">
      <c r="A55" s="811" t="s">
        <v>1745</v>
      </c>
      <c r="B55" s="811" t="s">
        <v>1746</v>
      </c>
      <c r="C55" s="812">
        <v>100000000</v>
      </c>
      <c r="D55" s="811" t="s">
        <v>1454</v>
      </c>
      <c r="E55" s="811" t="s">
        <v>1469</v>
      </c>
      <c r="F55" s="811" t="s">
        <v>1739</v>
      </c>
      <c r="G55" s="811" t="s">
        <v>1652</v>
      </c>
      <c r="H55" s="811" t="s">
        <v>1653</v>
      </c>
      <c r="I55" s="811" t="s">
        <v>1654</v>
      </c>
      <c r="J55" s="813">
        <v>100000000</v>
      </c>
      <c r="K55" s="811" t="s">
        <v>1655</v>
      </c>
      <c r="L55" s="811" t="s">
        <v>1212</v>
      </c>
      <c r="M55" s="811" t="s">
        <v>1635</v>
      </c>
      <c r="N55" s="811" t="s">
        <v>1635</v>
      </c>
      <c r="O55" s="811" t="s">
        <v>1729</v>
      </c>
      <c r="P55" s="811" t="s">
        <v>1657</v>
      </c>
      <c r="Q55" s="811" t="s">
        <v>1664</v>
      </c>
    </row>
    <row r="56" spans="1:17" x14ac:dyDescent="0.25">
      <c r="A56" s="811" t="s">
        <v>1649</v>
      </c>
      <c r="B56" s="811" t="s">
        <v>1747</v>
      </c>
      <c r="C56" s="812">
        <v>42400000</v>
      </c>
      <c r="D56" s="811" t="s">
        <v>1542</v>
      </c>
      <c r="E56" s="811" t="s">
        <v>1542</v>
      </c>
      <c r="F56" s="811" t="s">
        <v>1651</v>
      </c>
      <c r="G56" s="811" t="s">
        <v>1652</v>
      </c>
      <c r="H56" s="811" t="s">
        <v>1653</v>
      </c>
      <c r="I56" s="811" t="s">
        <v>1654</v>
      </c>
      <c r="J56" s="813">
        <v>42400000</v>
      </c>
      <c r="K56" s="811" t="s">
        <v>1655</v>
      </c>
      <c r="L56" s="811" t="s">
        <v>1212</v>
      </c>
      <c r="M56" s="811" t="s">
        <v>1635</v>
      </c>
      <c r="N56" s="811" t="s">
        <v>1635</v>
      </c>
      <c r="O56" s="811" t="s">
        <v>1686</v>
      </c>
      <c r="P56" s="811" t="s">
        <v>1657</v>
      </c>
      <c r="Q56" s="811" t="s">
        <v>1658</v>
      </c>
    </row>
    <row r="57" spans="1:17" x14ac:dyDescent="0.25">
      <c r="A57" s="811" t="s">
        <v>1649</v>
      </c>
      <c r="B57" s="811" t="s">
        <v>1748</v>
      </c>
      <c r="C57" s="812">
        <v>34100000</v>
      </c>
      <c r="D57" s="811" t="s">
        <v>1542</v>
      </c>
      <c r="E57" s="811" t="s">
        <v>1542</v>
      </c>
      <c r="F57" s="811" t="s">
        <v>1651</v>
      </c>
      <c r="G57" s="811" t="s">
        <v>1652</v>
      </c>
      <c r="H57" s="811" t="s">
        <v>1653</v>
      </c>
      <c r="I57" s="811" t="s">
        <v>1654</v>
      </c>
      <c r="J57" s="813">
        <v>34100000</v>
      </c>
      <c r="K57" s="811" t="s">
        <v>1655</v>
      </c>
      <c r="L57" s="811" t="s">
        <v>1212</v>
      </c>
      <c r="M57" s="811" t="s">
        <v>1635</v>
      </c>
      <c r="N57" s="811" t="s">
        <v>1635</v>
      </c>
      <c r="O57" s="811" t="s">
        <v>1686</v>
      </c>
      <c r="P57" s="811" t="s">
        <v>1657</v>
      </c>
      <c r="Q57" s="811" t="s">
        <v>1658</v>
      </c>
    </row>
    <row r="58" spans="1:17" x14ac:dyDescent="0.25">
      <c r="A58" s="811" t="s">
        <v>1649</v>
      </c>
      <c r="B58" s="811" t="s">
        <v>1749</v>
      </c>
      <c r="C58" s="812">
        <v>33000000</v>
      </c>
      <c r="D58" s="811" t="s">
        <v>1542</v>
      </c>
      <c r="E58" s="811" t="s">
        <v>1542</v>
      </c>
      <c r="F58" s="811" t="s">
        <v>1651</v>
      </c>
      <c r="G58" s="811" t="s">
        <v>1652</v>
      </c>
      <c r="H58" s="811" t="s">
        <v>1653</v>
      </c>
      <c r="I58" s="811" t="s">
        <v>1654</v>
      </c>
      <c r="J58" s="813">
        <v>33000000</v>
      </c>
      <c r="K58" s="811" t="s">
        <v>1655</v>
      </c>
      <c r="L58" s="811" t="s">
        <v>1212</v>
      </c>
      <c r="M58" s="811" t="s">
        <v>1635</v>
      </c>
      <c r="N58" s="811" t="s">
        <v>1635</v>
      </c>
      <c r="O58" s="811" t="s">
        <v>1686</v>
      </c>
      <c r="P58" s="811" t="s">
        <v>1657</v>
      </c>
      <c r="Q58" s="811" t="s">
        <v>1658</v>
      </c>
    </row>
    <row r="59" spans="1:17" x14ac:dyDescent="0.25">
      <c r="A59" s="811" t="s">
        <v>1649</v>
      </c>
      <c r="B59" s="811" t="s">
        <v>1750</v>
      </c>
      <c r="C59" s="812">
        <v>44000000</v>
      </c>
      <c r="D59" s="811" t="s">
        <v>1446</v>
      </c>
      <c r="E59" s="811" t="s">
        <v>1446</v>
      </c>
      <c r="F59" s="811" t="s">
        <v>1689</v>
      </c>
      <c r="G59" s="811" t="s">
        <v>1652</v>
      </c>
      <c r="H59" s="811" t="s">
        <v>1653</v>
      </c>
      <c r="I59" s="811" t="s">
        <v>1654</v>
      </c>
      <c r="J59" s="813">
        <v>44000000</v>
      </c>
      <c r="K59" s="811" t="s">
        <v>1655</v>
      </c>
      <c r="L59" s="811" t="s">
        <v>1212</v>
      </c>
      <c r="M59" s="811" t="s">
        <v>1635</v>
      </c>
      <c r="N59" s="811" t="s">
        <v>1635</v>
      </c>
      <c r="O59" s="811" t="s">
        <v>1686</v>
      </c>
      <c r="P59" s="811" t="s">
        <v>1657</v>
      </c>
      <c r="Q59" s="811" t="s">
        <v>1658</v>
      </c>
    </row>
    <row r="60" spans="1:17" x14ac:dyDescent="0.25">
      <c r="A60" s="811" t="s">
        <v>1649</v>
      </c>
      <c r="B60" s="811" t="s">
        <v>1751</v>
      </c>
      <c r="C60" s="812">
        <v>56000000</v>
      </c>
      <c r="D60" s="811" t="s">
        <v>1446</v>
      </c>
      <c r="E60" s="811" t="s">
        <v>1446</v>
      </c>
      <c r="F60" s="811" t="s">
        <v>1698</v>
      </c>
      <c r="G60" s="811" t="s">
        <v>1652</v>
      </c>
      <c r="H60" s="811" t="s">
        <v>1653</v>
      </c>
      <c r="I60" s="811" t="s">
        <v>1654</v>
      </c>
      <c r="J60" s="813">
        <v>56000000</v>
      </c>
      <c r="K60" s="811" t="s">
        <v>1655</v>
      </c>
      <c r="L60" s="811" t="s">
        <v>1212</v>
      </c>
      <c r="M60" s="811" t="s">
        <v>1635</v>
      </c>
      <c r="N60" s="811" t="s">
        <v>1635</v>
      </c>
      <c r="O60" s="811" t="s">
        <v>1686</v>
      </c>
      <c r="P60" s="811" t="s">
        <v>1657</v>
      </c>
      <c r="Q60" s="811" t="s">
        <v>1658</v>
      </c>
    </row>
    <row r="61" spans="1:17" x14ac:dyDescent="0.25">
      <c r="A61" s="811" t="s">
        <v>1649</v>
      </c>
      <c r="B61" s="811" t="s">
        <v>1752</v>
      </c>
      <c r="C61" s="812">
        <v>50150000</v>
      </c>
      <c r="D61" s="811" t="s">
        <v>1542</v>
      </c>
      <c r="E61" s="811" t="s">
        <v>1542</v>
      </c>
      <c r="F61" s="811" t="s">
        <v>1651</v>
      </c>
      <c r="G61" s="811" t="s">
        <v>1652</v>
      </c>
      <c r="H61" s="811" t="s">
        <v>1653</v>
      </c>
      <c r="I61" s="811" t="s">
        <v>1654</v>
      </c>
      <c r="J61" s="813">
        <v>50150000</v>
      </c>
      <c r="K61" s="811" t="s">
        <v>1655</v>
      </c>
      <c r="L61" s="811" t="s">
        <v>1212</v>
      </c>
      <c r="M61" s="811" t="s">
        <v>1635</v>
      </c>
      <c r="N61" s="811" t="s">
        <v>1635</v>
      </c>
      <c r="O61" s="811" t="s">
        <v>1686</v>
      </c>
      <c r="P61" s="811" t="s">
        <v>1657</v>
      </c>
      <c r="Q61" s="811" t="s">
        <v>1658</v>
      </c>
    </row>
    <row r="62" spans="1:17" x14ac:dyDescent="0.25">
      <c r="A62" s="811" t="s">
        <v>1649</v>
      </c>
      <c r="B62" s="811" t="s">
        <v>1753</v>
      </c>
      <c r="C62" s="812">
        <v>32000000</v>
      </c>
      <c r="D62" s="811" t="s">
        <v>1542</v>
      </c>
      <c r="E62" s="811" t="s">
        <v>1542</v>
      </c>
      <c r="F62" s="811" t="s">
        <v>1651</v>
      </c>
      <c r="G62" s="811" t="s">
        <v>1652</v>
      </c>
      <c r="H62" s="811" t="s">
        <v>1653</v>
      </c>
      <c r="I62" s="811" t="s">
        <v>1654</v>
      </c>
      <c r="J62" s="813">
        <v>32000000</v>
      </c>
      <c r="K62" s="811" t="s">
        <v>1655</v>
      </c>
      <c r="L62" s="811" t="s">
        <v>1212</v>
      </c>
      <c r="M62" s="811" t="s">
        <v>1635</v>
      </c>
      <c r="N62" s="811" t="s">
        <v>1635</v>
      </c>
      <c r="O62" s="811" t="s">
        <v>1686</v>
      </c>
      <c r="P62" s="811" t="s">
        <v>1657</v>
      </c>
      <c r="Q62" s="811" t="s">
        <v>1658</v>
      </c>
    </row>
    <row r="63" spans="1:17" x14ac:dyDescent="0.25">
      <c r="A63" s="811" t="s">
        <v>1649</v>
      </c>
      <c r="B63" s="811" t="s">
        <v>1754</v>
      </c>
      <c r="C63" s="812">
        <v>69600000</v>
      </c>
      <c r="D63" s="811" t="s">
        <v>1445</v>
      </c>
      <c r="E63" s="811" t="s">
        <v>1445</v>
      </c>
      <c r="F63" s="811" t="s">
        <v>1651</v>
      </c>
      <c r="G63" s="811" t="s">
        <v>1652</v>
      </c>
      <c r="H63" s="811" t="s">
        <v>1653</v>
      </c>
      <c r="I63" s="811" t="s">
        <v>1654</v>
      </c>
      <c r="J63" s="813">
        <v>69600000</v>
      </c>
      <c r="K63" s="811" t="s">
        <v>1655</v>
      </c>
      <c r="L63" s="811" t="s">
        <v>1212</v>
      </c>
      <c r="M63" s="811" t="s">
        <v>1635</v>
      </c>
      <c r="N63" s="811" t="s">
        <v>1635</v>
      </c>
      <c r="O63" s="811" t="s">
        <v>1729</v>
      </c>
      <c r="P63" s="811" t="s">
        <v>1657</v>
      </c>
      <c r="Q63" s="811" t="s">
        <v>1664</v>
      </c>
    </row>
    <row r="64" spans="1:17" x14ac:dyDescent="0.25">
      <c r="A64" s="811" t="s">
        <v>1649</v>
      </c>
      <c r="B64" s="811" t="s">
        <v>1755</v>
      </c>
      <c r="C64" s="812">
        <v>64000000</v>
      </c>
      <c r="D64" s="811" t="s">
        <v>1445</v>
      </c>
      <c r="E64" s="811" t="s">
        <v>1445</v>
      </c>
      <c r="F64" s="811" t="s">
        <v>1651</v>
      </c>
      <c r="G64" s="811" t="s">
        <v>1652</v>
      </c>
      <c r="H64" s="811" t="s">
        <v>1653</v>
      </c>
      <c r="I64" s="811" t="s">
        <v>1654</v>
      </c>
      <c r="J64" s="813">
        <v>64000000</v>
      </c>
      <c r="K64" s="811" t="s">
        <v>1655</v>
      </c>
      <c r="L64" s="811" t="s">
        <v>1212</v>
      </c>
      <c r="M64" s="811" t="s">
        <v>1635</v>
      </c>
      <c r="N64" s="811" t="s">
        <v>1635</v>
      </c>
      <c r="O64" s="811" t="s">
        <v>1729</v>
      </c>
      <c r="P64" s="811" t="s">
        <v>1657</v>
      </c>
      <c r="Q64" s="811" t="s">
        <v>1664</v>
      </c>
    </row>
    <row r="65" spans="1:17" x14ac:dyDescent="0.25">
      <c r="A65" s="811" t="s">
        <v>1649</v>
      </c>
      <c r="B65" s="811" t="s">
        <v>1756</v>
      </c>
      <c r="C65" s="812">
        <v>46400000</v>
      </c>
      <c r="D65" s="811" t="s">
        <v>1445</v>
      </c>
      <c r="E65" s="811" t="s">
        <v>1445</v>
      </c>
      <c r="F65" s="811" t="s">
        <v>1651</v>
      </c>
      <c r="G65" s="811" t="s">
        <v>1652</v>
      </c>
      <c r="H65" s="811" t="s">
        <v>1653</v>
      </c>
      <c r="I65" s="811" t="s">
        <v>1654</v>
      </c>
      <c r="J65" s="813">
        <v>46400000</v>
      </c>
      <c r="K65" s="811" t="s">
        <v>1655</v>
      </c>
      <c r="L65" s="811" t="s">
        <v>1212</v>
      </c>
      <c r="M65" s="811" t="s">
        <v>1635</v>
      </c>
      <c r="N65" s="811" t="s">
        <v>1635</v>
      </c>
      <c r="O65" s="811" t="s">
        <v>1729</v>
      </c>
      <c r="P65" s="811" t="s">
        <v>1657</v>
      </c>
      <c r="Q65" s="811" t="s">
        <v>1664</v>
      </c>
    </row>
    <row r="66" spans="1:17" x14ac:dyDescent="0.25">
      <c r="A66" s="811" t="s">
        <v>1649</v>
      </c>
      <c r="B66" s="811" t="s">
        <v>1757</v>
      </c>
      <c r="C66" s="812">
        <v>64000000</v>
      </c>
      <c r="D66" s="811" t="s">
        <v>1445</v>
      </c>
      <c r="E66" s="811" t="s">
        <v>1445</v>
      </c>
      <c r="F66" s="811" t="s">
        <v>1651</v>
      </c>
      <c r="G66" s="811" t="s">
        <v>1652</v>
      </c>
      <c r="H66" s="811" t="s">
        <v>1653</v>
      </c>
      <c r="I66" s="811" t="s">
        <v>1654</v>
      </c>
      <c r="J66" s="813">
        <v>64000000</v>
      </c>
      <c r="K66" s="811" t="s">
        <v>1655</v>
      </c>
      <c r="L66" s="811" t="s">
        <v>1212</v>
      </c>
      <c r="M66" s="811" t="s">
        <v>1635</v>
      </c>
      <c r="N66" s="811" t="s">
        <v>1635</v>
      </c>
      <c r="O66" s="811" t="s">
        <v>1729</v>
      </c>
      <c r="P66" s="811" t="s">
        <v>1657</v>
      </c>
      <c r="Q66" s="811" t="s">
        <v>1664</v>
      </c>
    </row>
    <row r="67" spans="1:17" x14ac:dyDescent="0.25">
      <c r="A67" s="811" t="s">
        <v>1649</v>
      </c>
      <c r="B67" s="811" t="s">
        <v>1758</v>
      </c>
      <c r="C67" s="812">
        <v>44000000</v>
      </c>
      <c r="D67" s="811" t="s">
        <v>1449</v>
      </c>
      <c r="E67" s="811" t="s">
        <v>1449</v>
      </c>
      <c r="F67" s="811" t="s">
        <v>1689</v>
      </c>
      <c r="G67" s="811" t="s">
        <v>1652</v>
      </c>
      <c r="H67" s="811" t="s">
        <v>1653</v>
      </c>
      <c r="I67" s="811" t="s">
        <v>1654</v>
      </c>
      <c r="J67" s="813">
        <v>44000000</v>
      </c>
      <c r="K67" s="811" t="s">
        <v>1655</v>
      </c>
      <c r="L67" s="811" t="s">
        <v>1212</v>
      </c>
      <c r="M67" s="811" t="s">
        <v>1635</v>
      </c>
      <c r="N67" s="811" t="s">
        <v>1635</v>
      </c>
      <c r="O67" s="811" t="s">
        <v>1759</v>
      </c>
      <c r="P67" s="811" t="s">
        <v>1760</v>
      </c>
      <c r="Q67" s="811" t="s">
        <v>1658</v>
      </c>
    </row>
    <row r="68" spans="1:17" x14ac:dyDescent="0.25">
      <c r="A68" s="811" t="s">
        <v>1649</v>
      </c>
      <c r="B68" s="811" t="s">
        <v>1761</v>
      </c>
      <c r="C68" s="812">
        <v>39600000</v>
      </c>
      <c r="D68" s="811" t="s">
        <v>1449</v>
      </c>
      <c r="E68" s="811" t="s">
        <v>1449</v>
      </c>
      <c r="F68" s="811" t="s">
        <v>1689</v>
      </c>
      <c r="G68" s="811" t="s">
        <v>1652</v>
      </c>
      <c r="H68" s="811" t="s">
        <v>1653</v>
      </c>
      <c r="I68" s="811" t="s">
        <v>1654</v>
      </c>
      <c r="J68" s="813">
        <v>39600000</v>
      </c>
      <c r="K68" s="811" t="s">
        <v>1655</v>
      </c>
      <c r="L68" s="811" t="s">
        <v>1212</v>
      </c>
      <c r="M68" s="811" t="s">
        <v>1635</v>
      </c>
      <c r="N68" s="811" t="s">
        <v>1635</v>
      </c>
      <c r="O68" s="811" t="s">
        <v>1759</v>
      </c>
      <c r="P68" s="811" t="s">
        <v>1760</v>
      </c>
      <c r="Q68" s="811" t="s">
        <v>1658</v>
      </c>
    </row>
    <row r="69" spans="1:17" x14ac:dyDescent="0.25">
      <c r="A69" s="811" t="s">
        <v>1649</v>
      </c>
      <c r="B69" s="811" t="s">
        <v>1762</v>
      </c>
      <c r="C69" s="812">
        <v>58300000</v>
      </c>
      <c r="D69" s="811" t="s">
        <v>1449</v>
      </c>
      <c r="E69" s="811" t="s">
        <v>1449</v>
      </c>
      <c r="F69" s="811" t="s">
        <v>1689</v>
      </c>
      <c r="G69" s="811" t="s">
        <v>1652</v>
      </c>
      <c r="H69" s="811" t="s">
        <v>1653</v>
      </c>
      <c r="I69" s="811" t="s">
        <v>1654</v>
      </c>
      <c r="J69" s="813">
        <v>58300000</v>
      </c>
      <c r="K69" s="811" t="s">
        <v>1655</v>
      </c>
      <c r="L69" s="811" t="s">
        <v>1212</v>
      </c>
      <c r="M69" s="811" t="s">
        <v>1635</v>
      </c>
      <c r="N69" s="811" t="s">
        <v>1635</v>
      </c>
      <c r="O69" s="811" t="s">
        <v>1759</v>
      </c>
      <c r="P69" s="811" t="s">
        <v>1760</v>
      </c>
      <c r="Q69" s="811" t="s">
        <v>1658</v>
      </c>
    </row>
    <row r="70" spans="1:17" x14ac:dyDescent="0.25">
      <c r="A70" s="811" t="s">
        <v>1649</v>
      </c>
      <c r="B70" s="811" t="s">
        <v>1763</v>
      </c>
      <c r="C70" s="812">
        <v>20800000</v>
      </c>
      <c r="D70" s="811" t="s">
        <v>1542</v>
      </c>
      <c r="E70" s="811" t="s">
        <v>1542</v>
      </c>
      <c r="F70" s="811" t="s">
        <v>1651</v>
      </c>
      <c r="G70" s="811" t="s">
        <v>1652</v>
      </c>
      <c r="H70" s="811" t="s">
        <v>1653</v>
      </c>
      <c r="I70" s="811" t="s">
        <v>1654</v>
      </c>
      <c r="J70" s="813">
        <v>20800000</v>
      </c>
      <c r="K70" s="811" t="s">
        <v>1655</v>
      </c>
      <c r="L70" s="811" t="s">
        <v>1212</v>
      </c>
      <c r="M70" s="811" t="s">
        <v>1635</v>
      </c>
      <c r="N70" s="811" t="s">
        <v>1635</v>
      </c>
      <c r="O70" s="811" t="s">
        <v>1656</v>
      </c>
      <c r="P70" s="811" t="s">
        <v>1657</v>
      </c>
      <c r="Q70" s="811" t="s">
        <v>1658</v>
      </c>
    </row>
    <row r="71" spans="1:17" x14ac:dyDescent="0.25">
      <c r="A71" s="811" t="s">
        <v>1649</v>
      </c>
      <c r="B71" s="811" t="s">
        <v>1764</v>
      </c>
      <c r="C71" s="812">
        <v>20800000</v>
      </c>
      <c r="D71" s="811" t="s">
        <v>1542</v>
      </c>
      <c r="E71" s="811" t="s">
        <v>1542</v>
      </c>
      <c r="F71" s="811" t="s">
        <v>1651</v>
      </c>
      <c r="G71" s="811" t="s">
        <v>1652</v>
      </c>
      <c r="H71" s="811" t="s">
        <v>1653</v>
      </c>
      <c r="I71" s="811" t="s">
        <v>1654</v>
      </c>
      <c r="J71" s="813">
        <v>20800000</v>
      </c>
      <c r="K71" s="811" t="s">
        <v>1655</v>
      </c>
      <c r="L71" s="811" t="s">
        <v>1212</v>
      </c>
      <c r="M71" s="811" t="s">
        <v>1635</v>
      </c>
      <c r="N71" s="811" t="s">
        <v>1635</v>
      </c>
      <c r="O71" s="811" t="s">
        <v>1656</v>
      </c>
      <c r="P71" s="811" t="s">
        <v>1657</v>
      </c>
      <c r="Q71" s="811" t="s">
        <v>1658</v>
      </c>
    </row>
    <row r="72" spans="1:17" x14ac:dyDescent="0.25">
      <c r="A72" s="811" t="s">
        <v>1649</v>
      </c>
      <c r="B72" s="811" t="s">
        <v>1765</v>
      </c>
      <c r="C72" s="812">
        <v>20800000</v>
      </c>
      <c r="D72" s="811" t="s">
        <v>1542</v>
      </c>
      <c r="E72" s="811" t="s">
        <v>1542</v>
      </c>
      <c r="F72" s="811" t="s">
        <v>1651</v>
      </c>
      <c r="G72" s="811" t="s">
        <v>1652</v>
      </c>
      <c r="H72" s="811" t="s">
        <v>1653</v>
      </c>
      <c r="I72" s="811" t="s">
        <v>1654</v>
      </c>
      <c r="J72" s="813">
        <v>20800000</v>
      </c>
      <c r="K72" s="811" t="s">
        <v>1655</v>
      </c>
      <c r="L72" s="811" t="s">
        <v>1212</v>
      </c>
      <c r="M72" s="811" t="s">
        <v>1635</v>
      </c>
      <c r="N72" s="811" t="s">
        <v>1635</v>
      </c>
      <c r="O72" s="811" t="s">
        <v>1656</v>
      </c>
      <c r="P72" s="811" t="s">
        <v>1657</v>
      </c>
      <c r="Q72" s="811" t="s">
        <v>1658</v>
      </c>
    </row>
    <row r="73" spans="1:17" x14ac:dyDescent="0.25">
      <c r="A73" s="811" t="s">
        <v>1649</v>
      </c>
      <c r="B73" s="811" t="s">
        <v>1766</v>
      </c>
      <c r="C73" s="812">
        <v>20800000</v>
      </c>
      <c r="D73" s="811" t="s">
        <v>1542</v>
      </c>
      <c r="E73" s="811" t="s">
        <v>1542</v>
      </c>
      <c r="F73" s="811" t="s">
        <v>1651</v>
      </c>
      <c r="G73" s="811" t="s">
        <v>1652</v>
      </c>
      <c r="H73" s="811" t="s">
        <v>1653</v>
      </c>
      <c r="I73" s="811" t="s">
        <v>1654</v>
      </c>
      <c r="J73" s="813">
        <v>20800000</v>
      </c>
      <c r="K73" s="811" t="s">
        <v>1655</v>
      </c>
      <c r="L73" s="811" t="s">
        <v>1212</v>
      </c>
      <c r="M73" s="811" t="s">
        <v>1635</v>
      </c>
      <c r="N73" s="811" t="s">
        <v>1635</v>
      </c>
      <c r="O73" s="811" t="s">
        <v>1656</v>
      </c>
      <c r="P73" s="811" t="s">
        <v>1657</v>
      </c>
      <c r="Q73" s="811" t="s">
        <v>1658</v>
      </c>
    </row>
    <row r="74" spans="1:17" x14ac:dyDescent="0.25">
      <c r="A74" s="811" t="s">
        <v>1649</v>
      </c>
      <c r="B74" s="811" t="s">
        <v>1767</v>
      </c>
      <c r="C74" s="812">
        <v>84000000</v>
      </c>
      <c r="D74" s="811" t="s">
        <v>1440</v>
      </c>
      <c r="E74" s="811" t="s">
        <v>1440</v>
      </c>
      <c r="F74" s="811" t="s">
        <v>1768</v>
      </c>
      <c r="G74" s="811" t="s">
        <v>1652</v>
      </c>
      <c r="H74" s="811" t="s">
        <v>1653</v>
      </c>
      <c r="I74" s="811" t="s">
        <v>1654</v>
      </c>
      <c r="J74" s="813">
        <v>84000000</v>
      </c>
      <c r="K74" s="811" t="s">
        <v>1655</v>
      </c>
      <c r="L74" s="811" t="s">
        <v>1212</v>
      </c>
      <c r="M74" s="811" t="s">
        <v>1635</v>
      </c>
      <c r="N74" s="811" t="s">
        <v>1635</v>
      </c>
      <c r="O74" s="811" t="s">
        <v>1769</v>
      </c>
      <c r="P74" s="811" t="s">
        <v>1657</v>
      </c>
      <c r="Q74" s="811" t="s">
        <v>1705</v>
      </c>
    </row>
    <row r="75" spans="1:17" x14ac:dyDescent="0.25">
      <c r="A75" s="811" t="s">
        <v>1649</v>
      </c>
      <c r="B75" s="811" t="s">
        <v>1770</v>
      </c>
      <c r="C75" s="812">
        <v>85250000</v>
      </c>
      <c r="D75" s="811" t="s">
        <v>1440</v>
      </c>
      <c r="E75" s="811" t="s">
        <v>1440</v>
      </c>
      <c r="F75" s="811" t="s">
        <v>1689</v>
      </c>
      <c r="G75" s="811" t="s">
        <v>1652</v>
      </c>
      <c r="H75" s="811" t="s">
        <v>1653</v>
      </c>
      <c r="I75" s="811" t="s">
        <v>1654</v>
      </c>
      <c r="J75" s="813">
        <v>85250000</v>
      </c>
      <c r="K75" s="811" t="s">
        <v>1655</v>
      </c>
      <c r="L75" s="811" t="s">
        <v>1212</v>
      </c>
      <c r="M75" s="811" t="s">
        <v>1635</v>
      </c>
      <c r="N75" s="811" t="s">
        <v>1635</v>
      </c>
      <c r="O75" s="811" t="s">
        <v>1681</v>
      </c>
      <c r="P75" s="811" t="s">
        <v>1657</v>
      </c>
      <c r="Q75" s="811" t="s">
        <v>1682</v>
      </c>
    </row>
    <row r="76" spans="1:17" x14ac:dyDescent="0.25">
      <c r="A76" s="811" t="s">
        <v>1649</v>
      </c>
      <c r="B76" s="811" t="s">
        <v>1771</v>
      </c>
      <c r="C76" s="812">
        <v>29700000</v>
      </c>
      <c r="D76" s="811" t="s">
        <v>1440</v>
      </c>
      <c r="E76" s="811" t="s">
        <v>1440</v>
      </c>
      <c r="F76" s="811" t="s">
        <v>1689</v>
      </c>
      <c r="G76" s="811" t="s">
        <v>1652</v>
      </c>
      <c r="H76" s="811" t="s">
        <v>1653</v>
      </c>
      <c r="I76" s="811" t="s">
        <v>1654</v>
      </c>
      <c r="J76" s="813">
        <v>29700000</v>
      </c>
      <c r="K76" s="811" t="s">
        <v>1655</v>
      </c>
      <c r="L76" s="811" t="s">
        <v>1212</v>
      </c>
      <c r="M76" s="811" t="s">
        <v>1635</v>
      </c>
      <c r="N76" s="811" t="s">
        <v>1635</v>
      </c>
      <c r="O76" s="811" t="s">
        <v>1681</v>
      </c>
      <c r="P76" s="811" t="s">
        <v>1657</v>
      </c>
      <c r="Q76" s="811" t="s">
        <v>1682</v>
      </c>
    </row>
    <row r="77" spans="1:17" x14ac:dyDescent="0.25">
      <c r="A77" s="811" t="s">
        <v>1649</v>
      </c>
      <c r="B77" s="811" t="s">
        <v>1772</v>
      </c>
      <c r="C77" s="812">
        <v>88000000</v>
      </c>
      <c r="D77" s="811" t="s">
        <v>1440</v>
      </c>
      <c r="E77" s="811" t="s">
        <v>1440</v>
      </c>
      <c r="F77" s="811" t="s">
        <v>1689</v>
      </c>
      <c r="G77" s="811" t="s">
        <v>1652</v>
      </c>
      <c r="H77" s="811" t="s">
        <v>1653</v>
      </c>
      <c r="I77" s="811" t="s">
        <v>1654</v>
      </c>
      <c r="J77" s="813">
        <v>88000000</v>
      </c>
      <c r="K77" s="811" t="s">
        <v>1655</v>
      </c>
      <c r="L77" s="811" t="s">
        <v>1212</v>
      </c>
      <c r="M77" s="811" t="s">
        <v>1635</v>
      </c>
      <c r="N77" s="811" t="s">
        <v>1635</v>
      </c>
      <c r="O77" s="811" t="s">
        <v>1681</v>
      </c>
      <c r="P77" s="811" t="s">
        <v>1657</v>
      </c>
      <c r="Q77" s="811" t="s">
        <v>1682</v>
      </c>
    </row>
    <row r="78" spans="1:17" x14ac:dyDescent="0.25">
      <c r="A78" s="811" t="s">
        <v>1649</v>
      </c>
      <c r="B78" s="811" t="s">
        <v>1771</v>
      </c>
      <c r="C78" s="812">
        <v>29700000</v>
      </c>
      <c r="D78" s="811" t="s">
        <v>1440</v>
      </c>
      <c r="E78" s="811" t="s">
        <v>1440</v>
      </c>
      <c r="F78" s="811" t="s">
        <v>1689</v>
      </c>
      <c r="G78" s="811" t="s">
        <v>1652</v>
      </c>
      <c r="H78" s="811" t="s">
        <v>1653</v>
      </c>
      <c r="I78" s="811" t="s">
        <v>1654</v>
      </c>
      <c r="J78" s="813">
        <v>29700000</v>
      </c>
      <c r="K78" s="811" t="s">
        <v>1655</v>
      </c>
      <c r="L78" s="811" t="s">
        <v>1212</v>
      </c>
      <c r="M78" s="811" t="s">
        <v>1635</v>
      </c>
      <c r="N78" s="811" t="s">
        <v>1635</v>
      </c>
      <c r="O78" s="811" t="s">
        <v>1681</v>
      </c>
      <c r="P78" s="811" t="s">
        <v>1657</v>
      </c>
      <c r="Q78" s="811" t="s">
        <v>1682</v>
      </c>
    </row>
    <row r="79" spans="1:17" x14ac:dyDescent="0.25">
      <c r="A79" s="811" t="s">
        <v>1649</v>
      </c>
      <c r="B79" s="811" t="s">
        <v>1691</v>
      </c>
      <c r="C79" s="812">
        <v>47736000</v>
      </c>
      <c r="D79" s="811" t="s">
        <v>1449</v>
      </c>
      <c r="E79" s="811" t="s">
        <v>1449</v>
      </c>
      <c r="F79" s="811" t="s">
        <v>1672</v>
      </c>
      <c r="G79" s="811" t="s">
        <v>1652</v>
      </c>
      <c r="H79" s="811" t="s">
        <v>1653</v>
      </c>
      <c r="I79" s="811" t="s">
        <v>1654</v>
      </c>
      <c r="J79" s="813">
        <v>47736000</v>
      </c>
      <c r="K79" s="811" t="s">
        <v>1655</v>
      </c>
      <c r="L79" s="811" t="s">
        <v>1212</v>
      </c>
      <c r="M79" s="811" t="s">
        <v>1635</v>
      </c>
      <c r="N79" s="811" t="s">
        <v>1635</v>
      </c>
      <c r="O79" s="811" t="s">
        <v>1759</v>
      </c>
      <c r="P79" s="811" t="s">
        <v>1760</v>
      </c>
      <c r="Q79" s="811" t="s">
        <v>1658</v>
      </c>
    </row>
    <row r="80" spans="1:17" x14ac:dyDescent="0.25">
      <c r="A80" s="811" t="s">
        <v>1649</v>
      </c>
      <c r="B80" s="811" t="s">
        <v>1773</v>
      </c>
      <c r="C80" s="812">
        <v>112560000</v>
      </c>
      <c r="D80" s="811" t="s">
        <v>1449</v>
      </c>
      <c r="E80" s="811" t="s">
        <v>1449</v>
      </c>
      <c r="F80" s="811" t="s">
        <v>1672</v>
      </c>
      <c r="G80" s="811" t="s">
        <v>1652</v>
      </c>
      <c r="H80" s="811" t="s">
        <v>1653</v>
      </c>
      <c r="I80" s="811" t="s">
        <v>1654</v>
      </c>
      <c r="J80" s="813">
        <v>112560000</v>
      </c>
      <c r="K80" s="811" t="s">
        <v>1655</v>
      </c>
      <c r="L80" s="811" t="s">
        <v>1212</v>
      </c>
      <c r="M80" s="811" t="s">
        <v>1635</v>
      </c>
      <c r="N80" s="811" t="s">
        <v>1635</v>
      </c>
      <c r="O80" s="811" t="s">
        <v>1759</v>
      </c>
      <c r="P80" s="811" t="s">
        <v>1760</v>
      </c>
      <c r="Q80" s="811" t="s">
        <v>1658</v>
      </c>
    </row>
    <row r="81" spans="1:17" x14ac:dyDescent="0.25">
      <c r="A81" s="811" t="s">
        <v>1649</v>
      </c>
      <c r="B81" s="811" t="s">
        <v>1691</v>
      </c>
      <c r="C81" s="812">
        <v>112604000</v>
      </c>
      <c r="D81" s="811" t="s">
        <v>1449</v>
      </c>
      <c r="E81" s="811" t="s">
        <v>1449</v>
      </c>
      <c r="F81" s="811" t="s">
        <v>1672</v>
      </c>
      <c r="G81" s="811" t="s">
        <v>1652</v>
      </c>
      <c r="H81" s="811" t="s">
        <v>1653</v>
      </c>
      <c r="I81" s="811" t="s">
        <v>1654</v>
      </c>
      <c r="J81" s="813">
        <v>112604000</v>
      </c>
      <c r="K81" s="811" t="s">
        <v>1655</v>
      </c>
      <c r="L81" s="811" t="s">
        <v>1212</v>
      </c>
      <c r="M81" s="811" t="s">
        <v>1635</v>
      </c>
      <c r="N81" s="811" t="s">
        <v>1635</v>
      </c>
      <c r="O81" s="811" t="s">
        <v>1759</v>
      </c>
      <c r="P81" s="811" t="s">
        <v>1760</v>
      </c>
      <c r="Q81" s="811" t="s">
        <v>1658</v>
      </c>
    </row>
    <row r="82" spans="1:17" x14ac:dyDescent="0.25">
      <c r="A82" s="811" t="s">
        <v>1649</v>
      </c>
      <c r="B82" s="811" t="s">
        <v>1774</v>
      </c>
      <c r="C82" s="812">
        <v>112604000</v>
      </c>
      <c r="D82" s="811" t="s">
        <v>1449</v>
      </c>
      <c r="E82" s="811" t="s">
        <v>1449</v>
      </c>
      <c r="F82" s="811" t="s">
        <v>1672</v>
      </c>
      <c r="G82" s="811" t="s">
        <v>1652</v>
      </c>
      <c r="H82" s="811" t="s">
        <v>1653</v>
      </c>
      <c r="I82" s="811" t="s">
        <v>1654</v>
      </c>
      <c r="J82" s="813">
        <v>112604000</v>
      </c>
      <c r="K82" s="811" t="s">
        <v>1655</v>
      </c>
      <c r="L82" s="811" t="s">
        <v>1212</v>
      </c>
      <c r="M82" s="811" t="s">
        <v>1635</v>
      </c>
      <c r="N82" s="811" t="s">
        <v>1635</v>
      </c>
      <c r="O82" s="811" t="s">
        <v>1759</v>
      </c>
      <c r="P82" s="811" t="s">
        <v>1760</v>
      </c>
      <c r="Q82" s="811" t="s">
        <v>1658</v>
      </c>
    </row>
    <row r="83" spans="1:17" x14ac:dyDescent="0.25">
      <c r="A83" s="811" t="s">
        <v>1649</v>
      </c>
      <c r="B83" s="811" t="s">
        <v>1775</v>
      </c>
      <c r="C83" s="812">
        <v>49608000</v>
      </c>
      <c r="D83" s="811" t="s">
        <v>1449</v>
      </c>
      <c r="E83" s="811" t="s">
        <v>1449</v>
      </c>
      <c r="F83" s="811" t="s">
        <v>1672</v>
      </c>
      <c r="G83" s="811" t="s">
        <v>1652</v>
      </c>
      <c r="H83" s="811" t="s">
        <v>1653</v>
      </c>
      <c r="I83" s="811" t="s">
        <v>1654</v>
      </c>
      <c r="J83" s="813">
        <v>49608000</v>
      </c>
      <c r="K83" s="811" t="s">
        <v>1655</v>
      </c>
      <c r="L83" s="811" t="s">
        <v>1212</v>
      </c>
      <c r="M83" s="811" t="s">
        <v>1635</v>
      </c>
      <c r="N83" s="811" t="s">
        <v>1635</v>
      </c>
      <c r="O83" s="811" t="s">
        <v>1759</v>
      </c>
      <c r="P83" s="811" t="s">
        <v>1760</v>
      </c>
      <c r="Q83" s="811" t="s">
        <v>1658</v>
      </c>
    </row>
    <row r="84" spans="1:17" x14ac:dyDescent="0.25">
      <c r="A84" s="811" t="s">
        <v>1670</v>
      </c>
      <c r="B84" s="811" t="s">
        <v>1776</v>
      </c>
      <c r="C84" s="812">
        <v>356000000</v>
      </c>
      <c r="D84" s="811" t="s">
        <v>1454</v>
      </c>
      <c r="E84" s="811" t="s">
        <v>1454</v>
      </c>
      <c r="F84" s="811" t="s">
        <v>1672</v>
      </c>
      <c r="G84" s="811" t="s">
        <v>1652</v>
      </c>
      <c r="H84" s="811" t="s">
        <v>1653</v>
      </c>
      <c r="I84" s="811" t="s">
        <v>1654</v>
      </c>
      <c r="J84" s="813">
        <v>356000000</v>
      </c>
      <c r="K84" s="811" t="s">
        <v>1655</v>
      </c>
      <c r="L84" s="811" t="s">
        <v>1212</v>
      </c>
      <c r="M84" s="811" t="s">
        <v>1635</v>
      </c>
      <c r="N84" s="811" t="s">
        <v>1635</v>
      </c>
      <c r="O84" s="811" t="s">
        <v>1777</v>
      </c>
      <c r="P84" s="811" t="s">
        <v>1657</v>
      </c>
      <c r="Q84" s="811" t="s">
        <v>1658</v>
      </c>
    </row>
    <row r="85" spans="1:17" x14ac:dyDescent="0.25">
      <c r="A85" s="811" t="s">
        <v>1670</v>
      </c>
      <c r="B85" s="811" t="s">
        <v>1778</v>
      </c>
      <c r="C85" s="812">
        <v>257000000</v>
      </c>
      <c r="D85" s="811" t="s">
        <v>1454</v>
      </c>
      <c r="E85" s="811" t="s">
        <v>1454</v>
      </c>
      <c r="F85" s="811" t="s">
        <v>1672</v>
      </c>
      <c r="G85" s="811" t="s">
        <v>1652</v>
      </c>
      <c r="H85" s="811" t="s">
        <v>1653</v>
      </c>
      <c r="I85" s="811" t="s">
        <v>1654</v>
      </c>
      <c r="J85" s="813">
        <v>257000000</v>
      </c>
      <c r="K85" s="811" t="s">
        <v>1655</v>
      </c>
      <c r="L85" s="811" t="s">
        <v>1212</v>
      </c>
      <c r="M85" s="811" t="s">
        <v>1635</v>
      </c>
      <c r="N85" s="811" t="s">
        <v>1635</v>
      </c>
      <c r="O85" s="811" t="s">
        <v>1656</v>
      </c>
      <c r="P85" s="811" t="s">
        <v>1657</v>
      </c>
      <c r="Q85" s="811" t="s">
        <v>1658</v>
      </c>
    </row>
    <row r="86" spans="1:17" x14ac:dyDescent="0.25">
      <c r="A86" s="811" t="s">
        <v>1670</v>
      </c>
      <c r="B86" s="811" t="s">
        <v>1779</v>
      </c>
      <c r="C86" s="812">
        <v>316000000</v>
      </c>
      <c r="D86" s="811" t="s">
        <v>1469</v>
      </c>
      <c r="E86" s="811" t="s">
        <v>1469</v>
      </c>
      <c r="F86" s="811" t="s">
        <v>1672</v>
      </c>
      <c r="G86" s="811" t="s">
        <v>1652</v>
      </c>
      <c r="H86" s="811" t="s">
        <v>1653</v>
      </c>
      <c r="I86" s="811" t="s">
        <v>1654</v>
      </c>
      <c r="J86" s="813">
        <v>316000000</v>
      </c>
      <c r="K86" s="811" t="s">
        <v>1655</v>
      </c>
      <c r="L86" s="811" t="s">
        <v>1212</v>
      </c>
      <c r="M86" s="811" t="s">
        <v>1635</v>
      </c>
      <c r="N86" s="811" t="s">
        <v>1635</v>
      </c>
      <c r="O86" s="811" t="s">
        <v>1656</v>
      </c>
      <c r="P86" s="811" t="s">
        <v>1657</v>
      </c>
      <c r="Q86" s="811" t="s">
        <v>1658</v>
      </c>
    </row>
    <row r="87" spans="1:17" x14ac:dyDescent="0.25">
      <c r="A87" s="811" t="s">
        <v>1670</v>
      </c>
      <c r="B87" s="811" t="s">
        <v>1780</v>
      </c>
      <c r="C87" s="812">
        <v>120000000</v>
      </c>
      <c r="D87" s="811" t="s">
        <v>1453</v>
      </c>
      <c r="E87" s="811" t="s">
        <v>1453</v>
      </c>
      <c r="F87" s="811" t="s">
        <v>1662</v>
      </c>
      <c r="G87" s="811" t="s">
        <v>1652</v>
      </c>
      <c r="H87" s="811" t="s">
        <v>1653</v>
      </c>
      <c r="I87" s="811" t="s">
        <v>1654</v>
      </c>
      <c r="J87" s="813">
        <v>120000000</v>
      </c>
      <c r="K87" s="811" t="s">
        <v>1655</v>
      </c>
      <c r="L87" s="811" t="s">
        <v>1212</v>
      </c>
      <c r="M87" s="811" t="s">
        <v>1635</v>
      </c>
      <c r="N87" s="811" t="s">
        <v>1635</v>
      </c>
      <c r="O87" s="811" t="s">
        <v>1656</v>
      </c>
      <c r="P87" s="811" t="s">
        <v>1657</v>
      </c>
      <c r="Q87" s="811" t="s">
        <v>1658</v>
      </c>
    </row>
    <row r="88" spans="1:17" x14ac:dyDescent="0.25">
      <c r="A88" s="811" t="s">
        <v>1670</v>
      </c>
      <c r="B88" s="811" t="s">
        <v>1781</v>
      </c>
      <c r="C88" s="812">
        <v>381000000</v>
      </c>
      <c r="D88" s="811" t="s">
        <v>1454</v>
      </c>
      <c r="E88" s="811" t="s">
        <v>1454</v>
      </c>
      <c r="F88" s="811" t="s">
        <v>1672</v>
      </c>
      <c r="G88" s="811" t="s">
        <v>1652</v>
      </c>
      <c r="H88" s="811" t="s">
        <v>1653</v>
      </c>
      <c r="I88" s="811" t="s">
        <v>1654</v>
      </c>
      <c r="J88" s="813">
        <v>381000000</v>
      </c>
      <c r="K88" s="811" t="s">
        <v>1655</v>
      </c>
      <c r="L88" s="811" t="s">
        <v>1212</v>
      </c>
      <c r="M88" s="811" t="s">
        <v>1635</v>
      </c>
      <c r="N88" s="811" t="s">
        <v>1635</v>
      </c>
      <c r="O88" s="811" t="s">
        <v>1656</v>
      </c>
      <c r="P88" s="811" t="s">
        <v>1657</v>
      </c>
      <c r="Q88" s="811" t="s">
        <v>1658</v>
      </c>
    </row>
    <row r="89" spans="1:17" x14ac:dyDescent="0.25">
      <c r="A89" s="811" t="s">
        <v>1782</v>
      </c>
      <c r="B89" s="811" t="s">
        <v>1783</v>
      </c>
      <c r="C89" s="812">
        <v>2500000000</v>
      </c>
      <c r="D89" s="811" t="s">
        <v>1458</v>
      </c>
      <c r="E89" s="811" t="s">
        <v>1458</v>
      </c>
      <c r="F89" s="811" t="s">
        <v>1662</v>
      </c>
      <c r="G89" s="811" t="s">
        <v>1652</v>
      </c>
      <c r="H89" s="811" t="s">
        <v>1784</v>
      </c>
      <c r="I89" s="811" t="s">
        <v>1654</v>
      </c>
      <c r="J89" s="813">
        <v>2500000000</v>
      </c>
      <c r="K89" s="811" t="s">
        <v>1655</v>
      </c>
      <c r="L89" s="811" t="s">
        <v>1212</v>
      </c>
      <c r="M89" s="811" t="s">
        <v>1635</v>
      </c>
      <c r="N89" s="811" t="s">
        <v>1635</v>
      </c>
      <c r="O89" s="811" t="s">
        <v>1656</v>
      </c>
      <c r="P89" s="811" t="s">
        <v>1657</v>
      </c>
      <c r="Q89" s="811" t="s">
        <v>1658</v>
      </c>
    </row>
    <row r="90" spans="1:17" x14ac:dyDescent="0.25">
      <c r="A90" s="811" t="s">
        <v>1785</v>
      </c>
      <c r="B90" s="811" t="s">
        <v>1786</v>
      </c>
      <c r="C90" s="812">
        <v>8500000000</v>
      </c>
      <c r="D90" s="811" t="s">
        <v>1458</v>
      </c>
      <c r="E90" s="811" t="s">
        <v>1458</v>
      </c>
      <c r="F90" s="811" t="s">
        <v>1662</v>
      </c>
      <c r="G90" s="811" t="s">
        <v>1652</v>
      </c>
      <c r="H90" s="811" t="s">
        <v>1784</v>
      </c>
      <c r="I90" s="811" t="s">
        <v>1654</v>
      </c>
      <c r="J90" s="813">
        <v>8500000000</v>
      </c>
      <c r="K90" s="811" t="s">
        <v>1655</v>
      </c>
      <c r="L90" s="811" t="s">
        <v>1212</v>
      </c>
      <c r="M90" s="811" t="s">
        <v>1635</v>
      </c>
      <c r="N90" s="811" t="s">
        <v>1635</v>
      </c>
      <c r="O90" s="811" t="s">
        <v>1656</v>
      </c>
      <c r="P90" s="811" t="s">
        <v>1657</v>
      </c>
      <c r="Q90" s="811" t="s">
        <v>1658</v>
      </c>
    </row>
    <row r="91" spans="1:17" x14ac:dyDescent="0.25">
      <c r="A91" s="811" t="s">
        <v>1787</v>
      </c>
      <c r="B91" s="811" t="s">
        <v>1788</v>
      </c>
      <c r="C91" s="812">
        <v>1500000000</v>
      </c>
      <c r="D91" s="811" t="s">
        <v>1469</v>
      </c>
      <c r="E91" s="811" t="s">
        <v>1469</v>
      </c>
      <c r="F91" s="811" t="s">
        <v>1718</v>
      </c>
      <c r="G91" s="811" t="s">
        <v>1652</v>
      </c>
      <c r="H91" s="811" t="s">
        <v>1784</v>
      </c>
      <c r="I91" s="811" t="s">
        <v>1654</v>
      </c>
      <c r="J91" s="813">
        <v>1500000000</v>
      </c>
      <c r="K91" s="811" t="s">
        <v>1655</v>
      </c>
      <c r="L91" s="811" t="s">
        <v>1212</v>
      </c>
      <c r="M91" s="811" t="s">
        <v>1635</v>
      </c>
      <c r="N91" s="811" t="s">
        <v>1635</v>
      </c>
      <c r="O91" s="811" t="s">
        <v>1656</v>
      </c>
      <c r="P91" s="811" t="s">
        <v>1657</v>
      </c>
      <c r="Q91" s="811" t="s">
        <v>1658</v>
      </c>
    </row>
    <row r="92" spans="1:17" x14ac:dyDescent="0.25">
      <c r="A92" s="811" t="s">
        <v>1785</v>
      </c>
      <c r="B92" s="811" t="s">
        <v>1789</v>
      </c>
      <c r="C92" s="812">
        <v>600000000</v>
      </c>
      <c r="D92" s="811" t="s">
        <v>1453</v>
      </c>
      <c r="E92" s="811" t="s">
        <v>1453</v>
      </c>
      <c r="F92" s="811" t="s">
        <v>1718</v>
      </c>
      <c r="G92" s="811" t="s">
        <v>1652</v>
      </c>
      <c r="H92" s="811" t="s">
        <v>1790</v>
      </c>
      <c r="I92" s="811" t="s">
        <v>1654</v>
      </c>
      <c r="J92" s="813">
        <v>600000000</v>
      </c>
      <c r="K92" s="811" t="s">
        <v>1655</v>
      </c>
      <c r="L92" s="811" t="s">
        <v>1212</v>
      </c>
      <c r="M92" s="811" t="s">
        <v>1635</v>
      </c>
      <c r="N92" s="811" t="s">
        <v>1635</v>
      </c>
      <c r="O92" s="811" t="s">
        <v>1656</v>
      </c>
      <c r="P92" s="811" t="s">
        <v>1657</v>
      </c>
      <c r="Q92" s="811" t="s">
        <v>1658</v>
      </c>
    </row>
    <row r="93" spans="1:17" x14ac:dyDescent="0.25">
      <c r="A93" s="811" t="s">
        <v>1649</v>
      </c>
      <c r="B93" s="811" t="s">
        <v>1791</v>
      </c>
      <c r="C93" s="812">
        <v>18000000</v>
      </c>
      <c r="D93" s="811" t="s">
        <v>1453</v>
      </c>
      <c r="E93" s="811" t="s">
        <v>1453</v>
      </c>
      <c r="F93" s="811" t="s">
        <v>1662</v>
      </c>
      <c r="G93" s="811" t="s">
        <v>1652</v>
      </c>
      <c r="H93" s="811" t="s">
        <v>1653</v>
      </c>
      <c r="I93" s="811" t="s">
        <v>1654</v>
      </c>
      <c r="J93" s="813">
        <v>18000000</v>
      </c>
      <c r="K93" s="811" t="s">
        <v>1655</v>
      </c>
      <c r="L93" s="811" t="s">
        <v>1212</v>
      </c>
      <c r="M93" s="811" t="s">
        <v>1635</v>
      </c>
      <c r="N93" s="811" t="s">
        <v>1635</v>
      </c>
      <c r="O93" s="811" t="s">
        <v>432</v>
      </c>
      <c r="P93" s="811" t="s">
        <v>1657</v>
      </c>
      <c r="Q93" s="811" t="s">
        <v>1664</v>
      </c>
    </row>
    <row r="94" spans="1:17" x14ac:dyDescent="0.25">
      <c r="A94" s="811" t="s">
        <v>1649</v>
      </c>
      <c r="B94" s="811" t="s">
        <v>1792</v>
      </c>
      <c r="C94" s="812">
        <v>20000000</v>
      </c>
      <c r="D94" s="811" t="s">
        <v>1446</v>
      </c>
      <c r="E94" s="811" t="s">
        <v>1446</v>
      </c>
      <c r="F94" s="811" t="s">
        <v>1662</v>
      </c>
      <c r="G94" s="811" t="s">
        <v>1652</v>
      </c>
      <c r="H94" s="811" t="s">
        <v>1653</v>
      </c>
      <c r="I94" s="811" t="s">
        <v>1654</v>
      </c>
      <c r="J94" s="813">
        <v>20000000</v>
      </c>
      <c r="K94" s="811" t="s">
        <v>1655</v>
      </c>
      <c r="L94" s="811" t="s">
        <v>1212</v>
      </c>
      <c r="M94" s="811" t="s">
        <v>1635</v>
      </c>
      <c r="N94" s="811" t="s">
        <v>1635</v>
      </c>
      <c r="O94" s="811" t="s">
        <v>1793</v>
      </c>
      <c r="P94" s="811" t="s">
        <v>1657</v>
      </c>
      <c r="Q94" s="811" t="s">
        <v>1710</v>
      </c>
    </row>
    <row r="95" spans="1:17" x14ac:dyDescent="0.25">
      <c r="A95" s="811" t="s">
        <v>1649</v>
      </c>
      <c r="B95" s="811" t="s">
        <v>1794</v>
      </c>
      <c r="C95" s="812">
        <v>49000000</v>
      </c>
      <c r="D95" s="811" t="s">
        <v>1453</v>
      </c>
      <c r="E95" s="811" t="s">
        <v>1453</v>
      </c>
      <c r="F95" s="811" t="s">
        <v>1698</v>
      </c>
      <c r="G95" s="811" t="s">
        <v>1652</v>
      </c>
      <c r="H95" s="811" t="s">
        <v>1653</v>
      </c>
      <c r="I95" s="811" t="s">
        <v>1654</v>
      </c>
      <c r="J95" s="813">
        <v>49000000</v>
      </c>
      <c r="K95" s="811" t="s">
        <v>1655</v>
      </c>
      <c r="L95" s="811" t="s">
        <v>1212</v>
      </c>
      <c r="M95" s="811" t="s">
        <v>1635</v>
      </c>
      <c r="N95" s="811" t="s">
        <v>1635</v>
      </c>
      <c r="O95" s="811" t="s">
        <v>1795</v>
      </c>
      <c r="P95" s="811" t="s">
        <v>1657</v>
      </c>
      <c r="Q95" s="811" t="s">
        <v>1682</v>
      </c>
    </row>
    <row r="96" spans="1:17" x14ac:dyDescent="0.25">
      <c r="A96" s="811" t="s">
        <v>1649</v>
      </c>
      <c r="B96" s="811" t="s">
        <v>1796</v>
      </c>
      <c r="C96" s="812">
        <v>36000000</v>
      </c>
      <c r="D96" s="811" t="s">
        <v>1453</v>
      </c>
      <c r="E96" s="811" t="s">
        <v>1453</v>
      </c>
      <c r="F96" s="811" t="s">
        <v>1651</v>
      </c>
      <c r="G96" s="811" t="s">
        <v>1652</v>
      </c>
      <c r="H96" s="811" t="s">
        <v>1653</v>
      </c>
      <c r="I96" s="811" t="s">
        <v>1654</v>
      </c>
      <c r="J96" s="813">
        <v>36000000</v>
      </c>
      <c r="K96" s="811" t="s">
        <v>1655</v>
      </c>
      <c r="L96" s="811" t="s">
        <v>1212</v>
      </c>
      <c r="M96" s="811" t="s">
        <v>1635</v>
      </c>
      <c r="N96" s="811" t="s">
        <v>1635</v>
      </c>
      <c r="O96" s="811" t="s">
        <v>1795</v>
      </c>
      <c r="P96" s="811" t="s">
        <v>1657</v>
      </c>
      <c r="Q96" s="811" t="s">
        <v>1682</v>
      </c>
    </row>
    <row r="97" spans="1:17" x14ac:dyDescent="0.25">
      <c r="A97" s="811" t="s">
        <v>1649</v>
      </c>
      <c r="B97" s="811" t="s">
        <v>1797</v>
      </c>
      <c r="C97" s="812">
        <v>35000000</v>
      </c>
      <c r="D97" s="811" t="s">
        <v>1453</v>
      </c>
      <c r="E97" s="811" t="s">
        <v>1453</v>
      </c>
      <c r="F97" s="811" t="s">
        <v>1698</v>
      </c>
      <c r="G97" s="811" t="s">
        <v>1652</v>
      </c>
      <c r="H97" s="811" t="s">
        <v>1653</v>
      </c>
      <c r="I97" s="811" t="s">
        <v>1654</v>
      </c>
      <c r="J97" s="813">
        <v>35000000</v>
      </c>
      <c r="K97" s="811" t="s">
        <v>1655</v>
      </c>
      <c r="L97" s="811" t="s">
        <v>1212</v>
      </c>
      <c r="M97" s="811" t="s">
        <v>1635</v>
      </c>
      <c r="N97" s="811" t="s">
        <v>1635</v>
      </c>
      <c r="O97" s="811" t="s">
        <v>1769</v>
      </c>
      <c r="P97" s="811" t="s">
        <v>1657</v>
      </c>
      <c r="Q97" s="811" t="s">
        <v>1705</v>
      </c>
    </row>
    <row r="98" spans="1:17" x14ac:dyDescent="0.25">
      <c r="A98" s="811" t="s">
        <v>1798</v>
      </c>
      <c r="B98" s="811" t="s">
        <v>1799</v>
      </c>
      <c r="C98" s="812">
        <v>566352000</v>
      </c>
      <c r="D98" s="811" t="s">
        <v>1453</v>
      </c>
      <c r="E98" s="811" t="s">
        <v>1453</v>
      </c>
      <c r="F98" s="811" t="s">
        <v>1662</v>
      </c>
      <c r="G98" s="811" t="s">
        <v>1652</v>
      </c>
      <c r="H98" s="811" t="s">
        <v>1653</v>
      </c>
      <c r="I98" s="811" t="s">
        <v>1654</v>
      </c>
      <c r="J98" s="813">
        <v>566352000</v>
      </c>
      <c r="K98" s="811" t="s">
        <v>1655</v>
      </c>
      <c r="L98" s="811" t="s">
        <v>1212</v>
      </c>
      <c r="M98" s="811" t="s">
        <v>1635</v>
      </c>
      <c r="N98" s="811" t="s">
        <v>1635</v>
      </c>
      <c r="O98" s="811" t="s">
        <v>1686</v>
      </c>
      <c r="P98" s="811" t="s">
        <v>1657</v>
      </c>
      <c r="Q98" s="811" t="s">
        <v>1658</v>
      </c>
    </row>
    <row r="99" spans="1:17" x14ac:dyDescent="0.25">
      <c r="A99" s="811" t="s">
        <v>1798</v>
      </c>
      <c r="B99" s="811" t="s">
        <v>1800</v>
      </c>
      <c r="C99" s="812">
        <v>80000000</v>
      </c>
      <c r="D99" s="811" t="s">
        <v>1454</v>
      </c>
      <c r="E99" s="811" t="s">
        <v>1454</v>
      </c>
      <c r="F99" s="811" t="s">
        <v>1662</v>
      </c>
      <c r="G99" s="811" t="s">
        <v>1652</v>
      </c>
      <c r="H99" s="811" t="s">
        <v>1653</v>
      </c>
      <c r="I99" s="811" t="s">
        <v>1654</v>
      </c>
      <c r="J99" s="813">
        <v>80000000</v>
      </c>
      <c r="K99" s="811" t="s">
        <v>1655</v>
      </c>
      <c r="L99" s="811" t="s">
        <v>1212</v>
      </c>
      <c r="M99" s="811" t="s">
        <v>1635</v>
      </c>
      <c r="N99" s="811" t="s">
        <v>1635</v>
      </c>
      <c r="O99" s="811" t="s">
        <v>1686</v>
      </c>
      <c r="P99" s="811" t="s">
        <v>1657</v>
      </c>
      <c r="Q99" s="811" t="s">
        <v>1658</v>
      </c>
    </row>
    <row r="100" spans="1:17" x14ac:dyDescent="0.25">
      <c r="A100" s="811" t="s">
        <v>1801</v>
      </c>
      <c r="B100" s="811" t="s">
        <v>1802</v>
      </c>
      <c r="C100" s="812">
        <v>59015675</v>
      </c>
      <c r="D100" s="811" t="s">
        <v>1454</v>
      </c>
      <c r="E100" s="811" t="s">
        <v>1454</v>
      </c>
      <c r="F100" s="811" t="s">
        <v>1727</v>
      </c>
      <c r="G100" s="811" t="s">
        <v>1652</v>
      </c>
      <c r="H100" s="811" t="s">
        <v>1577</v>
      </c>
      <c r="I100" s="811" t="s">
        <v>1654</v>
      </c>
      <c r="J100" s="813">
        <v>59015675</v>
      </c>
      <c r="K100" s="811" t="s">
        <v>1655</v>
      </c>
      <c r="L100" s="811" t="s">
        <v>1212</v>
      </c>
      <c r="M100" s="811" t="s">
        <v>1635</v>
      </c>
      <c r="N100" s="811" t="s">
        <v>1635</v>
      </c>
      <c r="O100" s="811" t="s">
        <v>1686</v>
      </c>
      <c r="P100" s="811" t="s">
        <v>1657</v>
      </c>
      <c r="Q100" s="811" t="s">
        <v>1658</v>
      </c>
    </row>
    <row r="101" spans="1:17" x14ac:dyDescent="0.25">
      <c r="A101" s="811" t="s">
        <v>1803</v>
      </c>
      <c r="B101" s="811" t="s">
        <v>1804</v>
      </c>
      <c r="C101" s="812">
        <v>55000000</v>
      </c>
      <c r="D101" s="811" t="s">
        <v>1542</v>
      </c>
      <c r="E101" s="811" t="s">
        <v>1542</v>
      </c>
      <c r="F101" s="811" t="s">
        <v>1672</v>
      </c>
      <c r="G101" s="811" t="s">
        <v>1652</v>
      </c>
      <c r="H101" s="811" t="s">
        <v>1653</v>
      </c>
      <c r="I101" s="811" t="s">
        <v>1654</v>
      </c>
      <c r="J101" s="813">
        <v>55000000</v>
      </c>
      <c r="K101" s="811" t="s">
        <v>1655</v>
      </c>
      <c r="L101" s="811" t="s">
        <v>1212</v>
      </c>
      <c r="M101" s="811" t="s">
        <v>1635</v>
      </c>
      <c r="N101" s="811" t="s">
        <v>1635</v>
      </c>
      <c r="O101" s="811" t="s">
        <v>1686</v>
      </c>
      <c r="P101" s="811" t="s">
        <v>1657</v>
      </c>
      <c r="Q101" s="811" t="s">
        <v>1658</v>
      </c>
    </row>
    <row r="102" spans="1:17" x14ac:dyDescent="0.25">
      <c r="A102" s="811" t="s">
        <v>1649</v>
      </c>
      <c r="B102" s="811" t="s">
        <v>1805</v>
      </c>
      <c r="C102" s="812">
        <v>40000000</v>
      </c>
      <c r="D102" s="811" t="s">
        <v>1454</v>
      </c>
      <c r="E102" s="811" t="s">
        <v>1454</v>
      </c>
      <c r="F102" s="811" t="s">
        <v>1739</v>
      </c>
      <c r="G102" s="811" t="s">
        <v>1652</v>
      </c>
      <c r="H102" s="811" t="s">
        <v>1653</v>
      </c>
      <c r="I102" s="811" t="s">
        <v>1654</v>
      </c>
      <c r="J102" s="813">
        <v>40000000</v>
      </c>
      <c r="K102" s="811" t="s">
        <v>1655</v>
      </c>
      <c r="L102" s="811" t="s">
        <v>1212</v>
      </c>
      <c r="M102" s="811" t="s">
        <v>1635</v>
      </c>
      <c r="N102" s="811" t="s">
        <v>1635</v>
      </c>
      <c r="O102" s="811" t="s">
        <v>1686</v>
      </c>
      <c r="P102" s="811" t="s">
        <v>1657</v>
      </c>
      <c r="Q102" s="811" t="s">
        <v>1658</v>
      </c>
    </row>
    <row r="103" spans="1:17" x14ac:dyDescent="0.25">
      <c r="A103" s="811" t="s">
        <v>1803</v>
      </c>
      <c r="B103" s="811" t="s">
        <v>1806</v>
      </c>
      <c r="C103" s="812">
        <v>55000000</v>
      </c>
      <c r="D103" s="811" t="s">
        <v>1446</v>
      </c>
      <c r="E103" s="811" t="s">
        <v>1446</v>
      </c>
      <c r="F103" s="811" t="s">
        <v>1672</v>
      </c>
      <c r="G103" s="811" t="s">
        <v>1652</v>
      </c>
      <c r="H103" s="811" t="s">
        <v>1653</v>
      </c>
      <c r="I103" s="811" t="s">
        <v>1654</v>
      </c>
      <c r="J103" s="813">
        <v>55000000</v>
      </c>
      <c r="K103" s="811" t="s">
        <v>1655</v>
      </c>
      <c r="L103" s="811" t="s">
        <v>1212</v>
      </c>
      <c r="M103" s="811" t="s">
        <v>1635</v>
      </c>
      <c r="N103" s="811" t="s">
        <v>1635</v>
      </c>
      <c r="O103" s="811" t="s">
        <v>1686</v>
      </c>
      <c r="P103" s="811" t="s">
        <v>1657</v>
      </c>
      <c r="Q103" s="811" t="s">
        <v>1658</v>
      </c>
    </row>
    <row r="104" spans="1:17" x14ac:dyDescent="0.25">
      <c r="A104" s="811" t="s">
        <v>1803</v>
      </c>
      <c r="B104" s="811" t="s">
        <v>1807</v>
      </c>
      <c r="C104" s="812">
        <v>55000000</v>
      </c>
      <c r="D104" s="811" t="s">
        <v>1446</v>
      </c>
      <c r="E104" s="811" t="s">
        <v>1446</v>
      </c>
      <c r="F104" s="811" t="s">
        <v>1672</v>
      </c>
      <c r="G104" s="811" t="s">
        <v>1652</v>
      </c>
      <c r="H104" s="811" t="s">
        <v>1653</v>
      </c>
      <c r="I104" s="811" t="s">
        <v>1654</v>
      </c>
      <c r="J104" s="813">
        <v>55000000</v>
      </c>
      <c r="K104" s="811" t="s">
        <v>1655</v>
      </c>
      <c r="L104" s="811" t="s">
        <v>1212</v>
      </c>
      <c r="M104" s="811" t="s">
        <v>1635</v>
      </c>
      <c r="N104" s="811" t="s">
        <v>1635</v>
      </c>
      <c r="O104" s="811" t="s">
        <v>1686</v>
      </c>
      <c r="P104" s="811" t="s">
        <v>1657</v>
      </c>
      <c r="Q104" s="811" t="s">
        <v>1658</v>
      </c>
    </row>
    <row r="105" spans="1:17" x14ac:dyDescent="0.25">
      <c r="A105" s="811" t="s">
        <v>1803</v>
      </c>
      <c r="B105" s="811" t="s">
        <v>1808</v>
      </c>
      <c r="C105" s="812">
        <v>55000000</v>
      </c>
      <c r="D105" s="811" t="s">
        <v>1446</v>
      </c>
      <c r="E105" s="811" t="s">
        <v>1446</v>
      </c>
      <c r="F105" s="811" t="s">
        <v>1672</v>
      </c>
      <c r="G105" s="811" t="s">
        <v>1652</v>
      </c>
      <c r="H105" s="811" t="s">
        <v>1653</v>
      </c>
      <c r="I105" s="811" t="s">
        <v>1654</v>
      </c>
      <c r="J105" s="813">
        <v>55000000</v>
      </c>
      <c r="K105" s="811" t="s">
        <v>1655</v>
      </c>
      <c r="L105" s="811" t="s">
        <v>1212</v>
      </c>
      <c r="M105" s="811" t="s">
        <v>1635</v>
      </c>
      <c r="N105" s="811" t="s">
        <v>1635</v>
      </c>
      <c r="O105" s="811" t="s">
        <v>1686</v>
      </c>
      <c r="P105" s="811" t="s">
        <v>1657</v>
      </c>
      <c r="Q105" s="811" t="s">
        <v>1658</v>
      </c>
    </row>
    <row r="106" spans="1:17" x14ac:dyDescent="0.25">
      <c r="A106" s="811" t="s">
        <v>1803</v>
      </c>
      <c r="B106" s="811" t="s">
        <v>1809</v>
      </c>
      <c r="C106" s="812">
        <v>55000000</v>
      </c>
      <c r="D106" s="811" t="s">
        <v>1446</v>
      </c>
      <c r="E106" s="811" t="s">
        <v>1446</v>
      </c>
      <c r="F106" s="811" t="s">
        <v>1672</v>
      </c>
      <c r="G106" s="811" t="s">
        <v>1652</v>
      </c>
      <c r="H106" s="811" t="s">
        <v>1653</v>
      </c>
      <c r="I106" s="811" t="s">
        <v>1654</v>
      </c>
      <c r="J106" s="813">
        <v>55000000</v>
      </c>
      <c r="K106" s="811" t="s">
        <v>1655</v>
      </c>
      <c r="L106" s="811" t="s">
        <v>1212</v>
      </c>
      <c r="M106" s="811" t="s">
        <v>1635</v>
      </c>
      <c r="N106" s="811" t="s">
        <v>1635</v>
      </c>
      <c r="O106" s="811" t="s">
        <v>1686</v>
      </c>
      <c r="P106" s="811" t="s">
        <v>1657</v>
      </c>
      <c r="Q106" s="811" t="s">
        <v>1658</v>
      </c>
    </row>
    <row r="107" spans="1:17" x14ac:dyDescent="0.25">
      <c r="A107" s="811" t="s">
        <v>1803</v>
      </c>
      <c r="B107" s="811" t="s">
        <v>1810</v>
      </c>
      <c r="C107" s="812">
        <v>55000000</v>
      </c>
      <c r="D107" s="811" t="s">
        <v>1446</v>
      </c>
      <c r="E107" s="811" t="s">
        <v>1446</v>
      </c>
      <c r="F107" s="811" t="s">
        <v>1672</v>
      </c>
      <c r="G107" s="811" t="s">
        <v>1652</v>
      </c>
      <c r="H107" s="811" t="s">
        <v>1653</v>
      </c>
      <c r="I107" s="811" t="s">
        <v>1654</v>
      </c>
      <c r="J107" s="813">
        <v>55000000</v>
      </c>
      <c r="K107" s="811" t="s">
        <v>1655</v>
      </c>
      <c r="L107" s="811" t="s">
        <v>1212</v>
      </c>
      <c r="M107" s="811" t="s">
        <v>1635</v>
      </c>
      <c r="N107" s="811" t="s">
        <v>1635</v>
      </c>
      <c r="O107" s="811" t="s">
        <v>1686</v>
      </c>
      <c r="P107" s="811" t="s">
        <v>1657</v>
      </c>
      <c r="Q107" s="811" t="s">
        <v>1658</v>
      </c>
    </row>
    <row r="108" spans="1:17" x14ac:dyDescent="0.25">
      <c r="A108" s="811" t="s">
        <v>1745</v>
      </c>
      <c r="B108" s="811" t="s">
        <v>1811</v>
      </c>
      <c r="C108" s="812">
        <v>648968200</v>
      </c>
      <c r="D108" s="811" t="s">
        <v>1453</v>
      </c>
      <c r="E108" s="811" t="s">
        <v>1453</v>
      </c>
      <c r="F108" s="811" t="s">
        <v>1662</v>
      </c>
      <c r="G108" s="811" t="s">
        <v>1652</v>
      </c>
      <c r="H108" s="811" t="s">
        <v>1740</v>
      </c>
      <c r="I108" s="811" t="s">
        <v>1654</v>
      </c>
      <c r="J108" s="813">
        <v>648968200</v>
      </c>
      <c r="K108" s="811" t="s">
        <v>1655</v>
      </c>
      <c r="L108" s="811" t="s">
        <v>1212</v>
      </c>
      <c r="M108" s="811" t="s">
        <v>1635</v>
      </c>
      <c r="N108" s="811" t="s">
        <v>1635</v>
      </c>
      <c r="O108" s="811" t="s">
        <v>1729</v>
      </c>
      <c r="P108" s="811" t="s">
        <v>1657</v>
      </c>
      <c r="Q108" s="811" t="s">
        <v>1664</v>
      </c>
    </row>
    <row r="109" spans="1:17" x14ac:dyDescent="0.25">
      <c r="A109" s="811" t="s">
        <v>1745</v>
      </c>
      <c r="B109" s="811" t="s">
        <v>1812</v>
      </c>
      <c r="C109" s="812">
        <v>199875720</v>
      </c>
      <c r="D109" s="811" t="s">
        <v>1453</v>
      </c>
      <c r="E109" s="811" t="s">
        <v>1453</v>
      </c>
      <c r="F109" s="811" t="s">
        <v>1685</v>
      </c>
      <c r="G109" s="811" t="s">
        <v>1652</v>
      </c>
      <c r="H109" s="811" t="s">
        <v>1740</v>
      </c>
      <c r="I109" s="811" t="s">
        <v>1654</v>
      </c>
      <c r="J109" s="813">
        <v>199875720</v>
      </c>
      <c r="K109" s="811" t="s">
        <v>1655</v>
      </c>
      <c r="L109" s="811" t="s">
        <v>1212</v>
      </c>
      <c r="M109" s="811" t="s">
        <v>1635</v>
      </c>
      <c r="N109" s="811" t="s">
        <v>1635</v>
      </c>
      <c r="O109" s="811" t="s">
        <v>1729</v>
      </c>
      <c r="P109" s="811" t="s">
        <v>1657</v>
      </c>
      <c r="Q109" s="811" t="s">
        <v>1664</v>
      </c>
    </row>
    <row r="110" spans="1:17" x14ac:dyDescent="0.25">
      <c r="A110" s="811" t="s">
        <v>1745</v>
      </c>
      <c r="B110" s="811" t="s">
        <v>1813</v>
      </c>
      <c r="C110" s="812">
        <v>370678608</v>
      </c>
      <c r="D110" s="811" t="s">
        <v>1453</v>
      </c>
      <c r="E110" s="811" t="s">
        <v>1453</v>
      </c>
      <c r="F110" s="811" t="s">
        <v>1662</v>
      </c>
      <c r="G110" s="811" t="s">
        <v>1652</v>
      </c>
      <c r="H110" s="811" t="s">
        <v>1740</v>
      </c>
      <c r="I110" s="811" t="s">
        <v>1654</v>
      </c>
      <c r="J110" s="813">
        <v>370678608</v>
      </c>
      <c r="K110" s="811" t="s">
        <v>1655</v>
      </c>
      <c r="L110" s="811" t="s">
        <v>1212</v>
      </c>
      <c r="M110" s="811" t="s">
        <v>1635</v>
      </c>
      <c r="N110" s="811" t="s">
        <v>1635</v>
      </c>
      <c r="O110" s="811" t="s">
        <v>1729</v>
      </c>
      <c r="P110" s="811" t="s">
        <v>1657</v>
      </c>
      <c r="Q110" s="811" t="s">
        <v>1664</v>
      </c>
    </row>
    <row r="111" spans="1:17" x14ac:dyDescent="0.25">
      <c r="A111" s="811" t="s">
        <v>1745</v>
      </c>
      <c r="B111" s="811" t="s">
        <v>1814</v>
      </c>
      <c r="C111" s="812">
        <v>439581220</v>
      </c>
      <c r="D111" s="811" t="s">
        <v>1453</v>
      </c>
      <c r="E111" s="811" t="s">
        <v>1453</v>
      </c>
      <c r="F111" s="811" t="s">
        <v>1662</v>
      </c>
      <c r="G111" s="811" t="s">
        <v>1652</v>
      </c>
      <c r="H111" s="811" t="s">
        <v>1740</v>
      </c>
      <c r="I111" s="811" t="s">
        <v>1654</v>
      </c>
      <c r="J111" s="813">
        <v>439581220</v>
      </c>
      <c r="K111" s="811" t="s">
        <v>1655</v>
      </c>
      <c r="L111" s="811" t="s">
        <v>1212</v>
      </c>
      <c r="M111" s="811" t="s">
        <v>1635</v>
      </c>
      <c r="N111" s="811" t="s">
        <v>1635</v>
      </c>
      <c r="O111" s="811" t="s">
        <v>1729</v>
      </c>
      <c r="P111" s="811" t="s">
        <v>1657</v>
      </c>
      <c r="Q111" s="811" t="s">
        <v>1664</v>
      </c>
    </row>
    <row r="112" spans="1:17" x14ac:dyDescent="0.25">
      <c r="A112" s="811" t="s">
        <v>1815</v>
      </c>
      <c r="B112" s="811" t="s">
        <v>1816</v>
      </c>
      <c r="C112" s="812">
        <v>200000000</v>
      </c>
      <c r="D112" s="811" t="s">
        <v>1542</v>
      </c>
      <c r="E112" s="811" t="s">
        <v>1446</v>
      </c>
      <c r="F112" s="811" t="s">
        <v>1727</v>
      </c>
      <c r="G112" s="811" t="s">
        <v>1652</v>
      </c>
      <c r="H112" s="811" t="s">
        <v>1728</v>
      </c>
      <c r="I112" s="811" t="s">
        <v>1654</v>
      </c>
      <c r="J112" s="813">
        <v>200000000</v>
      </c>
      <c r="K112" s="811" t="s">
        <v>1655</v>
      </c>
      <c r="L112" s="811" t="s">
        <v>1212</v>
      </c>
      <c r="M112" s="811" t="s">
        <v>1635</v>
      </c>
      <c r="N112" s="811" t="s">
        <v>1635</v>
      </c>
      <c r="O112" s="811" t="s">
        <v>1729</v>
      </c>
      <c r="P112" s="811" t="s">
        <v>1657</v>
      </c>
      <c r="Q112" s="811" t="s">
        <v>1664</v>
      </c>
    </row>
    <row r="113" spans="1:17" x14ac:dyDescent="0.25">
      <c r="A113" s="811" t="s">
        <v>1817</v>
      </c>
      <c r="B113" s="811" t="s">
        <v>1818</v>
      </c>
      <c r="C113" s="812">
        <v>300000000</v>
      </c>
      <c r="D113" s="811" t="s">
        <v>1446</v>
      </c>
      <c r="E113" s="811" t="s">
        <v>1453</v>
      </c>
      <c r="F113" s="811" t="s">
        <v>1651</v>
      </c>
      <c r="G113" s="811" t="s">
        <v>1652</v>
      </c>
      <c r="H113" s="811" t="s">
        <v>1790</v>
      </c>
      <c r="I113" s="811" t="s">
        <v>1654</v>
      </c>
      <c r="J113" s="813">
        <v>300000000</v>
      </c>
      <c r="K113" s="811" t="s">
        <v>1655</v>
      </c>
      <c r="L113" s="811" t="s">
        <v>1212</v>
      </c>
      <c r="M113" s="811" t="s">
        <v>1635</v>
      </c>
      <c r="N113" s="811" t="s">
        <v>1635</v>
      </c>
      <c r="O113" s="811" t="s">
        <v>1729</v>
      </c>
      <c r="P113" s="811" t="s">
        <v>1657</v>
      </c>
      <c r="Q113" s="811" t="s">
        <v>1664</v>
      </c>
    </row>
    <row r="114" spans="1:17" x14ac:dyDescent="0.25">
      <c r="A114" s="811" t="s">
        <v>1649</v>
      </c>
      <c r="B114" s="811" t="s">
        <v>1819</v>
      </c>
      <c r="C114" s="812">
        <v>57888060</v>
      </c>
      <c r="D114" s="811" t="s">
        <v>1542</v>
      </c>
      <c r="E114" s="811" t="s">
        <v>1542</v>
      </c>
      <c r="F114" s="811" t="s">
        <v>1666</v>
      </c>
      <c r="G114" s="811" t="s">
        <v>1652</v>
      </c>
      <c r="H114" s="811" t="s">
        <v>1653</v>
      </c>
      <c r="I114" s="811" t="s">
        <v>1654</v>
      </c>
      <c r="J114" s="813">
        <v>57888060</v>
      </c>
      <c r="K114" s="811" t="s">
        <v>1655</v>
      </c>
      <c r="L114" s="811" t="s">
        <v>1212</v>
      </c>
      <c r="M114" s="811" t="s">
        <v>1635</v>
      </c>
      <c r="N114" s="811" t="s">
        <v>1635</v>
      </c>
      <c r="O114" s="811" t="s">
        <v>1667</v>
      </c>
      <c r="P114" s="811" t="s">
        <v>1657</v>
      </c>
      <c r="Q114" s="811" t="s">
        <v>1668</v>
      </c>
    </row>
    <row r="115" spans="1:17" x14ac:dyDescent="0.25">
      <c r="A115" s="811" t="s">
        <v>1649</v>
      </c>
      <c r="B115" s="811" t="s">
        <v>1820</v>
      </c>
      <c r="C115" s="812">
        <v>61383600</v>
      </c>
      <c r="D115" s="811" t="s">
        <v>1445</v>
      </c>
      <c r="E115" s="811" t="s">
        <v>1445</v>
      </c>
      <c r="F115" s="811" t="s">
        <v>1685</v>
      </c>
      <c r="G115" s="811" t="s">
        <v>1652</v>
      </c>
      <c r="H115" s="811" t="s">
        <v>1653</v>
      </c>
      <c r="I115" s="811" t="s">
        <v>1654</v>
      </c>
      <c r="J115" s="813">
        <v>61383600</v>
      </c>
      <c r="K115" s="811" t="s">
        <v>1655</v>
      </c>
      <c r="L115" s="811" t="s">
        <v>1212</v>
      </c>
      <c r="M115" s="811" t="s">
        <v>1635</v>
      </c>
      <c r="N115" s="811" t="s">
        <v>1635</v>
      </c>
      <c r="O115" s="811" t="s">
        <v>1667</v>
      </c>
      <c r="P115" s="811" t="s">
        <v>1657</v>
      </c>
      <c r="Q115" s="811" t="s">
        <v>1668</v>
      </c>
    </row>
    <row r="116" spans="1:17" x14ac:dyDescent="0.25">
      <c r="A116" s="811" t="s">
        <v>1649</v>
      </c>
      <c r="B116" s="811" t="s">
        <v>1821</v>
      </c>
      <c r="C116" s="812">
        <v>53226394</v>
      </c>
      <c r="D116" s="811" t="s">
        <v>1445</v>
      </c>
      <c r="E116" s="811" t="s">
        <v>1445</v>
      </c>
      <c r="F116" s="811" t="s">
        <v>1685</v>
      </c>
      <c r="G116" s="811" t="s">
        <v>1652</v>
      </c>
      <c r="H116" s="811" t="s">
        <v>1653</v>
      </c>
      <c r="I116" s="811" t="s">
        <v>1654</v>
      </c>
      <c r="J116" s="813">
        <v>53226394</v>
      </c>
      <c r="K116" s="811" t="s">
        <v>1655</v>
      </c>
      <c r="L116" s="811" t="s">
        <v>1212</v>
      </c>
      <c r="M116" s="811" t="s">
        <v>1635</v>
      </c>
      <c r="N116" s="811" t="s">
        <v>1635</v>
      </c>
      <c r="O116" s="811" t="s">
        <v>1667</v>
      </c>
      <c r="P116" s="811" t="s">
        <v>1657</v>
      </c>
      <c r="Q116" s="811" t="s">
        <v>1668</v>
      </c>
    </row>
    <row r="117" spans="1:17" x14ac:dyDescent="0.25">
      <c r="A117" s="811" t="s">
        <v>1649</v>
      </c>
      <c r="B117" s="811" t="s">
        <v>1822</v>
      </c>
      <c r="C117" s="812">
        <v>134074420</v>
      </c>
      <c r="D117" s="811" t="s">
        <v>1445</v>
      </c>
      <c r="E117" s="811" t="s">
        <v>1445</v>
      </c>
      <c r="F117" s="811" t="s">
        <v>1685</v>
      </c>
      <c r="G117" s="811" t="s">
        <v>1652</v>
      </c>
      <c r="H117" s="811" t="s">
        <v>1653</v>
      </c>
      <c r="I117" s="811" t="s">
        <v>1654</v>
      </c>
      <c r="J117" s="813">
        <v>134074420</v>
      </c>
      <c r="K117" s="811" t="s">
        <v>1655</v>
      </c>
      <c r="L117" s="811" t="s">
        <v>1212</v>
      </c>
      <c r="M117" s="811" t="s">
        <v>1635</v>
      </c>
      <c r="N117" s="811" t="s">
        <v>1635</v>
      </c>
      <c r="O117" s="811" t="s">
        <v>1667</v>
      </c>
      <c r="P117" s="811" t="s">
        <v>1657</v>
      </c>
      <c r="Q117" s="811" t="s">
        <v>1668</v>
      </c>
    </row>
    <row r="118" spans="1:17" x14ac:dyDescent="0.25">
      <c r="A118" s="811" t="s">
        <v>1649</v>
      </c>
      <c r="B118" s="811" t="s">
        <v>1823</v>
      </c>
      <c r="C118" s="812">
        <v>40290000</v>
      </c>
      <c r="D118" s="811" t="s">
        <v>1445</v>
      </c>
      <c r="E118" s="811" t="s">
        <v>1445</v>
      </c>
      <c r="F118" s="811" t="s">
        <v>1685</v>
      </c>
      <c r="G118" s="811" t="s">
        <v>1652</v>
      </c>
      <c r="H118" s="811" t="s">
        <v>1653</v>
      </c>
      <c r="I118" s="811" t="s">
        <v>1654</v>
      </c>
      <c r="J118" s="813">
        <v>40290000</v>
      </c>
      <c r="K118" s="811" t="s">
        <v>1655</v>
      </c>
      <c r="L118" s="811" t="s">
        <v>1212</v>
      </c>
      <c r="M118" s="811" t="s">
        <v>1635</v>
      </c>
      <c r="N118" s="811" t="s">
        <v>1635</v>
      </c>
      <c r="O118" s="811" t="s">
        <v>1667</v>
      </c>
      <c r="P118" s="811" t="s">
        <v>1657</v>
      </c>
      <c r="Q118" s="811" t="s">
        <v>1668</v>
      </c>
    </row>
    <row r="119" spans="1:17" x14ac:dyDescent="0.25">
      <c r="A119" s="811" t="s">
        <v>1649</v>
      </c>
      <c r="B119" s="811" t="s">
        <v>1824</v>
      </c>
      <c r="C119" s="812">
        <v>65836059</v>
      </c>
      <c r="D119" s="811" t="s">
        <v>1449</v>
      </c>
      <c r="E119" s="811" t="s">
        <v>1449</v>
      </c>
      <c r="F119" s="811" t="s">
        <v>1689</v>
      </c>
      <c r="G119" s="811" t="s">
        <v>1652</v>
      </c>
      <c r="H119" s="811" t="s">
        <v>1653</v>
      </c>
      <c r="I119" s="811" t="s">
        <v>1654</v>
      </c>
      <c r="J119" s="813">
        <v>65836059</v>
      </c>
      <c r="K119" s="811" t="s">
        <v>1655</v>
      </c>
      <c r="L119" s="811" t="s">
        <v>1212</v>
      </c>
      <c r="M119" s="811" t="s">
        <v>1635</v>
      </c>
      <c r="N119" s="811" t="s">
        <v>1635</v>
      </c>
      <c r="O119" s="811" t="s">
        <v>1667</v>
      </c>
      <c r="P119" s="811" t="s">
        <v>1657</v>
      </c>
      <c r="Q119" s="811" t="s">
        <v>1668</v>
      </c>
    </row>
    <row r="120" spans="1:17" x14ac:dyDescent="0.25">
      <c r="A120" s="811" t="s">
        <v>1649</v>
      </c>
      <c r="B120" s="811" t="s">
        <v>1825</v>
      </c>
      <c r="C120" s="812">
        <v>24050000</v>
      </c>
      <c r="D120" s="811" t="s">
        <v>1454</v>
      </c>
      <c r="E120" s="811" t="s">
        <v>1454</v>
      </c>
      <c r="F120" s="811" t="s">
        <v>1739</v>
      </c>
      <c r="G120" s="811" t="s">
        <v>1652</v>
      </c>
      <c r="H120" s="811" t="s">
        <v>1653</v>
      </c>
      <c r="I120" s="811" t="s">
        <v>1654</v>
      </c>
      <c r="J120" s="813">
        <v>24050000</v>
      </c>
      <c r="K120" s="811" t="s">
        <v>1655</v>
      </c>
      <c r="L120" s="811" t="s">
        <v>1212</v>
      </c>
      <c r="M120" s="811" t="s">
        <v>1635</v>
      </c>
      <c r="N120" s="811" t="s">
        <v>1635</v>
      </c>
      <c r="O120" s="811" t="s">
        <v>1667</v>
      </c>
      <c r="P120" s="811" t="s">
        <v>1657</v>
      </c>
      <c r="Q120" s="811" t="s">
        <v>1668</v>
      </c>
    </row>
    <row r="121" spans="1:17" x14ac:dyDescent="0.25">
      <c r="A121" s="811" t="s">
        <v>1649</v>
      </c>
      <c r="B121" s="811" t="s">
        <v>1826</v>
      </c>
      <c r="C121" s="812">
        <v>48144000</v>
      </c>
      <c r="D121" s="811" t="s">
        <v>1445</v>
      </c>
      <c r="E121" s="811" t="s">
        <v>1445</v>
      </c>
      <c r="F121" s="811" t="s">
        <v>1685</v>
      </c>
      <c r="G121" s="811" t="s">
        <v>1652</v>
      </c>
      <c r="H121" s="811" t="s">
        <v>1653</v>
      </c>
      <c r="I121" s="811" t="s">
        <v>1654</v>
      </c>
      <c r="J121" s="813">
        <v>48144000</v>
      </c>
      <c r="K121" s="811" t="s">
        <v>1655</v>
      </c>
      <c r="L121" s="811" t="s">
        <v>1212</v>
      </c>
      <c r="M121" s="811" t="s">
        <v>1635</v>
      </c>
      <c r="N121" s="811" t="s">
        <v>1635</v>
      </c>
      <c r="O121" s="811" t="s">
        <v>1667</v>
      </c>
      <c r="P121" s="811" t="s">
        <v>1657</v>
      </c>
      <c r="Q121" s="811" t="s">
        <v>1668</v>
      </c>
    </row>
    <row r="122" spans="1:17" x14ac:dyDescent="0.25">
      <c r="A122" s="811" t="s">
        <v>1827</v>
      </c>
      <c r="B122" s="811" t="s">
        <v>1828</v>
      </c>
      <c r="C122" s="812">
        <v>3333584000</v>
      </c>
      <c r="D122" s="811" t="s">
        <v>1454</v>
      </c>
      <c r="E122" s="811" t="s">
        <v>1469</v>
      </c>
      <c r="F122" s="811" t="s">
        <v>1718</v>
      </c>
      <c r="G122" s="811" t="s">
        <v>1652</v>
      </c>
      <c r="H122" s="811" t="s">
        <v>1829</v>
      </c>
      <c r="I122" s="811" t="s">
        <v>1654</v>
      </c>
      <c r="J122" s="813">
        <v>3333584000</v>
      </c>
      <c r="K122" s="811" t="s">
        <v>1655</v>
      </c>
      <c r="L122" s="811" t="s">
        <v>1212</v>
      </c>
      <c r="M122" s="811" t="s">
        <v>1635</v>
      </c>
      <c r="N122" s="811" t="s">
        <v>1635</v>
      </c>
      <c r="O122" s="811" t="s">
        <v>1667</v>
      </c>
      <c r="P122" s="811" t="s">
        <v>1657</v>
      </c>
      <c r="Q122" s="811" t="s">
        <v>1668</v>
      </c>
    </row>
    <row r="123" spans="1:17" x14ac:dyDescent="0.25">
      <c r="A123" s="811" t="s">
        <v>1830</v>
      </c>
      <c r="B123" s="811" t="s">
        <v>1831</v>
      </c>
      <c r="C123" s="812">
        <v>1000000000</v>
      </c>
      <c r="D123" s="811" t="s">
        <v>1440</v>
      </c>
      <c r="E123" s="811" t="s">
        <v>1440</v>
      </c>
      <c r="F123" s="811" t="s">
        <v>1698</v>
      </c>
      <c r="G123" s="811" t="s">
        <v>1652</v>
      </c>
      <c r="H123" s="811" t="s">
        <v>1829</v>
      </c>
      <c r="I123" s="811" t="s">
        <v>1654</v>
      </c>
      <c r="J123" s="813">
        <v>1000000000</v>
      </c>
      <c r="K123" s="811" t="s">
        <v>1655</v>
      </c>
      <c r="L123" s="811" t="s">
        <v>1212</v>
      </c>
      <c r="M123" s="811" t="s">
        <v>1635</v>
      </c>
      <c r="N123" s="811" t="s">
        <v>1635</v>
      </c>
      <c r="O123" s="811" t="s">
        <v>1704</v>
      </c>
      <c r="P123" s="811" t="s">
        <v>1657</v>
      </c>
      <c r="Q123" s="811" t="s">
        <v>1705</v>
      </c>
    </row>
    <row r="124" spans="1:17" x14ac:dyDescent="0.25">
      <c r="A124" s="811" t="s">
        <v>1649</v>
      </c>
      <c r="B124" s="811" t="s">
        <v>1832</v>
      </c>
      <c r="C124" s="812">
        <v>80000000</v>
      </c>
      <c r="D124" s="811" t="s">
        <v>1449</v>
      </c>
      <c r="E124" s="811" t="s">
        <v>1449</v>
      </c>
      <c r="F124" s="811" t="s">
        <v>1685</v>
      </c>
      <c r="G124" s="811" t="s">
        <v>1652</v>
      </c>
      <c r="H124" s="811" t="s">
        <v>1653</v>
      </c>
      <c r="I124" s="811" t="s">
        <v>1654</v>
      </c>
      <c r="J124" s="813">
        <v>80000000</v>
      </c>
      <c r="K124" s="811" t="s">
        <v>1655</v>
      </c>
      <c r="L124" s="811" t="s">
        <v>1212</v>
      </c>
      <c r="M124" s="811" t="s">
        <v>1635</v>
      </c>
      <c r="N124" s="811" t="s">
        <v>1635</v>
      </c>
      <c r="O124" s="811" t="s">
        <v>1704</v>
      </c>
      <c r="P124" s="811" t="s">
        <v>1657</v>
      </c>
      <c r="Q124" s="811" t="s">
        <v>1705</v>
      </c>
    </row>
    <row r="125" spans="1:17" x14ac:dyDescent="0.25">
      <c r="A125" s="811" t="s">
        <v>1649</v>
      </c>
      <c r="B125" s="811" t="s">
        <v>1833</v>
      </c>
      <c r="C125" s="812">
        <v>60180000</v>
      </c>
      <c r="D125" s="811" t="s">
        <v>1445</v>
      </c>
      <c r="E125" s="811" t="s">
        <v>1445</v>
      </c>
      <c r="F125" s="811" t="s">
        <v>1685</v>
      </c>
      <c r="G125" s="811" t="s">
        <v>1652</v>
      </c>
      <c r="H125" s="811" t="s">
        <v>1653</v>
      </c>
      <c r="I125" s="811" t="s">
        <v>1654</v>
      </c>
      <c r="J125" s="813">
        <v>60180000</v>
      </c>
      <c r="K125" s="811" t="s">
        <v>1655</v>
      </c>
      <c r="L125" s="811" t="s">
        <v>1212</v>
      </c>
      <c r="M125" s="811" t="s">
        <v>1635</v>
      </c>
      <c r="N125" s="811" t="s">
        <v>1635</v>
      </c>
      <c r="O125" s="811" t="s">
        <v>1667</v>
      </c>
      <c r="P125" s="811" t="s">
        <v>1657</v>
      </c>
      <c r="Q125" s="811" t="s">
        <v>1668</v>
      </c>
    </row>
    <row r="126" spans="1:17" x14ac:dyDescent="0.25">
      <c r="A126" s="811" t="s">
        <v>1649</v>
      </c>
      <c r="B126" s="811" t="s">
        <v>1834</v>
      </c>
      <c r="C126" s="812">
        <v>40800000</v>
      </c>
      <c r="D126" s="811" t="s">
        <v>1449</v>
      </c>
      <c r="E126" s="811" t="s">
        <v>1449</v>
      </c>
      <c r="F126" s="811" t="s">
        <v>1672</v>
      </c>
      <c r="G126" s="811" t="s">
        <v>1652</v>
      </c>
      <c r="H126" s="811" t="s">
        <v>1653</v>
      </c>
      <c r="I126" s="811" t="s">
        <v>1654</v>
      </c>
      <c r="J126" s="813">
        <v>40800000</v>
      </c>
      <c r="K126" s="811" t="s">
        <v>1655</v>
      </c>
      <c r="L126" s="811" t="s">
        <v>1212</v>
      </c>
      <c r="M126" s="811" t="s">
        <v>1635</v>
      </c>
      <c r="N126" s="811" t="s">
        <v>1635</v>
      </c>
      <c r="O126" s="811" t="s">
        <v>1759</v>
      </c>
      <c r="P126" s="811" t="s">
        <v>1760</v>
      </c>
      <c r="Q126" s="811" t="s">
        <v>1658</v>
      </c>
    </row>
    <row r="127" spans="1:17" x14ac:dyDescent="0.25">
      <c r="A127" s="811" t="s">
        <v>1649</v>
      </c>
      <c r="B127" s="811" t="s">
        <v>1835</v>
      </c>
      <c r="C127" s="812">
        <v>69600000</v>
      </c>
      <c r="D127" s="811" t="s">
        <v>1449</v>
      </c>
      <c r="E127" s="811" t="s">
        <v>1449</v>
      </c>
      <c r="F127" s="811" t="s">
        <v>1672</v>
      </c>
      <c r="G127" s="811" t="s">
        <v>1652</v>
      </c>
      <c r="H127" s="811" t="s">
        <v>1653</v>
      </c>
      <c r="I127" s="811" t="s">
        <v>1654</v>
      </c>
      <c r="J127" s="813">
        <v>69600000</v>
      </c>
      <c r="K127" s="811" t="s">
        <v>1655</v>
      </c>
      <c r="L127" s="811" t="s">
        <v>1212</v>
      </c>
      <c r="M127" s="811" t="s">
        <v>1635</v>
      </c>
      <c r="N127" s="811" t="s">
        <v>1635</v>
      </c>
      <c r="O127" s="811" t="s">
        <v>1759</v>
      </c>
      <c r="P127" s="811" t="s">
        <v>1760</v>
      </c>
      <c r="Q127" s="811" t="s">
        <v>1658</v>
      </c>
    </row>
    <row r="128" spans="1:17" x14ac:dyDescent="0.25">
      <c r="A128" s="811" t="s">
        <v>1649</v>
      </c>
      <c r="B128" s="811" t="s">
        <v>1691</v>
      </c>
      <c r="C128" s="812">
        <v>69768000</v>
      </c>
      <c r="D128" s="811" t="s">
        <v>1449</v>
      </c>
      <c r="E128" s="811" t="s">
        <v>1449</v>
      </c>
      <c r="F128" s="811" t="s">
        <v>1672</v>
      </c>
      <c r="G128" s="811" t="s">
        <v>1652</v>
      </c>
      <c r="H128" s="811" t="s">
        <v>1653</v>
      </c>
      <c r="I128" s="811" t="s">
        <v>1654</v>
      </c>
      <c r="J128" s="813">
        <v>69768000</v>
      </c>
      <c r="K128" s="811" t="s">
        <v>1655</v>
      </c>
      <c r="L128" s="811" t="s">
        <v>1212</v>
      </c>
      <c r="M128" s="811" t="s">
        <v>1635</v>
      </c>
      <c r="N128" s="811" t="s">
        <v>1635</v>
      </c>
      <c r="O128" s="811" t="s">
        <v>1759</v>
      </c>
      <c r="P128" s="811" t="s">
        <v>1760</v>
      </c>
      <c r="Q128" s="811" t="s">
        <v>1658</v>
      </c>
    </row>
    <row r="129" spans="1:17" x14ac:dyDescent="0.25">
      <c r="A129" s="811" t="s">
        <v>1649</v>
      </c>
      <c r="B129" s="811" t="s">
        <v>1836</v>
      </c>
      <c r="C129" s="812">
        <v>48348000</v>
      </c>
      <c r="D129" s="811" t="s">
        <v>1449</v>
      </c>
      <c r="E129" s="811" t="s">
        <v>1449</v>
      </c>
      <c r="F129" s="811" t="s">
        <v>1672</v>
      </c>
      <c r="G129" s="811" t="s">
        <v>1652</v>
      </c>
      <c r="H129" s="811" t="s">
        <v>1653</v>
      </c>
      <c r="I129" s="811" t="s">
        <v>1654</v>
      </c>
      <c r="J129" s="813">
        <v>48348000</v>
      </c>
      <c r="K129" s="811" t="s">
        <v>1655</v>
      </c>
      <c r="L129" s="811" t="s">
        <v>1212</v>
      </c>
      <c r="M129" s="811" t="s">
        <v>1635</v>
      </c>
      <c r="N129" s="811" t="s">
        <v>1635</v>
      </c>
      <c r="O129" s="811" t="s">
        <v>1759</v>
      </c>
      <c r="P129" s="811" t="s">
        <v>1760</v>
      </c>
      <c r="Q129" s="811" t="s">
        <v>1658</v>
      </c>
    </row>
    <row r="130" spans="1:17" x14ac:dyDescent="0.25">
      <c r="A130" s="811" t="s">
        <v>1649</v>
      </c>
      <c r="B130" s="811" t="s">
        <v>1835</v>
      </c>
      <c r="C130" s="812">
        <v>69600000</v>
      </c>
      <c r="D130" s="811" t="s">
        <v>1445</v>
      </c>
      <c r="E130" s="811" t="s">
        <v>1445</v>
      </c>
      <c r="F130" s="811" t="s">
        <v>1672</v>
      </c>
      <c r="G130" s="811" t="s">
        <v>1652</v>
      </c>
      <c r="H130" s="811" t="s">
        <v>1653</v>
      </c>
      <c r="I130" s="811" t="s">
        <v>1654</v>
      </c>
      <c r="J130" s="813">
        <v>69600000</v>
      </c>
      <c r="K130" s="811" t="s">
        <v>1655</v>
      </c>
      <c r="L130" s="811" t="s">
        <v>1212</v>
      </c>
      <c r="M130" s="811" t="s">
        <v>1635</v>
      </c>
      <c r="N130" s="811" t="s">
        <v>1635</v>
      </c>
      <c r="O130" s="811" t="s">
        <v>1759</v>
      </c>
      <c r="P130" s="811" t="s">
        <v>1760</v>
      </c>
      <c r="Q130" s="811" t="s">
        <v>1658</v>
      </c>
    </row>
    <row r="131" spans="1:17" x14ac:dyDescent="0.25">
      <c r="A131" s="811" t="s">
        <v>1649</v>
      </c>
      <c r="B131" s="811" t="s">
        <v>1775</v>
      </c>
      <c r="C131" s="812">
        <v>58752000</v>
      </c>
      <c r="D131" s="811" t="s">
        <v>1445</v>
      </c>
      <c r="E131" s="811" t="s">
        <v>1445</v>
      </c>
      <c r="F131" s="811" t="s">
        <v>1672</v>
      </c>
      <c r="G131" s="811" t="s">
        <v>1652</v>
      </c>
      <c r="H131" s="811" t="s">
        <v>1653</v>
      </c>
      <c r="I131" s="811" t="s">
        <v>1654</v>
      </c>
      <c r="J131" s="813">
        <v>58752000</v>
      </c>
      <c r="K131" s="811" t="s">
        <v>1655</v>
      </c>
      <c r="L131" s="811" t="s">
        <v>1212</v>
      </c>
      <c r="M131" s="811" t="s">
        <v>1635</v>
      </c>
      <c r="N131" s="811" t="s">
        <v>1635</v>
      </c>
      <c r="O131" s="811" t="s">
        <v>1759</v>
      </c>
      <c r="P131" s="811" t="s">
        <v>1760</v>
      </c>
      <c r="Q131" s="811" t="s">
        <v>1658</v>
      </c>
    </row>
    <row r="132" spans="1:17" x14ac:dyDescent="0.25">
      <c r="A132" s="811" t="s">
        <v>1649</v>
      </c>
      <c r="B132" s="811" t="s">
        <v>1837</v>
      </c>
      <c r="C132" s="812">
        <v>29700000</v>
      </c>
      <c r="D132" s="811" t="s">
        <v>1449</v>
      </c>
      <c r="E132" s="811" t="s">
        <v>1449</v>
      </c>
      <c r="F132" s="811" t="s">
        <v>1666</v>
      </c>
      <c r="G132" s="811" t="s">
        <v>1652</v>
      </c>
      <c r="H132" s="811" t="s">
        <v>1653</v>
      </c>
      <c r="I132" s="811" t="s">
        <v>1654</v>
      </c>
      <c r="J132" s="813">
        <v>29700000</v>
      </c>
      <c r="K132" s="811" t="s">
        <v>1655</v>
      </c>
      <c r="L132" s="811" t="s">
        <v>1212</v>
      </c>
      <c r="M132" s="811" t="s">
        <v>1635</v>
      </c>
      <c r="N132" s="811" t="s">
        <v>1635</v>
      </c>
      <c r="O132" s="811" t="s">
        <v>1699</v>
      </c>
      <c r="P132" s="811" t="s">
        <v>1657</v>
      </c>
      <c r="Q132" s="811" t="s">
        <v>1700</v>
      </c>
    </row>
    <row r="133" spans="1:17" x14ac:dyDescent="0.25">
      <c r="A133" s="811" t="s">
        <v>1649</v>
      </c>
      <c r="B133" s="811" t="s">
        <v>1838</v>
      </c>
      <c r="C133" s="812">
        <v>68000000</v>
      </c>
      <c r="D133" s="811" t="s">
        <v>1440</v>
      </c>
      <c r="E133" s="811" t="s">
        <v>1440</v>
      </c>
      <c r="F133" s="811" t="s">
        <v>1651</v>
      </c>
      <c r="G133" s="811" t="s">
        <v>1652</v>
      </c>
      <c r="H133" s="811" t="s">
        <v>1653</v>
      </c>
      <c r="I133" s="811" t="s">
        <v>1654</v>
      </c>
      <c r="J133" s="813">
        <v>68000000</v>
      </c>
      <c r="K133" s="811" t="s">
        <v>1655</v>
      </c>
      <c r="L133" s="811" t="s">
        <v>1212</v>
      </c>
      <c r="M133" s="811" t="s">
        <v>1635</v>
      </c>
      <c r="N133" s="811" t="s">
        <v>1635</v>
      </c>
      <c r="O133" s="811" t="s">
        <v>1699</v>
      </c>
      <c r="P133" s="811" t="s">
        <v>1657</v>
      </c>
      <c r="Q133" s="811" t="s">
        <v>1700</v>
      </c>
    </row>
    <row r="134" spans="1:17" x14ac:dyDescent="0.25">
      <c r="A134" s="811" t="s">
        <v>1649</v>
      </c>
      <c r="B134" s="811" t="s">
        <v>1839</v>
      </c>
      <c r="C134" s="812">
        <v>68400000</v>
      </c>
      <c r="D134" s="811" t="s">
        <v>1440</v>
      </c>
      <c r="E134" s="811" t="s">
        <v>1440</v>
      </c>
      <c r="F134" s="811" t="s">
        <v>1768</v>
      </c>
      <c r="G134" s="811" t="s">
        <v>1652</v>
      </c>
      <c r="H134" s="811" t="s">
        <v>1653</v>
      </c>
      <c r="I134" s="811" t="s">
        <v>1654</v>
      </c>
      <c r="J134" s="813">
        <v>68400000</v>
      </c>
      <c r="K134" s="811" t="s">
        <v>1655</v>
      </c>
      <c r="L134" s="811" t="s">
        <v>1212</v>
      </c>
      <c r="M134" s="811" t="s">
        <v>1635</v>
      </c>
      <c r="N134" s="811" t="s">
        <v>1635</v>
      </c>
      <c r="O134" s="811" t="s">
        <v>1769</v>
      </c>
      <c r="P134" s="811" t="s">
        <v>1657</v>
      </c>
      <c r="Q134" s="811" t="s">
        <v>1705</v>
      </c>
    </row>
    <row r="135" spans="1:17" x14ac:dyDescent="0.25">
      <c r="A135" s="811" t="s">
        <v>1649</v>
      </c>
      <c r="B135" s="811" t="s">
        <v>1840</v>
      </c>
      <c r="C135" s="812">
        <v>44000000</v>
      </c>
      <c r="D135" s="811" t="s">
        <v>1445</v>
      </c>
      <c r="E135" s="811" t="s">
        <v>1445</v>
      </c>
      <c r="F135" s="811" t="s">
        <v>1689</v>
      </c>
      <c r="G135" s="811" t="s">
        <v>1652</v>
      </c>
      <c r="H135" s="811" t="s">
        <v>1653</v>
      </c>
      <c r="I135" s="811" t="s">
        <v>1654</v>
      </c>
      <c r="J135" s="813">
        <v>44000000</v>
      </c>
      <c r="K135" s="811" t="s">
        <v>1655</v>
      </c>
      <c r="L135" s="811" t="s">
        <v>1212</v>
      </c>
      <c r="M135" s="811" t="s">
        <v>1635</v>
      </c>
      <c r="N135" s="811" t="s">
        <v>1635</v>
      </c>
      <c r="O135" s="811" t="s">
        <v>1686</v>
      </c>
      <c r="P135" s="811" t="s">
        <v>1657</v>
      </c>
      <c r="Q135" s="811" t="s">
        <v>1658</v>
      </c>
    </row>
    <row r="136" spans="1:17" x14ac:dyDescent="0.25">
      <c r="A136" s="811" t="s">
        <v>1649</v>
      </c>
      <c r="B136" s="811" t="s">
        <v>1841</v>
      </c>
      <c r="C136" s="812">
        <v>33000000</v>
      </c>
      <c r="D136" s="811" t="s">
        <v>1445</v>
      </c>
      <c r="E136" s="811" t="s">
        <v>1445</v>
      </c>
      <c r="F136" s="811" t="s">
        <v>1689</v>
      </c>
      <c r="G136" s="811" t="s">
        <v>1652</v>
      </c>
      <c r="H136" s="811" t="s">
        <v>1653</v>
      </c>
      <c r="I136" s="811" t="s">
        <v>1654</v>
      </c>
      <c r="J136" s="813">
        <v>33000000</v>
      </c>
      <c r="K136" s="811" t="s">
        <v>1655</v>
      </c>
      <c r="L136" s="811" t="s">
        <v>1212</v>
      </c>
      <c r="M136" s="811" t="s">
        <v>1635</v>
      </c>
      <c r="N136" s="811" t="s">
        <v>1635</v>
      </c>
      <c r="O136" s="811" t="s">
        <v>1686</v>
      </c>
      <c r="P136" s="811" t="s">
        <v>1657</v>
      </c>
      <c r="Q136" s="811" t="s">
        <v>1658</v>
      </c>
    </row>
    <row r="137" spans="1:17" x14ac:dyDescent="0.25">
      <c r="A137" s="811" t="s">
        <v>1649</v>
      </c>
      <c r="B137" s="811" t="s">
        <v>1842</v>
      </c>
      <c r="C137" s="812">
        <v>42500000</v>
      </c>
      <c r="D137" s="811" t="s">
        <v>1445</v>
      </c>
      <c r="E137" s="811" t="s">
        <v>1445</v>
      </c>
      <c r="F137" s="811" t="s">
        <v>1651</v>
      </c>
      <c r="G137" s="811" t="s">
        <v>1652</v>
      </c>
      <c r="H137" s="811" t="s">
        <v>1653</v>
      </c>
      <c r="I137" s="811" t="s">
        <v>1654</v>
      </c>
      <c r="J137" s="813">
        <v>42500000</v>
      </c>
      <c r="K137" s="811" t="s">
        <v>1655</v>
      </c>
      <c r="L137" s="811" t="s">
        <v>1212</v>
      </c>
      <c r="M137" s="811" t="s">
        <v>1635</v>
      </c>
      <c r="N137" s="811" t="s">
        <v>1635</v>
      </c>
      <c r="O137" s="811" t="s">
        <v>1686</v>
      </c>
      <c r="P137" s="811" t="s">
        <v>1657</v>
      </c>
      <c r="Q137" s="811" t="s">
        <v>1658</v>
      </c>
    </row>
    <row r="138" spans="1:17" x14ac:dyDescent="0.25">
      <c r="A138" s="811" t="s">
        <v>1649</v>
      </c>
      <c r="B138" s="811" t="s">
        <v>1843</v>
      </c>
      <c r="C138" s="812">
        <v>42500000</v>
      </c>
      <c r="D138" s="811" t="s">
        <v>1445</v>
      </c>
      <c r="E138" s="811" t="s">
        <v>1445</v>
      </c>
      <c r="F138" s="811" t="s">
        <v>1651</v>
      </c>
      <c r="G138" s="811" t="s">
        <v>1652</v>
      </c>
      <c r="H138" s="811" t="s">
        <v>1653</v>
      </c>
      <c r="I138" s="811" t="s">
        <v>1654</v>
      </c>
      <c r="J138" s="813">
        <v>42500000</v>
      </c>
      <c r="K138" s="811" t="s">
        <v>1655</v>
      </c>
      <c r="L138" s="811" t="s">
        <v>1212</v>
      </c>
      <c r="M138" s="811" t="s">
        <v>1635</v>
      </c>
      <c r="N138" s="811" t="s">
        <v>1635</v>
      </c>
      <c r="O138" s="811" t="s">
        <v>1686</v>
      </c>
      <c r="P138" s="811" t="s">
        <v>1657</v>
      </c>
      <c r="Q138" s="811" t="s">
        <v>1658</v>
      </c>
    </row>
    <row r="139" spans="1:17" x14ac:dyDescent="0.25">
      <c r="A139" s="811" t="s">
        <v>1649</v>
      </c>
      <c r="B139" s="811" t="s">
        <v>1844</v>
      </c>
      <c r="C139" s="812">
        <v>54511560</v>
      </c>
      <c r="D139" s="811" t="s">
        <v>1449</v>
      </c>
      <c r="E139" s="811" t="s">
        <v>1449</v>
      </c>
      <c r="F139" s="811" t="s">
        <v>1651</v>
      </c>
      <c r="G139" s="811" t="s">
        <v>1652</v>
      </c>
      <c r="H139" s="811" t="s">
        <v>1653</v>
      </c>
      <c r="I139" s="811" t="s">
        <v>1654</v>
      </c>
      <c r="J139" s="813">
        <v>54511560</v>
      </c>
      <c r="K139" s="811" t="s">
        <v>1655</v>
      </c>
      <c r="L139" s="811" t="s">
        <v>1212</v>
      </c>
      <c r="M139" s="811" t="s">
        <v>1635</v>
      </c>
      <c r="N139" s="811" t="s">
        <v>1635</v>
      </c>
      <c r="O139" s="811" t="s">
        <v>1845</v>
      </c>
      <c r="P139" s="811" t="s">
        <v>1657</v>
      </c>
      <c r="Q139" s="811" t="s">
        <v>1710</v>
      </c>
    </row>
    <row r="140" spans="1:17" x14ac:dyDescent="0.25">
      <c r="A140" s="811" t="s">
        <v>1649</v>
      </c>
      <c r="B140" s="811" t="s">
        <v>1846</v>
      </c>
      <c r="C140" s="812">
        <v>34967856</v>
      </c>
      <c r="D140" s="811" t="s">
        <v>1542</v>
      </c>
      <c r="E140" s="811" t="s">
        <v>1542</v>
      </c>
      <c r="F140" s="811" t="s">
        <v>1651</v>
      </c>
      <c r="G140" s="811" t="s">
        <v>1652</v>
      </c>
      <c r="H140" s="811" t="s">
        <v>1653</v>
      </c>
      <c r="I140" s="811" t="s">
        <v>1654</v>
      </c>
      <c r="J140" s="813">
        <v>34967856</v>
      </c>
      <c r="K140" s="811" t="s">
        <v>1655</v>
      </c>
      <c r="L140" s="811" t="s">
        <v>1212</v>
      </c>
      <c r="M140" s="811" t="s">
        <v>1635</v>
      </c>
      <c r="N140" s="811" t="s">
        <v>1635</v>
      </c>
      <c r="O140" s="811" t="s">
        <v>1845</v>
      </c>
      <c r="P140" s="811" t="s">
        <v>1657</v>
      </c>
      <c r="Q140" s="811" t="s">
        <v>1710</v>
      </c>
    </row>
    <row r="141" spans="1:17" x14ac:dyDescent="0.25">
      <c r="A141" s="811" t="s">
        <v>1847</v>
      </c>
      <c r="B141" s="811" t="s">
        <v>1848</v>
      </c>
      <c r="C141" s="812">
        <v>50000000</v>
      </c>
      <c r="D141" s="811" t="s">
        <v>1542</v>
      </c>
      <c r="E141" s="811" t="s">
        <v>1542</v>
      </c>
      <c r="F141" s="811" t="s">
        <v>1727</v>
      </c>
      <c r="G141" s="811" t="s">
        <v>1652</v>
      </c>
      <c r="H141" s="811" t="s">
        <v>1577</v>
      </c>
      <c r="I141" s="811" t="s">
        <v>1654</v>
      </c>
      <c r="J141" s="813">
        <v>50000000</v>
      </c>
      <c r="K141" s="811" t="s">
        <v>1655</v>
      </c>
      <c r="L141" s="811" t="s">
        <v>1212</v>
      </c>
      <c r="M141" s="811" t="s">
        <v>1635</v>
      </c>
      <c r="N141" s="811" t="s">
        <v>1635</v>
      </c>
      <c r="O141" s="811" t="s">
        <v>1845</v>
      </c>
      <c r="P141" s="811" t="s">
        <v>1657</v>
      </c>
      <c r="Q141" s="811" t="s">
        <v>1710</v>
      </c>
    </row>
    <row r="142" spans="1:17" x14ac:dyDescent="0.25">
      <c r="A142" s="811" t="s">
        <v>1849</v>
      </c>
      <c r="B142" s="811" t="s">
        <v>1850</v>
      </c>
      <c r="C142" s="812">
        <v>53000000</v>
      </c>
      <c r="D142" s="811" t="s">
        <v>1454</v>
      </c>
      <c r="E142" s="811" t="s">
        <v>1454</v>
      </c>
      <c r="F142" s="811" t="s">
        <v>1672</v>
      </c>
      <c r="G142" s="811" t="s">
        <v>1652</v>
      </c>
      <c r="H142" s="811" t="s">
        <v>1663</v>
      </c>
      <c r="I142" s="811" t="s">
        <v>1654</v>
      </c>
      <c r="J142" s="813">
        <v>53000000</v>
      </c>
      <c r="K142" s="811" t="s">
        <v>1655</v>
      </c>
      <c r="L142" s="811" t="s">
        <v>1212</v>
      </c>
      <c r="M142" s="811" t="s">
        <v>1635</v>
      </c>
      <c r="N142" s="811" t="s">
        <v>1635</v>
      </c>
      <c r="O142" s="811" t="s">
        <v>1845</v>
      </c>
      <c r="P142" s="811" t="s">
        <v>1657</v>
      </c>
      <c r="Q142" s="811" t="s">
        <v>1710</v>
      </c>
    </row>
    <row r="143" spans="1:17" x14ac:dyDescent="0.25">
      <c r="A143" s="811" t="s">
        <v>1851</v>
      </c>
      <c r="B143" s="811" t="s">
        <v>1852</v>
      </c>
      <c r="C143" s="812">
        <v>309400000</v>
      </c>
      <c r="D143" s="811" t="s">
        <v>1449</v>
      </c>
      <c r="E143" s="811" t="s">
        <v>1449</v>
      </c>
      <c r="F143" s="811" t="s">
        <v>1689</v>
      </c>
      <c r="G143" s="811" t="s">
        <v>1652</v>
      </c>
      <c r="H143" s="811" t="s">
        <v>1663</v>
      </c>
      <c r="I143" s="811" t="s">
        <v>1654</v>
      </c>
      <c r="J143" s="813">
        <v>309400000</v>
      </c>
      <c r="K143" s="811" t="s">
        <v>1655</v>
      </c>
      <c r="L143" s="811" t="s">
        <v>1212</v>
      </c>
      <c r="M143" s="811" t="s">
        <v>1635</v>
      </c>
      <c r="N143" s="811" t="s">
        <v>1635</v>
      </c>
      <c r="O143" s="811" t="s">
        <v>1845</v>
      </c>
      <c r="P143" s="811" t="s">
        <v>1657</v>
      </c>
      <c r="Q143" s="811" t="s">
        <v>1710</v>
      </c>
    </row>
    <row r="144" spans="1:17" x14ac:dyDescent="0.25">
      <c r="A144" s="811" t="s">
        <v>1851</v>
      </c>
      <c r="B144" s="811" t="s">
        <v>1852</v>
      </c>
      <c r="C144" s="812">
        <v>445000000</v>
      </c>
      <c r="D144" s="811" t="s">
        <v>1449</v>
      </c>
      <c r="E144" s="811" t="s">
        <v>1449</v>
      </c>
      <c r="F144" s="811" t="s">
        <v>1689</v>
      </c>
      <c r="G144" s="811" t="s">
        <v>1652</v>
      </c>
      <c r="H144" s="811" t="s">
        <v>1663</v>
      </c>
      <c r="I144" s="811" t="s">
        <v>1654</v>
      </c>
      <c r="J144" s="813">
        <v>445000000</v>
      </c>
      <c r="K144" s="811" t="s">
        <v>1655</v>
      </c>
      <c r="L144" s="811" t="s">
        <v>1212</v>
      </c>
      <c r="M144" s="811" t="s">
        <v>1635</v>
      </c>
      <c r="N144" s="811" t="s">
        <v>1635</v>
      </c>
      <c r="O144" s="811" t="s">
        <v>1845</v>
      </c>
      <c r="P144" s="811" t="s">
        <v>1657</v>
      </c>
      <c r="Q144" s="811" t="s">
        <v>1710</v>
      </c>
    </row>
    <row r="145" spans="1:17" x14ac:dyDescent="0.25">
      <c r="A145" s="811" t="s">
        <v>1853</v>
      </c>
      <c r="B145" s="811" t="s">
        <v>1854</v>
      </c>
      <c r="C145" s="812">
        <v>19000000</v>
      </c>
      <c r="D145" s="811" t="s">
        <v>1446</v>
      </c>
      <c r="E145" s="811" t="s">
        <v>1446</v>
      </c>
      <c r="F145" s="811" t="s">
        <v>1662</v>
      </c>
      <c r="G145" s="811" t="s">
        <v>1652</v>
      </c>
      <c r="H145" s="811" t="s">
        <v>1663</v>
      </c>
      <c r="I145" s="811" t="s">
        <v>1654</v>
      </c>
      <c r="J145" s="813">
        <v>19000000</v>
      </c>
      <c r="K145" s="811" t="s">
        <v>1655</v>
      </c>
      <c r="L145" s="811" t="s">
        <v>1212</v>
      </c>
      <c r="M145" s="811" t="s">
        <v>1635</v>
      </c>
      <c r="N145" s="811" t="s">
        <v>1635</v>
      </c>
      <c r="O145" s="811" t="s">
        <v>1845</v>
      </c>
      <c r="P145" s="811" t="s">
        <v>1657</v>
      </c>
      <c r="Q145" s="811" t="s">
        <v>1710</v>
      </c>
    </row>
    <row r="146" spans="1:17" x14ac:dyDescent="0.25">
      <c r="A146" s="811" t="s">
        <v>1649</v>
      </c>
      <c r="B146" s="811" t="s">
        <v>1855</v>
      </c>
      <c r="C146" s="812">
        <v>44517774</v>
      </c>
      <c r="D146" s="811" t="s">
        <v>1445</v>
      </c>
      <c r="E146" s="811" t="s">
        <v>1445</v>
      </c>
      <c r="F146" s="811" t="s">
        <v>1685</v>
      </c>
      <c r="G146" s="811" t="s">
        <v>1652</v>
      </c>
      <c r="H146" s="811" t="s">
        <v>1653</v>
      </c>
      <c r="I146" s="811" t="s">
        <v>1654</v>
      </c>
      <c r="J146" s="813">
        <v>44517774</v>
      </c>
      <c r="K146" s="811" t="s">
        <v>1655</v>
      </c>
      <c r="L146" s="811" t="s">
        <v>1212</v>
      </c>
      <c r="M146" s="811" t="s">
        <v>1635</v>
      </c>
      <c r="N146" s="811" t="s">
        <v>1635</v>
      </c>
      <c r="O146" s="811" t="s">
        <v>1845</v>
      </c>
      <c r="P146" s="811" t="s">
        <v>1657</v>
      </c>
      <c r="Q146" s="811" t="s">
        <v>1710</v>
      </c>
    </row>
    <row r="147" spans="1:17" x14ac:dyDescent="0.25">
      <c r="A147" s="811" t="s">
        <v>1649</v>
      </c>
      <c r="B147" s="811" t="s">
        <v>1856</v>
      </c>
      <c r="C147" s="812">
        <v>31798410</v>
      </c>
      <c r="D147" s="811" t="s">
        <v>1445</v>
      </c>
      <c r="E147" s="811" t="s">
        <v>1445</v>
      </c>
      <c r="F147" s="811" t="s">
        <v>1685</v>
      </c>
      <c r="G147" s="811" t="s">
        <v>1652</v>
      </c>
      <c r="H147" s="811" t="s">
        <v>1653</v>
      </c>
      <c r="I147" s="811" t="s">
        <v>1654</v>
      </c>
      <c r="J147" s="813">
        <v>31798410</v>
      </c>
      <c r="K147" s="811" t="s">
        <v>1655</v>
      </c>
      <c r="L147" s="811" t="s">
        <v>1212</v>
      </c>
      <c r="M147" s="811" t="s">
        <v>1635</v>
      </c>
      <c r="N147" s="811" t="s">
        <v>1635</v>
      </c>
      <c r="O147" s="811" t="s">
        <v>1845</v>
      </c>
      <c r="P147" s="811" t="s">
        <v>1657</v>
      </c>
      <c r="Q147" s="811" t="s">
        <v>1710</v>
      </c>
    </row>
    <row r="148" spans="1:17" x14ac:dyDescent="0.25">
      <c r="A148" s="811" t="s">
        <v>1649</v>
      </c>
      <c r="B148" s="811" t="s">
        <v>1857</v>
      </c>
      <c r="C148" s="812">
        <v>85250000</v>
      </c>
      <c r="D148" s="811" t="s">
        <v>1440</v>
      </c>
      <c r="E148" s="811" t="s">
        <v>1440</v>
      </c>
      <c r="F148" s="811" t="s">
        <v>1689</v>
      </c>
      <c r="G148" s="811" t="s">
        <v>1652</v>
      </c>
      <c r="H148" s="811" t="s">
        <v>1653</v>
      </c>
      <c r="I148" s="811" t="s">
        <v>1654</v>
      </c>
      <c r="J148" s="813">
        <v>85250000</v>
      </c>
      <c r="K148" s="811" t="s">
        <v>1655</v>
      </c>
      <c r="L148" s="811" t="s">
        <v>1212</v>
      </c>
      <c r="M148" s="811" t="s">
        <v>1635</v>
      </c>
      <c r="N148" s="811" t="s">
        <v>1635</v>
      </c>
      <c r="O148" s="811" t="s">
        <v>1681</v>
      </c>
      <c r="P148" s="811" t="s">
        <v>1657</v>
      </c>
      <c r="Q148" s="811" t="s">
        <v>1682</v>
      </c>
    </row>
    <row r="149" spans="1:17" x14ac:dyDescent="0.25">
      <c r="A149" s="811" t="s">
        <v>1649</v>
      </c>
      <c r="B149" s="811" t="s">
        <v>1858</v>
      </c>
      <c r="C149" s="812">
        <v>100000000</v>
      </c>
      <c r="D149" s="811" t="s">
        <v>1449</v>
      </c>
      <c r="E149" s="811" t="s">
        <v>1449</v>
      </c>
      <c r="F149" s="811" t="s">
        <v>1685</v>
      </c>
      <c r="G149" s="811" t="s">
        <v>1652</v>
      </c>
      <c r="H149" s="811" t="s">
        <v>1653</v>
      </c>
      <c r="I149" s="811" t="s">
        <v>1654</v>
      </c>
      <c r="J149" s="813">
        <v>100000000</v>
      </c>
      <c r="K149" s="811" t="s">
        <v>1655</v>
      </c>
      <c r="L149" s="811" t="s">
        <v>1212</v>
      </c>
      <c r="M149" s="811" t="s">
        <v>1635</v>
      </c>
      <c r="N149" s="811" t="s">
        <v>1635</v>
      </c>
      <c r="O149" s="811" t="s">
        <v>1681</v>
      </c>
      <c r="P149" s="811" t="s">
        <v>1657</v>
      </c>
      <c r="Q149" s="811" t="s">
        <v>1682</v>
      </c>
    </row>
    <row r="150" spans="1:17" x14ac:dyDescent="0.25">
      <c r="A150" s="811" t="s">
        <v>1649</v>
      </c>
      <c r="B150" s="811" t="s">
        <v>1859</v>
      </c>
      <c r="C150" s="812">
        <v>75000000</v>
      </c>
      <c r="D150" s="811" t="s">
        <v>1449</v>
      </c>
      <c r="E150" s="811" t="s">
        <v>1449</v>
      </c>
      <c r="F150" s="811" t="s">
        <v>1685</v>
      </c>
      <c r="G150" s="811" t="s">
        <v>1652</v>
      </c>
      <c r="H150" s="811" t="s">
        <v>1653</v>
      </c>
      <c r="I150" s="811" t="s">
        <v>1654</v>
      </c>
      <c r="J150" s="813">
        <v>75000000</v>
      </c>
      <c r="K150" s="811" t="s">
        <v>1655</v>
      </c>
      <c r="L150" s="811" t="s">
        <v>1212</v>
      </c>
      <c r="M150" s="811" t="s">
        <v>1635</v>
      </c>
      <c r="N150" s="811" t="s">
        <v>1635</v>
      </c>
      <c r="O150" s="811" t="s">
        <v>1681</v>
      </c>
      <c r="P150" s="811" t="s">
        <v>1657</v>
      </c>
      <c r="Q150" s="811" t="s">
        <v>1682</v>
      </c>
    </row>
    <row r="151" spans="1:17" x14ac:dyDescent="0.25">
      <c r="A151" s="811" t="s">
        <v>1649</v>
      </c>
      <c r="B151" s="811" t="s">
        <v>1860</v>
      </c>
      <c r="C151" s="812">
        <v>17854947</v>
      </c>
      <c r="D151" s="811" t="s">
        <v>1440</v>
      </c>
      <c r="E151" s="811" t="s">
        <v>1440</v>
      </c>
      <c r="F151" s="811" t="s">
        <v>1662</v>
      </c>
      <c r="G151" s="811" t="s">
        <v>1652</v>
      </c>
      <c r="H151" s="811" t="s">
        <v>1653</v>
      </c>
      <c r="I151" s="811" t="s">
        <v>1654</v>
      </c>
      <c r="J151" s="813">
        <v>17854947</v>
      </c>
      <c r="K151" s="811" t="s">
        <v>1655</v>
      </c>
      <c r="L151" s="811" t="s">
        <v>1212</v>
      </c>
      <c r="M151" s="811" t="s">
        <v>1635</v>
      </c>
      <c r="N151" s="811" t="s">
        <v>1635</v>
      </c>
      <c r="O151" s="811" t="s">
        <v>1667</v>
      </c>
      <c r="P151" s="811" t="s">
        <v>1657</v>
      </c>
      <c r="Q151" s="811" t="s">
        <v>1668</v>
      </c>
    </row>
    <row r="152" spans="1:17" x14ac:dyDescent="0.25">
      <c r="A152" s="811" t="s">
        <v>1649</v>
      </c>
      <c r="B152" s="811" t="s">
        <v>1861</v>
      </c>
      <c r="C152" s="812">
        <v>39270000</v>
      </c>
      <c r="D152" s="811" t="s">
        <v>1440</v>
      </c>
      <c r="E152" s="811" t="s">
        <v>1440</v>
      </c>
      <c r="F152" s="811" t="s">
        <v>1689</v>
      </c>
      <c r="G152" s="811" t="s">
        <v>1652</v>
      </c>
      <c r="H152" s="811" t="s">
        <v>1653</v>
      </c>
      <c r="I152" s="811" t="s">
        <v>1654</v>
      </c>
      <c r="J152" s="813">
        <v>39270000</v>
      </c>
      <c r="K152" s="811" t="s">
        <v>1655</v>
      </c>
      <c r="L152" s="811" t="s">
        <v>1212</v>
      </c>
      <c r="M152" s="811" t="s">
        <v>1635</v>
      </c>
      <c r="N152" s="811" t="s">
        <v>1635</v>
      </c>
      <c r="O152" s="811" t="s">
        <v>1667</v>
      </c>
      <c r="P152" s="811" t="s">
        <v>1657</v>
      </c>
      <c r="Q152" s="811" t="s">
        <v>1668</v>
      </c>
    </row>
    <row r="153" spans="1:17" x14ac:dyDescent="0.25">
      <c r="A153" s="811" t="s">
        <v>1649</v>
      </c>
      <c r="B153" s="811" t="s">
        <v>1862</v>
      </c>
      <c r="C153" s="812">
        <v>78234000</v>
      </c>
      <c r="D153" s="811" t="s">
        <v>1440</v>
      </c>
      <c r="E153" s="811" t="s">
        <v>1440</v>
      </c>
      <c r="F153" s="811" t="s">
        <v>1672</v>
      </c>
      <c r="G153" s="811" t="s">
        <v>1652</v>
      </c>
      <c r="H153" s="811" t="s">
        <v>1653</v>
      </c>
      <c r="I153" s="811" t="s">
        <v>1654</v>
      </c>
      <c r="J153" s="813">
        <v>78234000</v>
      </c>
      <c r="K153" s="811" t="s">
        <v>1655</v>
      </c>
      <c r="L153" s="811" t="s">
        <v>1212</v>
      </c>
      <c r="M153" s="811" t="s">
        <v>1635</v>
      </c>
      <c r="N153" s="811" t="s">
        <v>1635</v>
      </c>
      <c r="O153" s="811" t="s">
        <v>1667</v>
      </c>
      <c r="P153" s="811" t="s">
        <v>1657</v>
      </c>
      <c r="Q153" s="811" t="s">
        <v>1668</v>
      </c>
    </row>
    <row r="154" spans="1:17" x14ac:dyDescent="0.25">
      <c r="A154" s="811" t="s">
        <v>1649</v>
      </c>
      <c r="B154" s="811" t="s">
        <v>1863</v>
      </c>
      <c r="C154" s="812">
        <v>34904400</v>
      </c>
      <c r="D154" s="811" t="s">
        <v>1440</v>
      </c>
      <c r="E154" s="811" t="s">
        <v>1440</v>
      </c>
      <c r="F154" s="811" t="s">
        <v>1672</v>
      </c>
      <c r="G154" s="811" t="s">
        <v>1652</v>
      </c>
      <c r="H154" s="811" t="s">
        <v>1653</v>
      </c>
      <c r="I154" s="811" t="s">
        <v>1654</v>
      </c>
      <c r="J154" s="813">
        <v>34904400</v>
      </c>
      <c r="K154" s="811" t="s">
        <v>1655</v>
      </c>
      <c r="L154" s="811" t="s">
        <v>1212</v>
      </c>
      <c r="M154" s="811" t="s">
        <v>1635</v>
      </c>
      <c r="N154" s="811" t="s">
        <v>1635</v>
      </c>
      <c r="O154" s="811" t="s">
        <v>1667</v>
      </c>
      <c r="P154" s="811" t="s">
        <v>1657</v>
      </c>
      <c r="Q154" s="811" t="s">
        <v>1668</v>
      </c>
    </row>
    <row r="155" spans="1:17" x14ac:dyDescent="0.25">
      <c r="A155" s="811" t="s">
        <v>1649</v>
      </c>
      <c r="B155" s="811" t="s">
        <v>1864</v>
      </c>
      <c r="C155" s="812">
        <v>32538000</v>
      </c>
      <c r="D155" s="811" t="s">
        <v>1542</v>
      </c>
      <c r="E155" s="811" t="s">
        <v>1542</v>
      </c>
      <c r="F155" s="811" t="s">
        <v>1666</v>
      </c>
      <c r="G155" s="811" t="s">
        <v>1652</v>
      </c>
      <c r="H155" s="811" t="s">
        <v>1653</v>
      </c>
      <c r="I155" s="811" t="s">
        <v>1654</v>
      </c>
      <c r="J155" s="813">
        <v>32538000</v>
      </c>
      <c r="K155" s="811" t="s">
        <v>1655</v>
      </c>
      <c r="L155" s="811" t="s">
        <v>1212</v>
      </c>
      <c r="M155" s="811" t="s">
        <v>1635</v>
      </c>
      <c r="N155" s="811" t="s">
        <v>1635</v>
      </c>
      <c r="O155" s="811" t="s">
        <v>1667</v>
      </c>
      <c r="P155" s="811" t="s">
        <v>1657</v>
      </c>
      <c r="Q155" s="811" t="s">
        <v>1668</v>
      </c>
    </row>
    <row r="156" spans="1:17" x14ac:dyDescent="0.25">
      <c r="A156" s="811" t="s">
        <v>1649</v>
      </c>
      <c r="B156" s="811" t="s">
        <v>1865</v>
      </c>
      <c r="C156" s="812">
        <v>46512000</v>
      </c>
      <c r="D156" s="811" t="s">
        <v>1542</v>
      </c>
      <c r="E156" s="811" t="s">
        <v>1542</v>
      </c>
      <c r="F156" s="811" t="s">
        <v>1666</v>
      </c>
      <c r="G156" s="811" t="s">
        <v>1652</v>
      </c>
      <c r="H156" s="811" t="s">
        <v>1653</v>
      </c>
      <c r="I156" s="811" t="s">
        <v>1654</v>
      </c>
      <c r="J156" s="813">
        <v>46512000</v>
      </c>
      <c r="K156" s="811" t="s">
        <v>1655</v>
      </c>
      <c r="L156" s="811" t="s">
        <v>1212</v>
      </c>
      <c r="M156" s="811" t="s">
        <v>1635</v>
      </c>
      <c r="N156" s="811" t="s">
        <v>1635</v>
      </c>
      <c r="O156" s="811" t="s">
        <v>1667</v>
      </c>
      <c r="P156" s="811" t="s">
        <v>1657</v>
      </c>
      <c r="Q156" s="811" t="s">
        <v>1668</v>
      </c>
    </row>
    <row r="157" spans="1:17" x14ac:dyDescent="0.25">
      <c r="A157" s="811" t="s">
        <v>1649</v>
      </c>
      <c r="B157" s="811" t="s">
        <v>1866</v>
      </c>
      <c r="C157" s="812">
        <v>38275500</v>
      </c>
      <c r="D157" s="811" t="s">
        <v>1445</v>
      </c>
      <c r="E157" s="811" t="s">
        <v>1445</v>
      </c>
      <c r="F157" s="811" t="s">
        <v>1666</v>
      </c>
      <c r="G157" s="811" t="s">
        <v>1652</v>
      </c>
      <c r="H157" s="811" t="s">
        <v>1653</v>
      </c>
      <c r="I157" s="811" t="s">
        <v>1654</v>
      </c>
      <c r="J157" s="813">
        <v>38275500</v>
      </c>
      <c r="K157" s="811" t="s">
        <v>1655</v>
      </c>
      <c r="L157" s="811" t="s">
        <v>1212</v>
      </c>
      <c r="M157" s="811" t="s">
        <v>1635</v>
      </c>
      <c r="N157" s="811" t="s">
        <v>1635</v>
      </c>
      <c r="O157" s="811" t="s">
        <v>1667</v>
      </c>
      <c r="P157" s="811" t="s">
        <v>1657</v>
      </c>
      <c r="Q157" s="811" t="s">
        <v>1668</v>
      </c>
    </row>
    <row r="158" spans="1:17" x14ac:dyDescent="0.25">
      <c r="A158" s="811" t="s">
        <v>1649</v>
      </c>
      <c r="B158" s="811" t="s">
        <v>1867</v>
      </c>
      <c r="C158" s="812">
        <v>24174695</v>
      </c>
      <c r="D158" s="811" t="s">
        <v>1445</v>
      </c>
      <c r="E158" s="811" t="s">
        <v>1445</v>
      </c>
      <c r="F158" s="811" t="s">
        <v>1666</v>
      </c>
      <c r="G158" s="811" t="s">
        <v>1652</v>
      </c>
      <c r="H158" s="811" t="s">
        <v>1653</v>
      </c>
      <c r="I158" s="811" t="s">
        <v>1654</v>
      </c>
      <c r="J158" s="813">
        <v>24174695</v>
      </c>
      <c r="K158" s="811" t="s">
        <v>1655</v>
      </c>
      <c r="L158" s="811" t="s">
        <v>1212</v>
      </c>
      <c r="M158" s="811" t="s">
        <v>1635</v>
      </c>
      <c r="N158" s="811" t="s">
        <v>1635</v>
      </c>
      <c r="O158" s="811" t="s">
        <v>1667</v>
      </c>
      <c r="P158" s="811" t="s">
        <v>1657</v>
      </c>
      <c r="Q158" s="811" t="s">
        <v>1668</v>
      </c>
    </row>
    <row r="159" spans="1:17" x14ac:dyDescent="0.25">
      <c r="A159" s="811" t="s">
        <v>1649</v>
      </c>
      <c r="B159" s="811" t="s">
        <v>1868</v>
      </c>
      <c r="C159" s="812">
        <v>24174695</v>
      </c>
      <c r="D159" s="811" t="s">
        <v>1445</v>
      </c>
      <c r="E159" s="811" t="s">
        <v>1445</v>
      </c>
      <c r="F159" s="811" t="s">
        <v>1666</v>
      </c>
      <c r="G159" s="811" t="s">
        <v>1652</v>
      </c>
      <c r="H159" s="811" t="s">
        <v>1653</v>
      </c>
      <c r="I159" s="811" t="s">
        <v>1654</v>
      </c>
      <c r="J159" s="813">
        <v>24174695</v>
      </c>
      <c r="K159" s="811" t="s">
        <v>1655</v>
      </c>
      <c r="L159" s="811" t="s">
        <v>1212</v>
      </c>
      <c r="M159" s="811" t="s">
        <v>1635</v>
      </c>
      <c r="N159" s="811" t="s">
        <v>1635</v>
      </c>
      <c r="O159" s="811" t="s">
        <v>1667</v>
      </c>
      <c r="P159" s="811" t="s">
        <v>1657</v>
      </c>
      <c r="Q159" s="811" t="s">
        <v>1668</v>
      </c>
    </row>
    <row r="160" spans="1:17" x14ac:dyDescent="0.25">
      <c r="A160" s="811" t="s">
        <v>1649</v>
      </c>
      <c r="B160" s="811" t="s">
        <v>1869</v>
      </c>
      <c r="C160" s="812">
        <v>34850000</v>
      </c>
      <c r="D160" s="811" t="s">
        <v>1542</v>
      </c>
      <c r="E160" s="811" t="s">
        <v>1542</v>
      </c>
      <c r="F160" s="811" t="s">
        <v>1666</v>
      </c>
      <c r="G160" s="811" t="s">
        <v>1652</v>
      </c>
      <c r="H160" s="811" t="s">
        <v>1653</v>
      </c>
      <c r="I160" s="811" t="s">
        <v>1654</v>
      </c>
      <c r="J160" s="813">
        <v>34850000</v>
      </c>
      <c r="K160" s="811" t="s">
        <v>1655</v>
      </c>
      <c r="L160" s="811" t="s">
        <v>1212</v>
      </c>
      <c r="M160" s="811" t="s">
        <v>1635</v>
      </c>
      <c r="N160" s="811" t="s">
        <v>1635</v>
      </c>
      <c r="O160" s="811" t="s">
        <v>1667</v>
      </c>
      <c r="P160" s="811" t="s">
        <v>1657</v>
      </c>
      <c r="Q160" s="811" t="s">
        <v>1668</v>
      </c>
    </row>
    <row r="161" spans="1:17" x14ac:dyDescent="0.25">
      <c r="A161" s="811" t="s">
        <v>1649</v>
      </c>
      <c r="B161" s="811" t="s">
        <v>1870</v>
      </c>
      <c r="C161" s="812">
        <v>34850000</v>
      </c>
      <c r="D161" s="811" t="s">
        <v>1542</v>
      </c>
      <c r="E161" s="811" t="s">
        <v>1542</v>
      </c>
      <c r="F161" s="811" t="s">
        <v>1666</v>
      </c>
      <c r="G161" s="811" t="s">
        <v>1652</v>
      </c>
      <c r="H161" s="811" t="s">
        <v>1653</v>
      </c>
      <c r="I161" s="811" t="s">
        <v>1654</v>
      </c>
      <c r="J161" s="813">
        <v>34850000</v>
      </c>
      <c r="K161" s="811" t="s">
        <v>1655</v>
      </c>
      <c r="L161" s="811" t="s">
        <v>1212</v>
      </c>
      <c r="M161" s="811" t="s">
        <v>1635</v>
      </c>
      <c r="N161" s="811" t="s">
        <v>1635</v>
      </c>
      <c r="O161" s="811" t="s">
        <v>1667</v>
      </c>
      <c r="P161" s="811" t="s">
        <v>1657</v>
      </c>
      <c r="Q161" s="811" t="s">
        <v>1668</v>
      </c>
    </row>
    <row r="162" spans="1:17" x14ac:dyDescent="0.25">
      <c r="A162" s="811" t="s">
        <v>1649</v>
      </c>
      <c r="B162" s="811" t="s">
        <v>1871</v>
      </c>
      <c r="C162" s="812">
        <v>32300000</v>
      </c>
      <c r="D162" s="811" t="s">
        <v>1542</v>
      </c>
      <c r="E162" s="811" t="s">
        <v>1542</v>
      </c>
      <c r="F162" s="811" t="s">
        <v>1666</v>
      </c>
      <c r="G162" s="811" t="s">
        <v>1652</v>
      </c>
      <c r="H162" s="811" t="s">
        <v>1653</v>
      </c>
      <c r="I162" s="811" t="s">
        <v>1654</v>
      </c>
      <c r="J162" s="813">
        <v>32300000</v>
      </c>
      <c r="K162" s="811" t="s">
        <v>1655</v>
      </c>
      <c r="L162" s="811" t="s">
        <v>1212</v>
      </c>
      <c r="M162" s="811" t="s">
        <v>1635</v>
      </c>
      <c r="N162" s="811" t="s">
        <v>1635</v>
      </c>
      <c r="O162" s="811" t="s">
        <v>1667</v>
      </c>
      <c r="P162" s="811" t="s">
        <v>1657</v>
      </c>
      <c r="Q162" s="811" t="s">
        <v>1668</v>
      </c>
    </row>
    <row r="163" spans="1:17" x14ac:dyDescent="0.25">
      <c r="A163" s="811" t="s">
        <v>1649</v>
      </c>
      <c r="B163" s="811" t="s">
        <v>1872</v>
      </c>
      <c r="C163" s="812">
        <v>32300000</v>
      </c>
      <c r="D163" s="811" t="s">
        <v>1542</v>
      </c>
      <c r="E163" s="811" t="s">
        <v>1542</v>
      </c>
      <c r="F163" s="811" t="s">
        <v>1666</v>
      </c>
      <c r="G163" s="811" t="s">
        <v>1652</v>
      </c>
      <c r="H163" s="811" t="s">
        <v>1653</v>
      </c>
      <c r="I163" s="811" t="s">
        <v>1654</v>
      </c>
      <c r="J163" s="813">
        <v>32300000</v>
      </c>
      <c r="K163" s="811" t="s">
        <v>1655</v>
      </c>
      <c r="L163" s="811" t="s">
        <v>1212</v>
      </c>
      <c r="M163" s="811" t="s">
        <v>1635</v>
      </c>
      <c r="N163" s="811" t="s">
        <v>1635</v>
      </c>
      <c r="O163" s="811" t="s">
        <v>1667</v>
      </c>
      <c r="P163" s="811" t="s">
        <v>1657</v>
      </c>
      <c r="Q163" s="811" t="s">
        <v>1668</v>
      </c>
    </row>
    <row r="164" spans="1:17" x14ac:dyDescent="0.25">
      <c r="A164" s="811" t="s">
        <v>1649</v>
      </c>
      <c r="B164" s="811" t="s">
        <v>1873</v>
      </c>
      <c r="C164" s="812">
        <v>32300000</v>
      </c>
      <c r="D164" s="811" t="s">
        <v>1542</v>
      </c>
      <c r="E164" s="811" t="s">
        <v>1542</v>
      </c>
      <c r="F164" s="811" t="s">
        <v>1666</v>
      </c>
      <c r="G164" s="811" t="s">
        <v>1652</v>
      </c>
      <c r="H164" s="811" t="s">
        <v>1653</v>
      </c>
      <c r="I164" s="811" t="s">
        <v>1654</v>
      </c>
      <c r="J164" s="813">
        <v>32300000</v>
      </c>
      <c r="K164" s="811" t="s">
        <v>1655</v>
      </c>
      <c r="L164" s="811" t="s">
        <v>1212</v>
      </c>
      <c r="M164" s="811" t="s">
        <v>1635</v>
      </c>
      <c r="N164" s="811" t="s">
        <v>1635</v>
      </c>
      <c r="O164" s="811" t="s">
        <v>1667</v>
      </c>
      <c r="P164" s="811" t="s">
        <v>1657</v>
      </c>
      <c r="Q164" s="811" t="s">
        <v>1668</v>
      </c>
    </row>
    <row r="165" spans="1:17" x14ac:dyDescent="0.25">
      <c r="A165" s="811" t="s">
        <v>1649</v>
      </c>
      <c r="B165" s="811" t="s">
        <v>1874</v>
      </c>
      <c r="C165" s="812">
        <v>34850000</v>
      </c>
      <c r="D165" s="811" t="s">
        <v>1542</v>
      </c>
      <c r="E165" s="811" t="s">
        <v>1542</v>
      </c>
      <c r="F165" s="811" t="s">
        <v>1666</v>
      </c>
      <c r="G165" s="811" t="s">
        <v>1652</v>
      </c>
      <c r="H165" s="811" t="s">
        <v>1653</v>
      </c>
      <c r="I165" s="811" t="s">
        <v>1654</v>
      </c>
      <c r="J165" s="813">
        <v>34850000</v>
      </c>
      <c r="K165" s="811" t="s">
        <v>1655</v>
      </c>
      <c r="L165" s="811" t="s">
        <v>1212</v>
      </c>
      <c r="M165" s="811" t="s">
        <v>1635</v>
      </c>
      <c r="N165" s="811" t="s">
        <v>1635</v>
      </c>
      <c r="O165" s="811" t="s">
        <v>1667</v>
      </c>
      <c r="P165" s="811" t="s">
        <v>1657</v>
      </c>
      <c r="Q165" s="811" t="s">
        <v>1668</v>
      </c>
    </row>
    <row r="166" spans="1:17" x14ac:dyDescent="0.25">
      <c r="A166" s="811" t="s">
        <v>1875</v>
      </c>
      <c r="B166" s="811" t="s">
        <v>1876</v>
      </c>
      <c r="C166" s="812">
        <v>583329000</v>
      </c>
      <c r="D166" s="811" t="s">
        <v>1453</v>
      </c>
      <c r="E166" s="811" t="s">
        <v>1453</v>
      </c>
      <c r="F166" s="811" t="s">
        <v>1662</v>
      </c>
      <c r="G166" s="811" t="s">
        <v>1652</v>
      </c>
      <c r="H166" s="811" t="s">
        <v>1653</v>
      </c>
      <c r="I166" s="811" t="s">
        <v>1654</v>
      </c>
      <c r="J166" s="813">
        <v>583329000</v>
      </c>
      <c r="K166" s="811" t="s">
        <v>1655</v>
      </c>
      <c r="L166" s="811" t="s">
        <v>1212</v>
      </c>
      <c r="M166" s="811" t="s">
        <v>1635</v>
      </c>
      <c r="N166" s="811" t="s">
        <v>1635</v>
      </c>
      <c r="O166" s="811" t="s">
        <v>1769</v>
      </c>
      <c r="P166" s="811" t="s">
        <v>1657</v>
      </c>
      <c r="Q166" s="811" t="s">
        <v>1705</v>
      </c>
    </row>
    <row r="167" spans="1:17" x14ac:dyDescent="0.25">
      <c r="A167" s="811" t="s">
        <v>1649</v>
      </c>
      <c r="B167" s="811" t="s">
        <v>1877</v>
      </c>
      <c r="C167" s="812">
        <v>59500000</v>
      </c>
      <c r="D167" s="811" t="s">
        <v>1453</v>
      </c>
      <c r="E167" s="811" t="s">
        <v>1453</v>
      </c>
      <c r="F167" s="811" t="s">
        <v>1698</v>
      </c>
      <c r="G167" s="811" t="s">
        <v>1652</v>
      </c>
      <c r="H167" s="811" t="s">
        <v>1653</v>
      </c>
      <c r="I167" s="811" t="s">
        <v>1654</v>
      </c>
      <c r="J167" s="813">
        <v>59500000</v>
      </c>
      <c r="K167" s="811" t="s">
        <v>1655</v>
      </c>
      <c r="L167" s="811" t="s">
        <v>1212</v>
      </c>
      <c r="M167" s="811" t="s">
        <v>1635</v>
      </c>
      <c r="N167" s="811" t="s">
        <v>1635</v>
      </c>
      <c r="O167" s="811" t="s">
        <v>1681</v>
      </c>
      <c r="P167" s="811" t="s">
        <v>1657</v>
      </c>
      <c r="Q167" s="811" t="s">
        <v>1682</v>
      </c>
    </row>
    <row r="168" spans="1:17" x14ac:dyDescent="0.25">
      <c r="A168" s="811" t="s">
        <v>1649</v>
      </c>
      <c r="B168" s="811" t="s">
        <v>1878</v>
      </c>
      <c r="C168" s="812">
        <v>69750000</v>
      </c>
      <c r="D168" s="811" t="s">
        <v>1445</v>
      </c>
      <c r="E168" s="811" t="s">
        <v>1445</v>
      </c>
      <c r="F168" s="811" t="s">
        <v>1666</v>
      </c>
      <c r="G168" s="811" t="s">
        <v>1652</v>
      </c>
      <c r="H168" s="811" t="s">
        <v>1653</v>
      </c>
      <c r="I168" s="811" t="s">
        <v>1654</v>
      </c>
      <c r="J168" s="813">
        <v>69750000</v>
      </c>
      <c r="K168" s="811" t="s">
        <v>1655</v>
      </c>
      <c r="L168" s="811" t="s">
        <v>1212</v>
      </c>
      <c r="M168" s="811" t="s">
        <v>1635</v>
      </c>
      <c r="N168" s="811" t="s">
        <v>1635</v>
      </c>
      <c r="O168" s="811" t="s">
        <v>1681</v>
      </c>
      <c r="P168" s="811" t="s">
        <v>1657</v>
      </c>
      <c r="Q168" s="811" t="s">
        <v>1682</v>
      </c>
    </row>
    <row r="169" spans="1:17" x14ac:dyDescent="0.25">
      <c r="A169" s="811" t="s">
        <v>1649</v>
      </c>
      <c r="B169" s="811" t="s">
        <v>1879</v>
      </c>
      <c r="C169" s="812">
        <v>69750000</v>
      </c>
      <c r="D169" s="811" t="s">
        <v>1445</v>
      </c>
      <c r="E169" s="811" t="s">
        <v>1445</v>
      </c>
      <c r="F169" s="811" t="s">
        <v>1666</v>
      </c>
      <c r="G169" s="811" t="s">
        <v>1652</v>
      </c>
      <c r="H169" s="811" t="s">
        <v>1653</v>
      </c>
      <c r="I169" s="811" t="s">
        <v>1654</v>
      </c>
      <c r="J169" s="813">
        <v>69750000</v>
      </c>
      <c r="K169" s="811" t="s">
        <v>1655</v>
      </c>
      <c r="L169" s="811" t="s">
        <v>1212</v>
      </c>
      <c r="M169" s="811" t="s">
        <v>1635</v>
      </c>
      <c r="N169" s="811" t="s">
        <v>1635</v>
      </c>
      <c r="O169" s="811" t="s">
        <v>1681</v>
      </c>
      <c r="P169" s="811" t="s">
        <v>1657</v>
      </c>
      <c r="Q169" s="811" t="s">
        <v>1682</v>
      </c>
    </row>
    <row r="170" spans="1:17" x14ac:dyDescent="0.25">
      <c r="A170" s="811" t="s">
        <v>1649</v>
      </c>
      <c r="B170" s="811" t="s">
        <v>1880</v>
      </c>
      <c r="C170" s="812">
        <v>69750000</v>
      </c>
      <c r="D170" s="811" t="s">
        <v>1445</v>
      </c>
      <c r="E170" s="811" t="s">
        <v>1445</v>
      </c>
      <c r="F170" s="811" t="s">
        <v>1666</v>
      </c>
      <c r="G170" s="811" t="s">
        <v>1652</v>
      </c>
      <c r="H170" s="811" t="s">
        <v>1653</v>
      </c>
      <c r="I170" s="811" t="s">
        <v>1654</v>
      </c>
      <c r="J170" s="813">
        <v>69750000</v>
      </c>
      <c r="K170" s="811" t="s">
        <v>1655</v>
      </c>
      <c r="L170" s="811" t="s">
        <v>1212</v>
      </c>
      <c r="M170" s="811" t="s">
        <v>1635</v>
      </c>
      <c r="N170" s="811" t="s">
        <v>1635</v>
      </c>
      <c r="O170" s="811" t="s">
        <v>1681</v>
      </c>
      <c r="P170" s="811" t="s">
        <v>1657</v>
      </c>
      <c r="Q170" s="811" t="s">
        <v>1682</v>
      </c>
    </row>
    <row r="171" spans="1:17" x14ac:dyDescent="0.25">
      <c r="A171" s="811" t="s">
        <v>1649</v>
      </c>
      <c r="B171" s="811" t="s">
        <v>1881</v>
      </c>
      <c r="C171" s="812">
        <v>69750000</v>
      </c>
      <c r="D171" s="811" t="s">
        <v>1445</v>
      </c>
      <c r="E171" s="811" t="s">
        <v>1445</v>
      </c>
      <c r="F171" s="811" t="s">
        <v>1666</v>
      </c>
      <c r="G171" s="811" t="s">
        <v>1652</v>
      </c>
      <c r="H171" s="811" t="s">
        <v>1653</v>
      </c>
      <c r="I171" s="811" t="s">
        <v>1654</v>
      </c>
      <c r="J171" s="813">
        <v>69750000</v>
      </c>
      <c r="K171" s="811" t="s">
        <v>1655</v>
      </c>
      <c r="L171" s="811" t="s">
        <v>1212</v>
      </c>
      <c r="M171" s="811" t="s">
        <v>1635</v>
      </c>
      <c r="N171" s="811" t="s">
        <v>1635</v>
      </c>
      <c r="O171" s="811" t="s">
        <v>1681</v>
      </c>
      <c r="P171" s="811" t="s">
        <v>1657</v>
      </c>
      <c r="Q171" s="811" t="s">
        <v>1682</v>
      </c>
    </row>
    <row r="172" spans="1:17" x14ac:dyDescent="0.25">
      <c r="A172" s="811" t="s">
        <v>1649</v>
      </c>
      <c r="B172" s="811" t="s">
        <v>1882</v>
      </c>
      <c r="C172" s="812">
        <v>43380000</v>
      </c>
      <c r="D172" s="811" t="s">
        <v>1445</v>
      </c>
      <c r="E172" s="811" t="s">
        <v>1445</v>
      </c>
      <c r="F172" s="811" t="s">
        <v>1666</v>
      </c>
      <c r="G172" s="811" t="s">
        <v>1652</v>
      </c>
      <c r="H172" s="811" t="s">
        <v>1653</v>
      </c>
      <c r="I172" s="811" t="s">
        <v>1654</v>
      </c>
      <c r="J172" s="813">
        <v>43380000</v>
      </c>
      <c r="K172" s="811" t="s">
        <v>1655</v>
      </c>
      <c r="L172" s="811" t="s">
        <v>1212</v>
      </c>
      <c r="M172" s="811" t="s">
        <v>1635</v>
      </c>
      <c r="N172" s="811" t="s">
        <v>1635</v>
      </c>
      <c r="O172" s="811" t="s">
        <v>1681</v>
      </c>
      <c r="P172" s="811" t="s">
        <v>1657</v>
      </c>
      <c r="Q172" s="811" t="s">
        <v>1682</v>
      </c>
    </row>
    <row r="173" spans="1:17" x14ac:dyDescent="0.25">
      <c r="A173" s="811" t="s">
        <v>1649</v>
      </c>
      <c r="B173" s="811" t="s">
        <v>1883</v>
      </c>
      <c r="C173" s="812">
        <v>69750000</v>
      </c>
      <c r="D173" s="811" t="s">
        <v>1445</v>
      </c>
      <c r="E173" s="811" t="s">
        <v>1445</v>
      </c>
      <c r="F173" s="811" t="s">
        <v>1666</v>
      </c>
      <c r="G173" s="811" t="s">
        <v>1652</v>
      </c>
      <c r="H173" s="811" t="s">
        <v>1653</v>
      </c>
      <c r="I173" s="811" t="s">
        <v>1654</v>
      </c>
      <c r="J173" s="813">
        <v>69750000</v>
      </c>
      <c r="K173" s="811" t="s">
        <v>1655</v>
      </c>
      <c r="L173" s="811" t="s">
        <v>1212</v>
      </c>
      <c r="M173" s="811" t="s">
        <v>1635</v>
      </c>
      <c r="N173" s="811" t="s">
        <v>1635</v>
      </c>
      <c r="O173" s="811" t="s">
        <v>1681</v>
      </c>
      <c r="P173" s="811" t="s">
        <v>1657</v>
      </c>
      <c r="Q173" s="811" t="s">
        <v>1682</v>
      </c>
    </row>
    <row r="174" spans="1:17" x14ac:dyDescent="0.25">
      <c r="A174" s="811" t="s">
        <v>1649</v>
      </c>
      <c r="B174" s="811" t="s">
        <v>1884</v>
      </c>
      <c r="C174" s="812">
        <v>49000000</v>
      </c>
      <c r="D174" s="811" t="s">
        <v>1453</v>
      </c>
      <c r="E174" s="811" t="s">
        <v>1453</v>
      </c>
      <c r="F174" s="811" t="s">
        <v>1698</v>
      </c>
      <c r="G174" s="811" t="s">
        <v>1652</v>
      </c>
      <c r="H174" s="811" t="s">
        <v>1653</v>
      </c>
      <c r="I174" s="811" t="s">
        <v>1654</v>
      </c>
      <c r="J174" s="813">
        <v>49000000</v>
      </c>
      <c r="K174" s="811" t="s">
        <v>1655</v>
      </c>
      <c r="L174" s="811" t="s">
        <v>1212</v>
      </c>
      <c r="M174" s="811" t="s">
        <v>1635</v>
      </c>
      <c r="N174" s="811" t="s">
        <v>1635</v>
      </c>
      <c r="O174" s="811" t="s">
        <v>1681</v>
      </c>
      <c r="P174" s="811" t="s">
        <v>1657</v>
      </c>
      <c r="Q174" s="811" t="s">
        <v>1682</v>
      </c>
    </row>
    <row r="175" spans="1:17" x14ac:dyDescent="0.25">
      <c r="A175" s="811" t="s">
        <v>1649</v>
      </c>
      <c r="B175" s="811" t="s">
        <v>1885</v>
      </c>
      <c r="C175" s="812">
        <v>99000000</v>
      </c>
      <c r="D175" s="811" t="s">
        <v>1445</v>
      </c>
      <c r="E175" s="811" t="s">
        <v>1445</v>
      </c>
      <c r="F175" s="811" t="s">
        <v>1666</v>
      </c>
      <c r="G175" s="811" t="s">
        <v>1652</v>
      </c>
      <c r="H175" s="811" t="s">
        <v>1653</v>
      </c>
      <c r="I175" s="811" t="s">
        <v>1654</v>
      </c>
      <c r="J175" s="813">
        <v>99000000</v>
      </c>
      <c r="K175" s="811" t="s">
        <v>1655</v>
      </c>
      <c r="L175" s="811" t="s">
        <v>1212</v>
      </c>
      <c r="M175" s="811" t="s">
        <v>1635</v>
      </c>
      <c r="N175" s="811" t="s">
        <v>1635</v>
      </c>
      <c r="O175" s="811" t="s">
        <v>1681</v>
      </c>
      <c r="P175" s="811" t="s">
        <v>1657</v>
      </c>
      <c r="Q175" s="811" t="s">
        <v>1682</v>
      </c>
    </row>
    <row r="176" spans="1:17" x14ac:dyDescent="0.25">
      <c r="A176" s="811" t="s">
        <v>1649</v>
      </c>
      <c r="B176" s="811" t="s">
        <v>1886</v>
      </c>
      <c r="C176" s="812">
        <v>99000000</v>
      </c>
      <c r="D176" s="811" t="s">
        <v>1445</v>
      </c>
      <c r="E176" s="811" t="s">
        <v>1445</v>
      </c>
      <c r="F176" s="811" t="s">
        <v>1666</v>
      </c>
      <c r="G176" s="811" t="s">
        <v>1652</v>
      </c>
      <c r="H176" s="811" t="s">
        <v>1653</v>
      </c>
      <c r="I176" s="811" t="s">
        <v>1654</v>
      </c>
      <c r="J176" s="813">
        <v>99000000</v>
      </c>
      <c r="K176" s="811" t="s">
        <v>1655</v>
      </c>
      <c r="L176" s="811" t="s">
        <v>1212</v>
      </c>
      <c r="M176" s="811" t="s">
        <v>1635</v>
      </c>
      <c r="N176" s="811" t="s">
        <v>1635</v>
      </c>
      <c r="O176" s="811" t="s">
        <v>1681</v>
      </c>
      <c r="P176" s="811" t="s">
        <v>1657</v>
      </c>
      <c r="Q176" s="811" t="s">
        <v>1682</v>
      </c>
    </row>
    <row r="177" spans="1:17" x14ac:dyDescent="0.25">
      <c r="A177" s="811" t="s">
        <v>1649</v>
      </c>
      <c r="B177" s="811" t="s">
        <v>1887</v>
      </c>
      <c r="C177" s="812">
        <v>53100000</v>
      </c>
      <c r="D177" s="811" t="s">
        <v>1445</v>
      </c>
      <c r="E177" s="811" t="s">
        <v>1445</v>
      </c>
      <c r="F177" s="811" t="s">
        <v>1666</v>
      </c>
      <c r="G177" s="811" t="s">
        <v>1652</v>
      </c>
      <c r="H177" s="811" t="s">
        <v>1653</v>
      </c>
      <c r="I177" s="811" t="s">
        <v>1654</v>
      </c>
      <c r="J177" s="813">
        <v>53100000</v>
      </c>
      <c r="K177" s="811" t="s">
        <v>1655</v>
      </c>
      <c r="L177" s="811" t="s">
        <v>1212</v>
      </c>
      <c r="M177" s="811" t="s">
        <v>1635</v>
      </c>
      <c r="N177" s="811" t="s">
        <v>1635</v>
      </c>
      <c r="O177" s="811" t="s">
        <v>1681</v>
      </c>
      <c r="P177" s="811" t="s">
        <v>1888</v>
      </c>
      <c r="Q177" s="811" t="s">
        <v>1682</v>
      </c>
    </row>
    <row r="178" spans="1:17" x14ac:dyDescent="0.25">
      <c r="A178" s="811" t="s">
        <v>1649</v>
      </c>
      <c r="B178" s="811" t="s">
        <v>1889</v>
      </c>
      <c r="C178" s="812">
        <v>63000000</v>
      </c>
      <c r="D178" s="811" t="s">
        <v>1445</v>
      </c>
      <c r="E178" s="811" t="s">
        <v>1445</v>
      </c>
      <c r="F178" s="811" t="s">
        <v>1666</v>
      </c>
      <c r="G178" s="811" t="s">
        <v>1652</v>
      </c>
      <c r="H178" s="811" t="s">
        <v>1653</v>
      </c>
      <c r="I178" s="811" t="s">
        <v>1654</v>
      </c>
      <c r="J178" s="813">
        <v>63000000</v>
      </c>
      <c r="K178" s="811" t="s">
        <v>1655</v>
      </c>
      <c r="L178" s="811" t="s">
        <v>1212</v>
      </c>
      <c r="M178" s="811" t="s">
        <v>1635</v>
      </c>
      <c r="N178" s="811" t="s">
        <v>1635</v>
      </c>
      <c r="O178" s="811" t="s">
        <v>1681</v>
      </c>
      <c r="P178" s="811" t="s">
        <v>1890</v>
      </c>
      <c r="Q178" s="811" t="s">
        <v>1682</v>
      </c>
    </row>
    <row r="179" spans="1:17" x14ac:dyDescent="0.25">
      <c r="A179" s="811" t="s">
        <v>1649</v>
      </c>
      <c r="B179" s="811" t="s">
        <v>1891</v>
      </c>
      <c r="C179" s="812">
        <v>53148771</v>
      </c>
      <c r="D179" s="811" t="s">
        <v>1445</v>
      </c>
      <c r="E179" s="811" t="s">
        <v>1445</v>
      </c>
      <c r="F179" s="811" t="s">
        <v>1666</v>
      </c>
      <c r="G179" s="811" t="s">
        <v>1652</v>
      </c>
      <c r="H179" s="811" t="s">
        <v>1653</v>
      </c>
      <c r="I179" s="811" t="s">
        <v>1654</v>
      </c>
      <c r="J179" s="813">
        <v>53148771</v>
      </c>
      <c r="K179" s="811" t="s">
        <v>1655</v>
      </c>
      <c r="L179" s="811" t="s">
        <v>1212</v>
      </c>
      <c r="M179" s="811" t="s">
        <v>1635</v>
      </c>
      <c r="N179" s="811" t="s">
        <v>1635</v>
      </c>
      <c r="O179" s="811" t="s">
        <v>1681</v>
      </c>
      <c r="P179" s="811" t="s">
        <v>1657</v>
      </c>
      <c r="Q179" s="811" t="s">
        <v>1682</v>
      </c>
    </row>
    <row r="180" spans="1:17" x14ac:dyDescent="0.25">
      <c r="A180" s="811" t="s">
        <v>1649</v>
      </c>
      <c r="B180" s="811" t="s">
        <v>1892</v>
      </c>
      <c r="C180" s="812">
        <v>55800000</v>
      </c>
      <c r="D180" s="811" t="s">
        <v>1445</v>
      </c>
      <c r="E180" s="811" t="s">
        <v>1445</v>
      </c>
      <c r="F180" s="811" t="s">
        <v>1666</v>
      </c>
      <c r="G180" s="811" t="s">
        <v>1652</v>
      </c>
      <c r="H180" s="811" t="s">
        <v>1653</v>
      </c>
      <c r="I180" s="811" t="s">
        <v>1654</v>
      </c>
      <c r="J180" s="813">
        <v>55800000</v>
      </c>
      <c r="K180" s="811" t="s">
        <v>1655</v>
      </c>
      <c r="L180" s="811" t="s">
        <v>1212</v>
      </c>
      <c r="M180" s="811" t="s">
        <v>1635</v>
      </c>
      <c r="N180" s="811" t="s">
        <v>1635</v>
      </c>
      <c r="O180" s="811" t="s">
        <v>1681</v>
      </c>
      <c r="P180" s="811" t="s">
        <v>1657</v>
      </c>
      <c r="Q180" s="811" t="s">
        <v>1682</v>
      </c>
    </row>
    <row r="181" spans="1:17" x14ac:dyDescent="0.25">
      <c r="A181" s="811" t="s">
        <v>1649</v>
      </c>
      <c r="B181" s="811" t="s">
        <v>1893</v>
      </c>
      <c r="C181" s="812">
        <v>60300000</v>
      </c>
      <c r="D181" s="811" t="s">
        <v>1445</v>
      </c>
      <c r="E181" s="811" t="s">
        <v>1445</v>
      </c>
      <c r="F181" s="811" t="s">
        <v>1666</v>
      </c>
      <c r="G181" s="811" t="s">
        <v>1652</v>
      </c>
      <c r="H181" s="811" t="s">
        <v>1653</v>
      </c>
      <c r="I181" s="811" t="s">
        <v>1654</v>
      </c>
      <c r="J181" s="813">
        <v>60300000</v>
      </c>
      <c r="K181" s="811" t="s">
        <v>1655</v>
      </c>
      <c r="L181" s="811" t="s">
        <v>1212</v>
      </c>
      <c r="M181" s="811" t="s">
        <v>1635</v>
      </c>
      <c r="N181" s="811" t="s">
        <v>1635</v>
      </c>
      <c r="O181" s="811" t="s">
        <v>1681</v>
      </c>
      <c r="P181" s="811" t="s">
        <v>1657</v>
      </c>
      <c r="Q181" s="811" t="s">
        <v>1682</v>
      </c>
    </row>
    <row r="182" spans="1:17" x14ac:dyDescent="0.25">
      <c r="A182" s="811" t="s">
        <v>1649</v>
      </c>
      <c r="B182" s="811" t="s">
        <v>1894</v>
      </c>
      <c r="C182" s="812">
        <v>45500000</v>
      </c>
      <c r="D182" s="811" t="s">
        <v>1453</v>
      </c>
      <c r="E182" s="811" t="s">
        <v>1453</v>
      </c>
      <c r="F182" s="811" t="s">
        <v>1698</v>
      </c>
      <c r="G182" s="811" t="s">
        <v>1652</v>
      </c>
      <c r="H182" s="811" t="s">
        <v>1653</v>
      </c>
      <c r="I182" s="811" t="s">
        <v>1654</v>
      </c>
      <c r="J182" s="813">
        <v>45500000</v>
      </c>
      <c r="K182" s="811" t="s">
        <v>1655</v>
      </c>
      <c r="L182" s="811" t="s">
        <v>1212</v>
      </c>
      <c r="M182" s="811" t="s">
        <v>1635</v>
      </c>
      <c r="N182" s="811" t="s">
        <v>1635</v>
      </c>
      <c r="O182" s="811" t="s">
        <v>1681</v>
      </c>
      <c r="P182" s="811" t="s">
        <v>1657</v>
      </c>
      <c r="Q182" s="811" t="s">
        <v>1682</v>
      </c>
    </row>
    <row r="183" spans="1:17" x14ac:dyDescent="0.25">
      <c r="A183" s="811" t="s">
        <v>1649</v>
      </c>
      <c r="B183" s="811" t="s">
        <v>1895</v>
      </c>
      <c r="C183" s="812">
        <v>31798410</v>
      </c>
      <c r="D183" s="811" t="s">
        <v>1445</v>
      </c>
      <c r="E183" s="811" t="s">
        <v>1445</v>
      </c>
      <c r="F183" s="811" t="s">
        <v>1685</v>
      </c>
      <c r="G183" s="811" t="s">
        <v>1652</v>
      </c>
      <c r="H183" s="811" t="s">
        <v>1653</v>
      </c>
      <c r="I183" s="811" t="s">
        <v>1654</v>
      </c>
      <c r="J183" s="813">
        <v>31798410</v>
      </c>
      <c r="K183" s="811" t="s">
        <v>1655</v>
      </c>
      <c r="L183" s="811" t="s">
        <v>1212</v>
      </c>
      <c r="M183" s="811" t="s">
        <v>1635</v>
      </c>
      <c r="N183" s="811" t="s">
        <v>1635</v>
      </c>
      <c r="O183" s="811" t="s">
        <v>1845</v>
      </c>
      <c r="P183" s="811" t="s">
        <v>1657</v>
      </c>
      <c r="Q183" s="811" t="s">
        <v>1710</v>
      </c>
    </row>
    <row r="184" spans="1:17" x14ac:dyDescent="0.25">
      <c r="A184" s="811" t="s">
        <v>1649</v>
      </c>
      <c r="B184" s="811" t="s">
        <v>1896</v>
      </c>
      <c r="C184" s="812">
        <v>89035548</v>
      </c>
      <c r="D184" s="811" t="s">
        <v>1445</v>
      </c>
      <c r="E184" s="811" t="s">
        <v>1445</v>
      </c>
      <c r="F184" s="811" t="s">
        <v>1685</v>
      </c>
      <c r="G184" s="811" t="s">
        <v>1652</v>
      </c>
      <c r="H184" s="811" t="s">
        <v>1653</v>
      </c>
      <c r="I184" s="811" t="s">
        <v>1654</v>
      </c>
      <c r="J184" s="813">
        <v>89035548</v>
      </c>
      <c r="K184" s="811" t="s">
        <v>1655</v>
      </c>
      <c r="L184" s="811" t="s">
        <v>1212</v>
      </c>
      <c r="M184" s="811" t="s">
        <v>1635</v>
      </c>
      <c r="N184" s="811" t="s">
        <v>1635</v>
      </c>
      <c r="O184" s="811" t="s">
        <v>1845</v>
      </c>
      <c r="P184" s="811" t="s">
        <v>1657</v>
      </c>
      <c r="Q184" s="811" t="s">
        <v>1710</v>
      </c>
    </row>
    <row r="185" spans="1:17" x14ac:dyDescent="0.25">
      <c r="A185" s="811" t="s">
        <v>1649</v>
      </c>
      <c r="B185" s="811" t="s">
        <v>1897</v>
      </c>
      <c r="C185" s="812">
        <v>63000000</v>
      </c>
      <c r="D185" s="811" t="s">
        <v>1542</v>
      </c>
      <c r="E185" s="811" t="s">
        <v>1542</v>
      </c>
      <c r="F185" s="811" t="s">
        <v>1666</v>
      </c>
      <c r="G185" s="811" t="s">
        <v>1652</v>
      </c>
      <c r="H185" s="811" t="s">
        <v>1653</v>
      </c>
      <c r="I185" s="811" t="s">
        <v>1654</v>
      </c>
      <c r="J185" s="813">
        <v>63000000</v>
      </c>
      <c r="K185" s="811" t="s">
        <v>1655</v>
      </c>
      <c r="L185" s="811" t="s">
        <v>1212</v>
      </c>
      <c r="M185" s="811" t="s">
        <v>1635</v>
      </c>
      <c r="N185" s="811" t="s">
        <v>1635</v>
      </c>
      <c r="O185" s="811" t="s">
        <v>1845</v>
      </c>
      <c r="P185" s="811" t="s">
        <v>1657</v>
      </c>
      <c r="Q185" s="811" t="s">
        <v>1710</v>
      </c>
    </row>
    <row r="186" spans="1:17" x14ac:dyDescent="0.25">
      <c r="A186" s="811" t="s">
        <v>1649</v>
      </c>
      <c r="B186" s="811" t="s">
        <v>1898</v>
      </c>
      <c r="C186" s="812">
        <v>40883670</v>
      </c>
      <c r="D186" s="811" t="s">
        <v>1445</v>
      </c>
      <c r="E186" s="811" t="s">
        <v>1445</v>
      </c>
      <c r="F186" s="811" t="s">
        <v>1685</v>
      </c>
      <c r="G186" s="811" t="s">
        <v>1652</v>
      </c>
      <c r="H186" s="811" t="s">
        <v>1653</v>
      </c>
      <c r="I186" s="811" t="s">
        <v>1654</v>
      </c>
      <c r="J186" s="813">
        <v>40883670</v>
      </c>
      <c r="K186" s="811" t="s">
        <v>1655</v>
      </c>
      <c r="L186" s="811" t="s">
        <v>1212</v>
      </c>
      <c r="M186" s="811" t="s">
        <v>1635</v>
      </c>
      <c r="N186" s="811" t="s">
        <v>1635</v>
      </c>
      <c r="O186" s="811" t="s">
        <v>1845</v>
      </c>
      <c r="P186" s="811" t="s">
        <v>1657</v>
      </c>
      <c r="Q186" s="811" t="s">
        <v>1710</v>
      </c>
    </row>
    <row r="187" spans="1:17" x14ac:dyDescent="0.25">
      <c r="A187" s="811" t="s">
        <v>1649</v>
      </c>
      <c r="B187" s="811" t="s">
        <v>1899</v>
      </c>
      <c r="C187" s="812">
        <v>49060404</v>
      </c>
      <c r="D187" s="811" t="s">
        <v>1445</v>
      </c>
      <c r="E187" s="811" t="s">
        <v>1445</v>
      </c>
      <c r="F187" s="811" t="s">
        <v>1685</v>
      </c>
      <c r="G187" s="811" t="s">
        <v>1652</v>
      </c>
      <c r="H187" s="811" t="s">
        <v>1653</v>
      </c>
      <c r="I187" s="811" t="s">
        <v>1654</v>
      </c>
      <c r="J187" s="813">
        <v>49060404</v>
      </c>
      <c r="K187" s="811" t="s">
        <v>1655</v>
      </c>
      <c r="L187" s="811" t="s">
        <v>1212</v>
      </c>
      <c r="M187" s="811" t="s">
        <v>1635</v>
      </c>
      <c r="N187" s="811" t="s">
        <v>1635</v>
      </c>
      <c r="O187" s="811" t="s">
        <v>1845</v>
      </c>
      <c r="P187" s="811" t="s">
        <v>1657</v>
      </c>
      <c r="Q187" s="811" t="s">
        <v>1710</v>
      </c>
    </row>
    <row r="188" spans="1:17" x14ac:dyDescent="0.25">
      <c r="A188" s="811" t="s">
        <v>1649</v>
      </c>
      <c r="B188" s="811" t="s">
        <v>1900</v>
      </c>
      <c r="C188" s="812">
        <v>22713150</v>
      </c>
      <c r="D188" s="811" t="s">
        <v>1445</v>
      </c>
      <c r="E188" s="811" t="s">
        <v>1445</v>
      </c>
      <c r="F188" s="811" t="s">
        <v>1685</v>
      </c>
      <c r="G188" s="811" t="s">
        <v>1652</v>
      </c>
      <c r="H188" s="811" t="s">
        <v>1653</v>
      </c>
      <c r="I188" s="811" t="s">
        <v>1654</v>
      </c>
      <c r="J188" s="813">
        <v>22713150</v>
      </c>
      <c r="K188" s="811" t="s">
        <v>1655</v>
      </c>
      <c r="L188" s="811" t="s">
        <v>1212</v>
      </c>
      <c r="M188" s="811" t="s">
        <v>1635</v>
      </c>
      <c r="N188" s="811" t="s">
        <v>1635</v>
      </c>
      <c r="O188" s="811" t="s">
        <v>1845</v>
      </c>
      <c r="P188" s="811" t="s">
        <v>1657</v>
      </c>
      <c r="Q188" s="811" t="s">
        <v>1710</v>
      </c>
    </row>
    <row r="189" spans="1:17" x14ac:dyDescent="0.25">
      <c r="A189" s="811" t="s">
        <v>1901</v>
      </c>
      <c r="B189" s="811" t="s">
        <v>1902</v>
      </c>
      <c r="C189" s="812">
        <v>59000000</v>
      </c>
      <c r="D189" s="811" t="s">
        <v>1542</v>
      </c>
      <c r="E189" s="811" t="s">
        <v>1542</v>
      </c>
      <c r="F189" s="811" t="s">
        <v>1718</v>
      </c>
      <c r="G189" s="811" t="s">
        <v>1652</v>
      </c>
      <c r="H189" s="811" t="s">
        <v>1577</v>
      </c>
      <c r="I189" s="811" t="s">
        <v>1654</v>
      </c>
      <c r="J189" s="813">
        <v>59000000</v>
      </c>
      <c r="K189" s="811" t="s">
        <v>1655</v>
      </c>
      <c r="L189" s="811" t="s">
        <v>1212</v>
      </c>
      <c r="M189" s="811" t="s">
        <v>1635</v>
      </c>
      <c r="N189" s="811" t="s">
        <v>1635</v>
      </c>
      <c r="O189" s="811" t="s">
        <v>1845</v>
      </c>
      <c r="P189" s="811" t="s">
        <v>1657</v>
      </c>
      <c r="Q189" s="811" t="s">
        <v>1710</v>
      </c>
    </row>
    <row r="190" spans="1:17" x14ac:dyDescent="0.25">
      <c r="A190" s="811" t="s">
        <v>1649</v>
      </c>
      <c r="B190" s="811" t="s">
        <v>1903</v>
      </c>
      <c r="C190" s="812">
        <v>28618569</v>
      </c>
      <c r="D190" s="811" t="s">
        <v>1542</v>
      </c>
      <c r="E190" s="811" t="s">
        <v>1542</v>
      </c>
      <c r="F190" s="811" t="s">
        <v>1666</v>
      </c>
      <c r="G190" s="811" t="s">
        <v>1652</v>
      </c>
      <c r="H190" s="811" t="s">
        <v>1653</v>
      </c>
      <c r="I190" s="811" t="s">
        <v>1654</v>
      </c>
      <c r="J190" s="813">
        <v>28618569</v>
      </c>
      <c r="K190" s="811" t="s">
        <v>1655</v>
      </c>
      <c r="L190" s="811" t="s">
        <v>1212</v>
      </c>
      <c r="M190" s="811" t="s">
        <v>1635</v>
      </c>
      <c r="N190" s="811" t="s">
        <v>1635</v>
      </c>
      <c r="O190" s="811" t="s">
        <v>1845</v>
      </c>
      <c r="P190" s="811" t="s">
        <v>1657</v>
      </c>
      <c r="Q190" s="811" t="s">
        <v>1710</v>
      </c>
    </row>
    <row r="191" spans="1:17" x14ac:dyDescent="0.25">
      <c r="A191" s="811" t="s">
        <v>1649</v>
      </c>
      <c r="B191" s="811" t="s">
        <v>1904</v>
      </c>
      <c r="C191" s="812">
        <v>32706936</v>
      </c>
      <c r="D191" s="811" t="s">
        <v>1542</v>
      </c>
      <c r="E191" s="811" t="s">
        <v>1542</v>
      </c>
      <c r="F191" s="811" t="s">
        <v>1666</v>
      </c>
      <c r="G191" s="811" t="s">
        <v>1652</v>
      </c>
      <c r="H191" s="811" t="s">
        <v>1653</v>
      </c>
      <c r="I191" s="811" t="s">
        <v>1654</v>
      </c>
      <c r="J191" s="813">
        <v>32706936</v>
      </c>
      <c r="K191" s="811" t="s">
        <v>1655</v>
      </c>
      <c r="L191" s="811" t="s">
        <v>1212</v>
      </c>
      <c r="M191" s="811" t="s">
        <v>1635</v>
      </c>
      <c r="N191" s="811" t="s">
        <v>1635</v>
      </c>
      <c r="O191" s="811" t="s">
        <v>1845</v>
      </c>
      <c r="P191" s="811" t="s">
        <v>1657</v>
      </c>
      <c r="Q191" s="811" t="s">
        <v>1710</v>
      </c>
    </row>
    <row r="192" spans="1:17" x14ac:dyDescent="0.25">
      <c r="A192" s="811" t="s">
        <v>1649</v>
      </c>
      <c r="B192" s="811" t="s">
        <v>1905</v>
      </c>
      <c r="C192" s="812">
        <v>36795303</v>
      </c>
      <c r="D192" s="811" t="s">
        <v>1542</v>
      </c>
      <c r="E192" s="811" t="s">
        <v>1542</v>
      </c>
      <c r="F192" s="811" t="s">
        <v>1666</v>
      </c>
      <c r="G192" s="811" t="s">
        <v>1652</v>
      </c>
      <c r="H192" s="811" t="s">
        <v>1653</v>
      </c>
      <c r="I192" s="811" t="s">
        <v>1654</v>
      </c>
      <c r="J192" s="813">
        <v>36795303</v>
      </c>
      <c r="K192" s="811" t="s">
        <v>1655</v>
      </c>
      <c r="L192" s="811" t="s">
        <v>1212</v>
      </c>
      <c r="M192" s="811" t="s">
        <v>1635</v>
      </c>
      <c r="N192" s="811" t="s">
        <v>1635</v>
      </c>
      <c r="O192" s="811" t="s">
        <v>1845</v>
      </c>
      <c r="P192" s="811" t="s">
        <v>1657</v>
      </c>
      <c r="Q192" s="811" t="s">
        <v>1710</v>
      </c>
    </row>
    <row r="193" spans="1:17" x14ac:dyDescent="0.25">
      <c r="A193" s="811" t="s">
        <v>1649</v>
      </c>
      <c r="B193" s="811" t="s">
        <v>1906</v>
      </c>
      <c r="C193" s="812">
        <v>32706936</v>
      </c>
      <c r="D193" s="811" t="s">
        <v>1542</v>
      </c>
      <c r="E193" s="811" t="s">
        <v>1542</v>
      </c>
      <c r="F193" s="811" t="s">
        <v>1666</v>
      </c>
      <c r="G193" s="811" t="s">
        <v>1652</v>
      </c>
      <c r="H193" s="811" t="s">
        <v>1653</v>
      </c>
      <c r="I193" s="811" t="s">
        <v>1654</v>
      </c>
      <c r="J193" s="813">
        <v>32706936</v>
      </c>
      <c r="K193" s="811" t="s">
        <v>1655</v>
      </c>
      <c r="L193" s="811" t="s">
        <v>1212</v>
      </c>
      <c r="M193" s="811" t="s">
        <v>1635</v>
      </c>
      <c r="N193" s="811" t="s">
        <v>1635</v>
      </c>
      <c r="O193" s="811" t="s">
        <v>1845</v>
      </c>
      <c r="P193" s="811" t="s">
        <v>1657</v>
      </c>
      <c r="Q193" s="811" t="s">
        <v>1710</v>
      </c>
    </row>
    <row r="194" spans="1:17" x14ac:dyDescent="0.25">
      <c r="A194" s="811" t="s">
        <v>1649</v>
      </c>
      <c r="B194" s="811" t="s">
        <v>1907</v>
      </c>
      <c r="C194" s="812">
        <v>36795303</v>
      </c>
      <c r="D194" s="811" t="s">
        <v>1542</v>
      </c>
      <c r="E194" s="811" t="s">
        <v>1542</v>
      </c>
      <c r="F194" s="811" t="s">
        <v>1666</v>
      </c>
      <c r="G194" s="811" t="s">
        <v>1652</v>
      </c>
      <c r="H194" s="811" t="s">
        <v>1653</v>
      </c>
      <c r="I194" s="811" t="s">
        <v>1654</v>
      </c>
      <c r="J194" s="813">
        <v>36795303</v>
      </c>
      <c r="K194" s="811" t="s">
        <v>1655</v>
      </c>
      <c r="L194" s="811" t="s">
        <v>1212</v>
      </c>
      <c r="M194" s="811" t="s">
        <v>1635</v>
      </c>
      <c r="N194" s="811" t="s">
        <v>1635</v>
      </c>
      <c r="O194" s="811" t="s">
        <v>1845</v>
      </c>
      <c r="P194" s="811" t="s">
        <v>1657</v>
      </c>
      <c r="Q194" s="811" t="s">
        <v>1710</v>
      </c>
    </row>
    <row r="195" spans="1:17" x14ac:dyDescent="0.25">
      <c r="A195" s="811" t="s">
        <v>1649</v>
      </c>
      <c r="B195" s="811" t="s">
        <v>1908</v>
      </c>
      <c r="C195" s="812">
        <v>53148771</v>
      </c>
      <c r="D195" s="811" t="s">
        <v>1542</v>
      </c>
      <c r="E195" s="811" t="s">
        <v>1542</v>
      </c>
      <c r="F195" s="811" t="s">
        <v>1666</v>
      </c>
      <c r="G195" s="811" t="s">
        <v>1652</v>
      </c>
      <c r="H195" s="811" t="s">
        <v>1653</v>
      </c>
      <c r="I195" s="811" t="s">
        <v>1654</v>
      </c>
      <c r="J195" s="813">
        <v>53148771</v>
      </c>
      <c r="K195" s="811" t="s">
        <v>1655</v>
      </c>
      <c r="L195" s="811" t="s">
        <v>1212</v>
      </c>
      <c r="M195" s="811" t="s">
        <v>1635</v>
      </c>
      <c r="N195" s="811" t="s">
        <v>1635</v>
      </c>
      <c r="O195" s="811" t="s">
        <v>1845</v>
      </c>
      <c r="P195" s="811" t="s">
        <v>1657</v>
      </c>
      <c r="Q195" s="811" t="s">
        <v>1710</v>
      </c>
    </row>
    <row r="196" spans="1:17" x14ac:dyDescent="0.25">
      <c r="A196" s="811" t="s">
        <v>1649</v>
      </c>
      <c r="B196" s="811" t="s">
        <v>1909</v>
      </c>
      <c r="C196" s="812">
        <v>36795303</v>
      </c>
      <c r="D196" s="811" t="s">
        <v>1542</v>
      </c>
      <c r="E196" s="811" t="s">
        <v>1542</v>
      </c>
      <c r="F196" s="811" t="s">
        <v>1666</v>
      </c>
      <c r="G196" s="811" t="s">
        <v>1652</v>
      </c>
      <c r="H196" s="811" t="s">
        <v>1653</v>
      </c>
      <c r="I196" s="811" t="s">
        <v>1654</v>
      </c>
      <c r="J196" s="813">
        <v>36795303</v>
      </c>
      <c r="K196" s="811" t="s">
        <v>1655</v>
      </c>
      <c r="L196" s="811" t="s">
        <v>1212</v>
      </c>
      <c r="M196" s="811" t="s">
        <v>1635</v>
      </c>
      <c r="N196" s="811" t="s">
        <v>1635</v>
      </c>
      <c r="O196" s="811" t="s">
        <v>1845</v>
      </c>
      <c r="P196" s="811" t="s">
        <v>1657</v>
      </c>
      <c r="Q196" s="811" t="s">
        <v>1710</v>
      </c>
    </row>
    <row r="197" spans="1:17" x14ac:dyDescent="0.25">
      <c r="A197" s="811" t="s">
        <v>1649</v>
      </c>
      <c r="B197" s="811" t="s">
        <v>1910</v>
      </c>
      <c r="C197" s="812">
        <v>28618569</v>
      </c>
      <c r="D197" s="811" t="s">
        <v>1542</v>
      </c>
      <c r="E197" s="811" t="s">
        <v>1542</v>
      </c>
      <c r="F197" s="811" t="s">
        <v>1666</v>
      </c>
      <c r="G197" s="811" t="s">
        <v>1652</v>
      </c>
      <c r="H197" s="811" t="s">
        <v>1653</v>
      </c>
      <c r="I197" s="811" t="s">
        <v>1654</v>
      </c>
      <c r="J197" s="813">
        <v>28618569</v>
      </c>
      <c r="K197" s="811" t="s">
        <v>1655</v>
      </c>
      <c r="L197" s="811" t="s">
        <v>1212</v>
      </c>
      <c r="M197" s="811" t="s">
        <v>1635</v>
      </c>
      <c r="N197" s="811" t="s">
        <v>1635</v>
      </c>
      <c r="O197" s="811" t="s">
        <v>1845</v>
      </c>
      <c r="P197" s="811" t="s">
        <v>1657</v>
      </c>
      <c r="Q197" s="811" t="s">
        <v>1710</v>
      </c>
    </row>
    <row r="198" spans="1:17" x14ac:dyDescent="0.25">
      <c r="A198" s="811" t="s">
        <v>1649</v>
      </c>
      <c r="B198" s="811" t="s">
        <v>1911</v>
      </c>
      <c r="C198" s="812">
        <v>24530202</v>
      </c>
      <c r="D198" s="811" t="s">
        <v>1542</v>
      </c>
      <c r="E198" s="811" t="s">
        <v>1542</v>
      </c>
      <c r="F198" s="811" t="s">
        <v>1666</v>
      </c>
      <c r="G198" s="811" t="s">
        <v>1652</v>
      </c>
      <c r="H198" s="811" t="s">
        <v>1653</v>
      </c>
      <c r="I198" s="811" t="s">
        <v>1654</v>
      </c>
      <c r="J198" s="813">
        <v>24530202</v>
      </c>
      <c r="K198" s="811" t="s">
        <v>1655</v>
      </c>
      <c r="L198" s="811" t="s">
        <v>1212</v>
      </c>
      <c r="M198" s="811" t="s">
        <v>1635</v>
      </c>
      <c r="N198" s="811" t="s">
        <v>1635</v>
      </c>
      <c r="O198" s="811" t="s">
        <v>1845</v>
      </c>
      <c r="P198" s="811" t="s">
        <v>1657</v>
      </c>
      <c r="Q198" s="811" t="s">
        <v>1710</v>
      </c>
    </row>
    <row r="199" spans="1:17" x14ac:dyDescent="0.25">
      <c r="A199" s="811" t="s">
        <v>1649</v>
      </c>
      <c r="B199" s="811" t="s">
        <v>1912</v>
      </c>
      <c r="C199" s="812">
        <v>73590606</v>
      </c>
      <c r="D199" s="811" t="s">
        <v>1542</v>
      </c>
      <c r="E199" s="811" t="s">
        <v>1542</v>
      </c>
      <c r="F199" s="811" t="s">
        <v>1666</v>
      </c>
      <c r="G199" s="811" t="s">
        <v>1652</v>
      </c>
      <c r="H199" s="811" t="s">
        <v>1653</v>
      </c>
      <c r="I199" s="811" t="s">
        <v>1654</v>
      </c>
      <c r="J199" s="813">
        <v>73590606</v>
      </c>
      <c r="K199" s="811" t="s">
        <v>1655</v>
      </c>
      <c r="L199" s="811" t="s">
        <v>1212</v>
      </c>
      <c r="M199" s="811" t="s">
        <v>1635</v>
      </c>
      <c r="N199" s="811" t="s">
        <v>1635</v>
      </c>
      <c r="O199" s="811" t="s">
        <v>1845</v>
      </c>
      <c r="P199" s="811" t="s">
        <v>1657</v>
      </c>
      <c r="Q199" s="811" t="s">
        <v>1710</v>
      </c>
    </row>
    <row r="200" spans="1:17" x14ac:dyDescent="0.25">
      <c r="A200" s="811" t="s">
        <v>1913</v>
      </c>
      <c r="B200" s="811" t="s">
        <v>1914</v>
      </c>
      <c r="C200" s="812">
        <v>21000000</v>
      </c>
      <c r="D200" s="811" t="s">
        <v>1449</v>
      </c>
      <c r="E200" s="811" t="s">
        <v>1449</v>
      </c>
      <c r="F200" s="811" t="s">
        <v>1689</v>
      </c>
      <c r="G200" s="811" t="s">
        <v>1652</v>
      </c>
      <c r="H200" s="811" t="s">
        <v>1577</v>
      </c>
      <c r="I200" s="811" t="s">
        <v>1654</v>
      </c>
      <c r="J200" s="813">
        <v>21000000</v>
      </c>
      <c r="K200" s="811" t="s">
        <v>1655</v>
      </c>
      <c r="L200" s="811" t="s">
        <v>1212</v>
      </c>
      <c r="M200" s="811" t="s">
        <v>1635</v>
      </c>
      <c r="N200" s="811" t="s">
        <v>1635</v>
      </c>
      <c r="O200" s="811" t="s">
        <v>1845</v>
      </c>
      <c r="P200" s="811" t="s">
        <v>1657</v>
      </c>
      <c r="Q200" s="811" t="s">
        <v>1710</v>
      </c>
    </row>
    <row r="201" spans="1:17" x14ac:dyDescent="0.25">
      <c r="A201" s="811" t="s">
        <v>1649</v>
      </c>
      <c r="B201" s="811" t="s">
        <v>1915</v>
      </c>
      <c r="C201" s="812">
        <v>85847040</v>
      </c>
      <c r="D201" s="811" t="s">
        <v>1445</v>
      </c>
      <c r="E201" s="811" t="s">
        <v>1445</v>
      </c>
      <c r="F201" s="811" t="s">
        <v>1666</v>
      </c>
      <c r="G201" s="811" t="s">
        <v>1652</v>
      </c>
      <c r="H201" s="811" t="s">
        <v>1653</v>
      </c>
      <c r="I201" s="811" t="s">
        <v>1654</v>
      </c>
      <c r="J201" s="813">
        <v>85847040</v>
      </c>
      <c r="K201" s="811" t="s">
        <v>1655</v>
      </c>
      <c r="L201" s="811" t="s">
        <v>1212</v>
      </c>
      <c r="M201" s="811" t="s">
        <v>1635</v>
      </c>
      <c r="N201" s="811" t="s">
        <v>1635</v>
      </c>
      <c r="O201" s="811" t="s">
        <v>1681</v>
      </c>
      <c r="P201" s="811" t="s">
        <v>1657</v>
      </c>
      <c r="Q201" s="811" t="s">
        <v>1682</v>
      </c>
    </row>
    <row r="202" spans="1:17" x14ac:dyDescent="0.25">
      <c r="A202" s="811" t="s">
        <v>1649</v>
      </c>
      <c r="B202" s="811" t="s">
        <v>1916</v>
      </c>
      <c r="C202" s="812">
        <v>65205000</v>
      </c>
      <c r="D202" s="811" t="s">
        <v>1445</v>
      </c>
      <c r="E202" s="811" t="s">
        <v>1445</v>
      </c>
      <c r="F202" s="811" t="s">
        <v>1666</v>
      </c>
      <c r="G202" s="811" t="s">
        <v>1652</v>
      </c>
      <c r="H202" s="811" t="s">
        <v>1653</v>
      </c>
      <c r="I202" s="811" t="s">
        <v>1654</v>
      </c>
      <c r="J202" s="813">
        <v>65205000</v>
      </c>
      <c r="K202" s="811" t="s">
        <v>1655</v>
      </c>
      <c r="L202" s="811" t="s">
        <v>1212</v>
      </c>
      <c r="M202" s="811" t="s">
        <v>1635</v>
      </c>
      <c r="N202" s="811" t="s">
        <v>1635</v>
      </c>
      <c r="O202" s="811" t="s">
        <v>1681</v>
      </c>
      <c r="P202" s="811" t="s">
        <v>1657</v>
      </c>
      <c r="Q202" s="811" t="s">
        <v>1682</v>
      </c>
    </row>
    <row r="203" spans="1:17" x14ac:dyDescent="0.25">
      <c r="A203" s="811" t="s">
        <v>1649</v>
      </c>
      <c r="B203" s="811" t="s">
        <v>1917</v>
      </c>
      <c r="C203" s="812">
        <v>44574000</v>
      </c>
      <c r="D203" s="811" t="s">
        <v>1445</v>
      </c>
      <c r="E203" s="811" t="s">
        <v>1445</v>
      </c>
      <c r="F203" s="811" t="s">
        <v>1666</v>
      </c>
      <c r="G203" s="811" t="s">
        <v>1652</v>
      </c>
      <c r="H203" s="811" t="s">
        <v>1653</v>
      </c>
      <c r="I203" s="811" t="s">
        <v>1654</v>
      </c>
      <c r="J203" s="813">
        <v>44574000</v>
      </c>
      <c r="K203" s="811" t="s">
        <v>1655</v>
      </c>
      <c r="L203" s="811" t="s">
        <v>1212</v>
      </c>
      <c r="M203" s="811" t="s">
        <v>1635</v>
      </c>
      <c r="N203" s="811" t="s">
        <v>1635</v>
      </c>
      <c r="O203" s="811" t="s">
        <v>1667</v>
      </c>
      <c r="P203" s="811" t="s">
        <v>1657</v>
      </c>
      <c r="Q203" s="811" t="s">
        <v>1668</v>
      </c>
    </row>
    <row r="204" spans="1:17" x14ac:dyDescent="0.25">
      <c r="A204" s="811" t="s">
        <v>1918</v>
      </c>
      <c r="B204" s="811" t="s">
        <v>1919</v>
      </c>
      <c r="C204" s="812">
        <v>494703848</v>
      </c>
      <c r="D204" s="811" t="s">
        <v>1446</v>
      </c>
      <c r="E204" s="811" t="s">
        <v>1446</v>
      </c>
      <c r="F204" s="811" t="s">
        <v>1698</v>
      </c>
      <c r="G204" s="811" t="s">
        <v>1652</v>
      </c>
      <c r="H204" s="811" t="s">
        <v>1653</v>
      </c>
      <c r="I204" s="811" t="s">
        <v>1654</v>
      </c>
      <c r="J204" s="813">
        <v>494703848</v>
      </c>
      <c r="K204" s="811" t="s">
        <v>1655</v>
      </c>
      <c r="L204" s="811" t="s">
        <v>1212</v>
      </c>
      <c r="M204" s="811" t="s">
        <v>1635</v>
      </c>
      <c r="N204" s="811" t="s">
        <v>1635</v>
      </c>
      <c r="O204" s="811" t="s">
        <v>1667</v>
      </c>
      <c r="P204" s="811" t="s">
        <v>1657</v>
      </c>
      <c r="Q204" s="811" t="s">
        <v>1668</v>
      </c>
    </row>
    <row r="205" spans="1:17" x14ac:dyDescent="0.25">
      <c r="A205" s="811" t="s">
        <v>1649</v>
      </c>
      <c r="B205" s="811" t="s">
        <v>1920</v>
      </c>
      <c r="C205" s="812">
        <v>99000000</v>
      </c>
      <c r="D205" s="811" t="s">
        <v>1449</v>
      </c>
      <c r="E205" s="811" t="s">
        <v>1449</v>
      </c>
      <c r="F205" s="811" t="s">
        <v>1689</v>
      </c>
      <c r="G205" s="811" t="s">
        <v>1652</v>
      </c>
      <c r="H205" s="811" t="s">
        <v>1653</v>
      </c>
      <c r="I205" s="811" t="s">
        <v>1654</v>
      </c>
      <c r="J205" s="813">
        <v>99000000</v>
      </c>
      <c r="K205" s="811" t="s">
        <v>1655</v>
      </c>
      <c r="L205" s="811" t="s">
        <v>1212</v>
      </c>
      <c r="M205" s="811" t="s">
        <v>1635</v>
      </c>
      <c r="N205" s="811" t="s">
        <v>1635</v>
      </c>
      <c r="O205" s="811" t="s">
        <v>1667</v>
      </c>
      <c r="P205" s="811" t="s">
        <v>1657</v>
      </c>
      <c r="Q205" s="811" t="s">
        <v>1668</v>
      </c>
    </row>
    <row r="206" spans="1:17" x14ac:dyDescent="0.25">
      <c r="A206" s="811" t="s">
        <v>1649</v>
      </c>
      <c r="B206" s="811" t="s">
        <v>1921</v>
      </c>
      <c r="C206" s="812">
        <v>44319000</v>
      </c>
      <c r="D206" s="811" t="s">
        <v>1449</v>
      </c>
      <c r="E206" s="811" t="s">
        <v>1449</v>
      </c>
      <c r="F206" s="811" t="s">
        <v>1689</v>
      </c>
      <c r="G206" s="811" t="s">
        <v>1652</v>
      </c>
      <c r="H206" s="811" t="s">
        <v>1653</v>
      </c>
      <c r="I206" s="811" t="s">
        <v>1654</v>
      </c>
      <c r="J206" s="813">
        <v>44319000</v>
      </c>
      <c r="K206" s="811" t="s">
        <v>1655</v>
      </c>
      <c r="L206" s="811" t="s">
        <v>1212</v>
      </c>
      <c r="M206" s="811" t="s">
        <v>1635</v>
      </c>
      <c r="N206" s="811" t="s">
        <v>1635</v>
      </c>
      <c r="O206" s="811" t="s">
        <v>1667</v>
      </c>
      <c r="P206" s="811" t="s">
        <v>1657</v>
      </c>
      <c r="Q206" s="811" t="s">
        <v>1668</v>
      </c>
    </row>
    <row r="207" spans="1:17" x14ac:dyDescent="0.25">
      <c r="A207" s="811" t="s">
        <v>1649</v>
      </c>
      <c r="B207" s="811" t="s">
        <v>1922</v>
      </c>
      <c r="C207" s="812">
        <v>36950520</v>
      </c>
      <c r="D207" s="811" t="s">
        <v>1440</v>
      </c>
      <c r="E207" s="811" t="s">
        <v>1440</v>
      </c>
      <c r="F207" s="811" t="s">
        <v>1672</v>
      </c>
      <c r="G207" s="811" t="s">
        <v>1652</v>
      </c>
      <c r="H207" s="811" t="s">
        <v>1653</v>
      </c>
      <c r="I207" s="811" t="s">
        <v>1654</v>
      </c>
      <c r="J207" s="813">
        <v>36950520</v>
      </c>
      <c r="K207" s="811" t="s">
        <v>1655</v>
      </c>
      <c r="L207" s="811" t="s">
        <v>1212</v>
      </c>
      <c r="M207" s="811" t="s">
        <v>1635</v>
      </c>
      <c r="N207" s="811" t="s">
        <v>1635</v>
      </c>
      <c r="O207" s="811" t="s">
        <v>1667</v>
      </c>
      <c r="P207" s="811" t="s">
        <v>1657</v>
      </c>
      <c r="Q207" s="811" t="s">
        <v>1668</v>
      </c>
    </row>
    <row r="208" spans="1:17" x14ac:dyDescent="0.25">
      <c r="A208" s="811" t="s">
        <v>1649</v>
      </c>
      <c r="B208" s="811" t="s">
        <v>1923</v>
      </c>
      <c r="C208" s="812">
        <v>24050000</v>
      </c>
      <c r="D208" s="811" t="s">
        <v>1454</v>
      </c>
      <c r="E208" s="811" t="s">
        <v>1454</v>
      </c>
      <c r="F208" s="811" t="s">
        <v>1739</v>
      </c>
      <c r="G208" s="811" t="s">
        <v>1652</v>
      </c>
      <c r="H208" s="811" t="s">
        <v>1653</v>
      </c>
      <c r="I208" s="811" t="s">
        <v>1654</v>
      </c>
      <c r="J208" s="813">
        <v>24050000</v>
      </c>
      <c r="K208" s="811" t="s">
        <v>1655</v>
      </c>
      <c r="L208" s="811" t="s">
        <v>1212</v>
      </c>
      <c r="M208" s="811" t="s">
        <v>1635</v>
      </c>
      <c r="N208" s="811" t="s">
        <v>1635</v>
      </c>
      <c r="O208" s="811" t="s">
        <v>1667</v>
      </c>
      <c r="P208" s="811" t="s">
        <v>1657</v>
      </c>
      <c r="Q208" s="811" t="s">
        <v>1668</v>
      </c>
    </row>
    <row r="209" spans="1:17" x14ac:dyDescent="0.25">
      <c r="A209" s="811" t="s">
        <v>1649</v>
      </c>
      <c r="B209" s="811" t="s">
        <v>1924</v>
      </c>
      <c r="C209" s="812">
        <v>45000000</v>
      </c>
      <c r="D209" s="811" t="s">
        <v>1454</v>
      </c>
      <c r="E209" s="811" t="s">
        <v>1454</v>
      </c>
      <c r="F209" s="811" t="s">
        <v>1662</v>
      </c>
      <c r="G209" s="811" t="s">
        <v>1652</v>
      </c>
      <c r="H209" s="811" t="s">
        <v>1653</v>
      </c>
      <c r="I209" s="811" t="s">
        <v>1654</v>
      </c>
      <c r="J209" s="813">
        <v>45000000</v>
      </c>
      <c r="K209" s="811" t="s">
        <v>1655</v>
      </c>
      <c r="L209" s="811" t="s">
        <v>1212</v>
      </c>
      <c r="M209" s="811" t="s">
        <v>1635</v>
      </c>
      <c r="N209" s="811" t="s">
        <v>1635</v>
      </c>
      <c r="O209" s="811" t="s">
        <v>214</v>
      </c>
      <c r="P209" s="811" t="s">
        <v>1657</v>
      </c>
      <c r="Q209" s="811" t="s">
        <v>1682</v>
      </c>
    </row>
    <row r="210" spans="1:17" x14ac:dyDescent="0.25">
      <c r="A210" s="811" t="s">
        <v>1925</v>
      </c>
      <c r="B210" s="811" t="s">
        <v>1926</v>
      </c>
      <c r="C210" s="812">
        <v>40000000</v>
      </c>
      <c r="D210" s="811" t="s">
        <v>1454</v>
      </c>
      <c r="E210" s="811" t="s">
        <v>1454</v>
      </c>
      <c r="F210" s="811" t="s">
        <v>1716</v>
      </c>
      <c r="G210" s="811" t="s">
        <v>1652</v>
      </c>
      <c r="H210" s="811" t="s">
        <v>1577</v>
      </c>
      <c r="I210" s="811" t="s">
        <v>1654</v>
      </c>
      <c r="J210" s="813">
        <v>40000000</v>
      </c>
      <c r="K210" s="811" t="s">
        <v>1655</v>
      </c>
      <c r="L210" s="811" t="s">
        <v>1212</v>
      </c>
      <c r="M210" s="811" t="s">
        <v>1635</v>
      </c>
      <c r="N210" s="811" t="s">
        <v>1635</v>
      </c>
      <c r="O210" s="811" t="s">
        <v>1777</v>
      </c>
      <c r="P210" s="811" t="s">
        <v>1657</v>
      </c>
      <c r="Q210" s="811" t="s">
        <v>1658</v>
      </c>
    </row>
    <row r="211" spans="1:17" x14ac:dyDescent="0.25">
      <c r="A211" s="811" t="s">
        <v>1649</v>
      </c>
      <c r="B211" s="811" t="s">
        <v>1927</v>
      </c>
      <c r="C211" s="812">
        <v>19987572</v>
      </c>
      <c r="D211" s="811" t="s">
        <v>1449</v>
      </c>
      <c r="E211" s="811" t="s">
        <v>1449</v>
      </c>
      <c r="F211" s="811" t="s">
        <v>1689</v>
      </c>
      <c r="G211" s="811" t="s">
        <v>1652</v>
      </c>
      <c r="H211" s="811" t="s">
        <v>1653</v>
      </c>
      <c r="I211" s="811" t="s">
        <v>1654</v>
      </c>
      <c r="J211" s="813">
        <v>19987572</v>
      </c>
      <c r="K211" s="811" t="s">
        <v>1655</v>
      </c>
      <c r="L211" s="811" t="s">
        <v>1212</v>
      </c>
      <c r="M211" s="811" t="s">
        <v>1635</v>
      </c>
      <c r="N211" s="811" t="s">
        <v>1635</v>
      </c>
      <c r="O211" s="811" t="s">
        <v>1845</v>
      </c>
      <c r="P211" s="811" t="s">
        <v>1657</v>
      </c>
      <c r="Q211" s="811" t="s">
        <v>1710</v>
      </c>
    </row>
    <row r="212" spans="1:17" x14ac:dyDescent="0.25">
      <c r="A212" s="811" t="s">
        <v>1649</v>
      </c>
      <c r="B212" s="811" t="s">
        <v>1928</v>
      </c>
      <c r="C212" s="812">
        <v>44972037</v>
      </c>
      <c r="D212" s="811" t="s">
        <v>1449</v>
      </c>
      <c r="E212" s="811" t="s">
        <v>1449</v>
      </c>
      <c r="F212" s="811" t="s">
        <v>1689</v>
      </c>
      <c r="G212" s="811" t="s">
        <v>1652</v>
      </c>
      <c r="H212" s="811" t="s">
        <v>1653</v>
      </c>
      <c r="I212" s="811" t="s">
        <v>1654</v>
      </c>
      <c r="J212" s="813">
        <v>44972037</v>
      </c>
      <c r="K212" s="811" t="s">
        <v>1655</v>
      </c>
      <c r="L212" s="811" t="s">
        <v>1212</v>
      </c>
      <c r="M212" s="811" t="s">
        <v>1635</v>
      </c>
      <c r="N212" s="811" t="s">
        <v>1635</v>
      </c>
      <c r="O212" s="811" t="s">
        <v>1845</v>
      </c>
      <c r="P212" s="811" t="s">
        <v>1657</v>
      </c>
      <c r="Q212" s="811" t="s">
        <v>1710</v>
      </c>
    </row>
    <row r="213" spans="1:17" x14ac:dyDescent="0.25">
      <c r="A213" s="811" t="s">
        <v>1649</v>
      </c>
      <c r="B213" s="811" t="s">
        <v>1929</v>
      </c>
      <c r="C213" s="812">
        <v>39975144</v>
      </c>
      <c r="D213" s="811" t="s">
        <v>1449</v>
      </c>
      <c r="E213" s="811" t="s">
        <v>1449</v>
      </c>
      <c r="F213" s="811" t="s">
        <v>1689</v>
      </c>
      <c r="G213" s="811" t="s">
        <v>1652</v>
      </c>
      <c r="H213" s="811" t="s">
        <v>1653</v>
      </c>
      <c r="I213" s="811" t="s">
        <v>1654</v>
      </c>
      <c r="J213" s="813">
        <v>39975144</v>
      </c>
      <c r="K213" s="811" t="s">
        <v>1655</v>
      </c>
      <c r="L213" s="811" t="s">
        <v>1212</v>
      </c>
      <c r="M213" s="811" t="s">
        <v>1635</v>
      </c>
      <c r="N213" s="811" t="s">
        <v>1635</v>
      </c>
      <c r="O213" s="811" t="s">
        <v>1845</v>
      </c>
      <c r="P213" s="811" t="s">
        <v>1657</v>
      </c>
      <c r="Q213" s="811" t="s">
        <v>1710</v>
      </c>
    </row>
    <row r="214" spans="1:17" x14ac:dyDescent="0.25">
      <c r="A214" s="811" t="s">
        <v>1649</v>
      </c>
      <c r="B214" s="811" t="s">
        <v>1930</v>
      </c>
      <c r="C214" s="812">
        <v>29981358</v>
      </c>
      <c r="D214" s="811" t="s">
        <v>1449</v>
      </c>
      <c r="E214" s="811" t="s">
        <v>1449</v>
      </c>
      <c r="F214" s="811" t="s">
        <v>1689</v>
      </c>
      <c r="G214" s="811" t="s">
        <v>1652</v>
      </c>
      <c r="H214" s="811" t="s">
        <v>1653</v>
      </c>
      <c r="I214" s="811" t="s">
        <v>1654</v>
      </c>
      <c r="J214" s="813">
        <v>29981358</v>
      </c>
      <c r="K214" s="811" t="s">
        <v>1655</v>
      </c>
      <c r="L214" s="811" t="s">
        <v>1212</v>
      </c>
      <c r="M214" s="811" t="s">
        <v>1635</v>
      </c>
      <c r="N214" s="811" t="s">
        <v>1635</v>
      </c>
      <c r="O214" s="811" t="s">
        <v>1845</v>
      </c>
      <c r="P214" s="811" t="s">
        <v>1657</v>
      </c>
      <c r="Q214" s="811" t="s">
        <v>1710</v>
      </c>
    </row>
    <row r="215" spans="1:17" x14ac:dyDescent="0.25">
      <c r="A215" s="811" t="s">
        <v>1649</v>
      </c>
      <c r="B215" s="811" t="s">
        <v>1931</v>
      </c>
      <c r="C215" s="812">
        <v>29981358</v>
      </c>
      <c r="D215" s="811" t="s">
        <v>1449</v>
      </c>
      <c r="E215" s="811" t="s">
        <v>1449</v>
      </c>
      <c r="F215" s="811" t="s">
        <v>1689</v>
      </c>
      <c r="G215" s="811" t="s">
        <v>1652</v>
      </c>
      <c r="H215" s="811" t="s">
        <v>1653</v>
      </c>
      <c r="I215" s="811" t="s">
        <v>1654</v>
      </c>
      <c r="J215" s="813">
        <v>29981358</v>
      </c>
      <c r="K215" s="811" t="s">
        <v>1655</v>
      </c>
      <c r="L215" s="811" t="s">
        <v>1212</v>
      </c>
      <c r="M215" s="811" t="s">
        <v>1635</v>
      </c>
      <c r="N215" s="811" t="s">
        <v>1635</v>
      </c>
      <c r="O215" s="811" t="s">
        <v>1845</v>
      </c>
      <c r="P215" s="811" t="s">
        <v>1657</v>
      </c>
      <c r="Q215" s="811" t="s">
        <v>1710</v>
      </c>
    </row>
    <row r="216" spans="1:17" x14ac:dyDescent="0.25">
      <c r="A216" s="811" t="s">
        <v>1649</v>
      </c>
      <c r="B216" s="811" t="s">
        <v>1932</v>
      </c>
      <c r="C216" s="812">
        <v>53148771</v>
      </c>
      <c r="D216" s="811" t="s">
        <v>1449</v>
      </c>
      <c r="E216" s="811" t="s">
        <v>1449</v>
      </c>
      <c r="F216" s="811" t="s">
        <v>1666</v>
      </c>
      <c r="G216" s="811" t="s">
        <v>1652</v>
      </c>
      <c r="H216" s="811" t="s">
        <v>1653</v>
      </c>
      <c r="I216" s="811" t="s">
        <v>1654</v>
      </c>
      <c r="J216" s="813">
        <v>53148771</v>
      </c>
      <c r="K216" s="811" t="s">
        <v>1655</v>
      </c>
      <c r="L216" s="811" t="s">
        <v>1212</v>
      </c>
      <c r="M216" s="811" t="s">
        <v>1635</v>
      </c>
      <c r="N216" s="811" t="s">
        <v>1635</v>
      </c>
      <c r="O216" s="811" t="s">
        <v>1845</v>
      </c>
      <c r="P216" s="811" t="s">
        <v>1657</v>
      </c>
      <c r="Q216" s="811" t="s">
        <v>1710</v>
      </c>
    </row>
    <row r="217" spans="1:17" x14ac:dyDescent="0.25">
      <c r="A217" s="811" t="s">
        <v>1649</v>
      </c>
      <c r="B217" s="811" t="s">
        <v>1933</v>
      </c>
      <c r="C217" s="812">
        <v>34978251</v>
      </c>
      <c r="D217" s="811" t="s">
        <v>1449</v>
      </c>
      <c r="E217" s="811" t="s">
        <v>1449</v>
      </c>
      <c r="F217" s="811" t="s">
        <v>1689</v>
      </c>
      <c r="G217" s="811" t="s">
        <v>1652</v>
      </c>
      <c r="H217" s="811" t="s">
        <v>1653</v>
      </c>
      <c r="I217" s="811" t="s">
        <v>1654</v>
      </c>
      <c r="J217" s="813">
        <v>34978251</v>
      </c>
      <c r="K217" s="811" t="s">
        <v>1655</v>
      </c>
      <c r="L217" s="811" t="s">
        <v>1212</v>
      </c>
      <c r="M217" s="811" t="s">
        <v>1635</v>
      </c>
      <c r="N217" s="811" t="s">
        <v>1635</v>
      </c>
      <c r="O217" s="811" t="s">
        <v>1845</v>
      </c>
      <c r="P217" s="811" t="s">
        <v>1657</v>
      </c>
      <c r="Q217" s="811" t="s">
        <v>1710</v>
      </c>
    </row>
    <row r="218" spans="1:17" x14ac:dyDescent="0.25">
      <c r="A218" s="811" t="s">
        <v>1649</v>
      </c>
      <c r="B218" s="811" t="s">
        <v>1934</v>
      </c>
      <c r="C218" s="812">
        <v>34978251</v>
      </c>
      <c r="D218" s="811" t="s">
        <v>1449</v>
      </c>
      <c r="E218" s="811" t="s">
        <v>1449</v>
      </c>
      <c r="F218" s="811" t="s">
        <v>1689</v>
      </c>
      <c r="G218" s="811" t="s">
        <v>1652</v>
      </c>
      <c r="H218" s="811" t="s">
        <v>1653</v>
      </c>
      <c r="I218" s="811" t="s">
        <v>1654</v>
      </c>
      <c r="J218" s="813">
        <v>34978251</v>
      </c>
      <c r="K218" s="811" t="s">
        <v>1655</v>
      </c>
      <c r="L218" s="811" t="s">
        <v>1212</v>
      </c>
      <c r="M218" s="811" t="s">
        <v>1635</v>
      </c>
      <c r="N218" s="811" t="s">
        <v>1635</v>
      </c>
      <c r="O218" s="811" t="s">
        <v>1845</v>
      </c>
      <c r="P218" s="811" t="s">
        <v>1657</v>
      </c>
      <c r="Q218" s="811" t="s">
        <v>1710</v>
      </c>
    </row>
    <row r="219" spans="1:17" x14ac:dyDescent="0.25">
      <c r="A219" s="811" t="s">
        <v>1649</v>
      </c>
      <c r="B219" s="811" t="s">
        <v>1935</v>
      </c>
      <c r="C219" s="812">
        <v>29981358</v>
      </c>
      <c r="D219" s="811" t="s">
        <v>1449</v>
      </c>
      <c r="E219" s="811" t="s">
        <v>1449</v>
      </c>
      <c r="F219" s="811" t="s">
        <v>1689</v>
      </c>
      <c r="G219" s="811" t="s">
        <v>1652</v>
      </c>
      <c r="H219" s="811" t="s">
        <v>1653</v>
      </c>
      <c r="I219" s="811" t="s">
        <v>1654</v>
      </c>
      <c r="J219" s="813">
        <v>29981358</v>
      </c>
      <c r="K219" s="811" t="s">
        <v>1655</v>
      </c>
      <c r="L219" s="811" t="s">
        <v>1212</v>
      </c>
      <c r="M219" s="811" t="s">
        <v>1635</v>
      </c>
      <c r="N219" s="811" t="s">
        <v>1635</v>
      </c>
      <c r="O219" s="811" t="s">
        <v>1845</v>
      </c>
      <c r="P219" s="811" t="s">
        <v>1657</v>
      </c>
      <c r="Q219" s="811" t="s">
        <v>1710</v>
      </c>
    </row>
    <row r="220" spans="1:17" x14ac:dyDescent="0.25">
      <c r="A220" s="811" t="s">
        <v>1649</v>
      </c>
      <c r="B220" s="811" t="s">
        <v>1936</v>
      </c>
      <c r="C220" s="812">
        <v>28800000</v>
      </c>
      <c r="D220" s="811" t="s">
        <v>1542</v>
      </c>
      <c r="E220" s="811" t="s">
        <v>1542</v>
      </c>
      <c r="F220" s="811" t="s">
        <v>1651</v>
      </c>
      <c r="G220" s="811" t="s">
        <v>1652</v>
      </c>
      <c r="H220" s="811" t="s">
        <v>1653</v>
      </c>
      <c r="I220" s="811" t="s">
        <v>1654</v>
      </c>
      <c r="J220" s="813">
        <v>28800000</v>
      </c>
      <c r="K220" s="811" t="s">
        <v>1655</v>
      </c>
      <c r="L220" s="811" t="s">
        <v>1212</v>
      </c>
      <c r="M220" s="811" t="s">
        <v>1635</v>
      </c>
      <c r="N220" s="811" t="s">
        <v>1635</v>
      </c>
      <c r="O220" s="811" t="s">
        <v>1656</v>
      </c>
      <c r="P220" s="811" t="s">
        <v>1657</v>
      </c>
      <c r="Q220" s="811" t="s">
        <v>1658</v>
      </c>
    </row>
    <row r="221" spans="1:17" x14ac:dyDescent="0.25">
      <c r="A221" s="811" t="s">
        <v>1649</v>
      </c>
      <c r="B221" s="811" t="s">
        <v>1937</v>
      </c>
      <c r="C221" s="812">
        <v>24530202</v>
      </c>
      <c r="D221" s="811" t="s">
        <v>1542</v>
      </c>
      <c r="E221" s="811" t="s">
        <v>1542</v>
      </c>
      <c r="F221" s="811" t="s">
        <v>1666</v>
      </c>
      <c r="G221" s="811" t="s">
        <v>1652</v>
      </c>
      <c r="H221" s="811" t="s">
        <v>1653</v>
      </c>
      <c r="I221" s="811" t="s">
        <v>1654</v>
      </c>
      <c r="J221" s="813">
        <v>24530202</v>
      </c>
      <c r="K221" s="811" t="s">
        <v>1655</v>
      </c>
      <c r="L221" s="811" t="s">
        <v>1212</v>
      </c>
      <c r="M221" s="811" t="s">
        <v>1635</v>
      </c>
      <c r="N221" s="811" t="s">
        <v>1635</v>
      </c>
      <c r="O221" s="811" t="s">
        <v>1845</v>
      </c>
      <c r="P221" s="811" t="s">
        <v>1657</v>
      </c>
      <c r="Q221" s="811" t="s">
        <v>1710</v>
      </c>
    </row>
    <row r="222" spans="1:17" x14ac:dyDescent="0.25">
      <c r="A222" s="811" t="s">
        <v>1649</v>
      </c>
      <c r="B222" s="811" t="s">
        <v>1938</v>
      </c>
      <c r="C222" s="812">
        <v>24530202</v>
      </c>
      <c r="D222" s="811" t="s">
        <v>1542</v>
      </c>
      <c r="E222" s="811" t="s">
        <v>1542</v>
      </c>
      <c r="F222" s="811" t="s">
        <v>1666</v>
      </c>
      <c r="G222" s="811" t="s">
        <v>1652</v>
      </c>
      <c r="H222" s="811" t="s">
        <v>1653</v>
      </c>
      <c r="I222" s="811" t="s">
        <v>1654</v>
      </c>
      <c r="J222" s="813">
        <v>24530202</v>
      </c>
      <c r="K222" s="811" t="s">
        <v>1655</v>
      </c>
      <c r="L222" s="811" t="s">
        <v>1212</v>
      </c>
      <c r="M222" s="811" t="s">
        <v>1635</v>
      </c>
      <c r="N222" s="811" t="s">
        <v>1635</v>
      </c>
      <c r="O222" s="811" t="s">
        <v>1845</v>
      </c>
      <c r="P222" s="811" t="s">
        <v>1657</v>
      </c>
      <c r="Q222" s="811" t="s">
        <v>1710</v>
      </c>
    </row>
    <row r="223" spans="1:17" x14ac:dyDescent="0.25">
      <c r="A223" s="811" t="s">
        <v>1649</v>
      </c>
      <c r="B223" s="811" t="s">
        <v>1939</v>
      </c>
      <c r="C223" s="812">
        <v>53148771</v>
      </c>
      <c r="D223" s="811" t="s">
        <v>1542</v>
      </c>
      <c r="E223" s="811" t="s">
        <v>1542</v>
      </c>
      <c r="F223" s="811" t="s">
        <v>1666</v>
      </c>
      <c r="G223" s="811" t="s">
        <v>1652</v>
      </c>
      <c r="H223" s="811" t="s">
        <v>1653</v>
      </c>
      <c r="I223" s="811" t="s">
        <v>1654</v>
      </c>
      <c r="J223" s="813">
        <v>53148771</v>
      </c>
      <c r="K223" s="811" t="s">
        <v>1655</v>
      </c>
      <c r="L223" s="811" t="s">
        <v>1212</v>
      </c>
      <c r="M223" s="811" t="s">
        <v>1635</v>
      </c>
      <c r="N223" s="811" t="s">
        <v>1635</v>
      </c>
      <c r="O223" s="811" t="s">
        <v>1845</v>
      </c>
      <c r="P223" s="811" t="s">
        <v>1657</v>
      </c>
      <c r="Q223" s="811" t="s">
        <v>1710</v>
      </c>
    </row>
    <row r="224" spans="1:17" x14ac:dyDescent="0.25">
      <c r="A224" s="811" t="s">
        <v>1649</v>
      </c>
      <c r="B224" s="811" t="s">
        <v>1940</v>
      </c>
      <c r="C224" s="812">
        <v>53148771</v>
      </c>
      <c r="D224" s="811" t="s">
        <v>1542</v>
      </c>
      <c r="E224" s="811" t="s">
        <v>1542</v>
      </c>
      <c r="F224" s="811" t="s">
        <v>1666</v>
      </c>
      <c r="G224" s="811" t="s">
        <v>1652</v>
      </c>
      <c r="H224" s="811" t="s">
        <v>1653</v>
      </c>
      <c r="I224" s="811" t="s">
        <v>1654</v>
      </c>
      <c r="J224" s="813">
        <v>53148771</v>
      </c>
      <c r="K224" s="811" t="s">
        <v>1655</v>
      </c>
      <c r="L224" s="811" t="s">
        <v>1212</v>
      </c>
      <c r="M224" s="811" t="s">
        <v>1635</v>
      </c>
      <c r="N224" s="811" t="s">
        <v>1635</v>
      </c>
      <c r="O224" s="811" t="s">
        <v>1845</v>
      </c>
      <c r="P224" s="811" t="s">
        <v>1657</v>
      </c>
      <c r="Q224" s="811" t="s">
        <v>1710</v>
      </c>
    </row>
    <row r="225" spans="1:17" x14ac:dyDescent="0.25">
      <c r="A225" s="811" t="s">
        <v>1649</v>
      </c>
      <c r="B225" s="811" t="s">
        <v>1941</v>
      </c>
      <c r="C225" s="812">
        <v>36795303</v>
      </c>
      <c r="D225" s="811" t="s">
        <v>1542</v>
      </c>
      <c r="E225" s="811" t="s">
        <v>1542</v>
      </c>
      <c r="F225" s="811" t="s">
        <v>1666</v>
      </c>
      <c r="G225" s="811" t="s">
        <v>1652</v>
      </c>
      <c r="H225" s="811" t="s">
        <v>1653</v>
      </c>
      <c r="I225" s="811" t="s">
        <v>1654</v>
      </c>
      <c r="J225" s="813">
        <v>36795303</v>
      </c>
      <c r="K225" s="811" t="s">
        <v>1655</v>
      </c>
      <c r="L225" s="811" t="s">
        <v>1212</v>
      </c>
      <c r="M225" s="811" t="s">
        <v>1635</v>
      </c>
      <c r="N225" s="811" t="s">
        <v>1635</v>
      </c>
      <c r="O225" s="811" t="s">
        <v>1845</v>
      </c>
      <c r="P225" s="811" t="s">
        <v>1657</v>
      </c>
      <c r="Q225" s="811" t="s">
        <v>1710</v>
      </c>
    </row>
    <row r="226" spans="1:17" x14ac:dyDescent="0.25">
      <c r="A226" s="811" t="s">
        <v>1649</v>
      </c>
      <c r="B226" s="811" t="s">
        <v>1942</v>
      </c>
      <c r="C226" s="812">
        <v>24530202</v>
      </c>
      <c r="D226" s="811" t="s">
        <v>1542</v>
      </c>
      <c r="E226" s="811" t="s">
        <v>1542</v>
      </c>
      <c r="F226" s="811" t="s">
        <v>1666</v>
      </c>
      <c r="G226" s="811" t="s">
        <v>1652</v>
      </c>
      <c r="H226" s="811" t="s">
        <v>1653</v>
      </c>
      <c r="I226" s="811" t="s">
        <v>1654</v>
      </c>
      <c r="J226" s="813">
        <v>24530202</v>
      </c>
      <c r="K226" s="811" t="s">
        <v>1655</v>
      </c>
      <c r="L226" s="811" t="s">
        <v>1212</v>
      </c>
      <c r="M226" s="811" t="s">
        <v>1635</v>
      </c>
      <c r="N226" s="811" t="s">
        <v>1635</v>
      </c>
      <c r="O226" s="811" t="s">
        <v>1845</v>
      </c>
      <c r="P226" s="811" t="s">
        <v>1657</v>
      </c>
      <c r="Q226" s="811" t="s">
        <v>1710</v>
      </c>
    </row>
    <row r="227" spans="1:17" x14ac:dyDescent="0.25">
      <c r="A227" s="811" t="s">
        <v>1649</v>
      </c>
      <c r="B227" s="811" t="s">
        <v>1943</v>
      </c>
      <c r="C227" s="812">
        <v>32706936</v>
      </c>
      <c r="D227" s="811" t="s">
        <v>1542</v>
      </c>
      <c r="E227" s="811" t="s">
        <v>1542</v>
      </c>
      <c r="F227" s="811" t="s">
        <v>1666</v>
      </c>
      <c r="G227" s="811" t="s">
        <v>1652</v>
      </c>
      <c r="H227" s="811" t="s">
        <v>1653</v>
      </c>
      <c r="I227" s="811" t="s">
        <v>1654</v>
      </c>
      <c r="J227" s="813">
        <v>32706936</v>
      </c>
      <c r="K227" s="811" t="s">
        <v>1655</v>
      </c>
      <c r="L227" s="811" t="s">
        <v>1212</v>
      </c>
      <c r="M227" s="811" t="s">
        <v>1635</v>
      </c>
      <c r="N227" s="811" t="s">
        <v>1635</v>
      </c>
      <c r="O227" s="811" t="s">
        <v>1845</v>
      </c>
      <c r="P227" s="811" t="s">
        <v>1657</v>
      </c>
      <c r="Q227" s="811" t="s">
        <v>1710</v>
      </c>
    </row>
    <row r="228" spans="1:17" x14ac:dyDescent="0.25">
      <c r="A228" s="811" t="s">
        <v>1944</v>
      </c>
      <c r="B228" s="811" t="s">
        <v>1945</v>
      </c>
      <c r="C228" s="812">
        <v>70000000</v>
      </c>
      <c r="D228" s="811" t="s">
        <v>1542</v>
      </c>
      <c r="E228" s="811" t="s">
        <v>1542</v>
      </c>
      <c r="F228" s="811" t="s">
        <v>1666</v>
      </c>
      <c r="G228" s="811" t="s">
        <v>1652</v>
      </c>
      <c r="H228" s="811" t="s">
        <v>1790</v>
      </c>
      <c r="I228" s="811" t="s">
        <v>1654</v>
      </c>
      <c r="J228" s="813">
        <v>70000000</v>
      </c>
      <c r="K228" s="811" t="s">
        <v>1655</v>
      </c>
      <c r="L228" s="811" t="s">
        <v>1212</v>
      </c>
      <c r="M228" s="811" t="s">
        <v>1635</v>
      </c>
      <c r="N228" s="811" t="s">
        <v>1635</v>
      </c>
      <c r="O228" s="811" t="s">
        <v>1845</v>
      </c>
      <c r="P228" s="811" t="s">
        <v>1657</v>
      </c>
      <c r="Q228" s="811" t="s">
        <v>1710</v>
      </c>
    </row>
    <row r="229" spans="1:17" x14ac:dyDescent="0.25">
      <c r="A229" s="811" t="s">
        <v>1944</v>
      </c>
      <c r="B229" s="811" t="s">
        <v>1946</v>
      </c>
      <c r="C229" s="812">
        <v>20000000</v>
      </c>
      <c r="D229" s="811" t="s">
        <v>1542</v>
      </c>
      <c r="E229" s="811" t="s">
        <v>1542</v>
      </c>
      <c r="F229" s="811" t="s">
        <v>1666</v>
      </c>
      <c r="G229" s="811" t="s">
        <v>1652</v>
      </c>
      <c r="H229" s="811" t="s">
        <v>1790</v>
      </c>
      <c r="I229" s="811" t="s">
        <v>1654</v>
      </c>
      <c r="J229" s="813">
        <v>20000000</v>
      </c>
      <c r="K229" s="811" t="s">
        <v>1655</v>
      </c>
      <c r="L229" s="811" t="s">
        <v>1212</v>
      </c>
      <c r="M229" s="811" t="s">
        <v>1635</v>
      </c>
      <c r="N229" s="811" t="s">
        <v>1635</v>
      </c>
      <c r="O229" s="811" t="s">
        <v>1845</v>
      </c>
      <c r="P229" s="811" t="s">
        <v>1657</v>
      </c>
      <c r="Q229" s="811" t="s">
        <v>1710</v>
      </c>
    </row>
    <row r="230" spans="1:17" x14ac:dyDescent="0.25">
      <c r="A230" s="811" t="s">
        <v>1947</v>
      </c>
      <c r="B230" s="811" t="s">
        <v>1948</v>
      </c>
      <c r="C230" s="812">
        <v>120000000</v>
      </c>
      <c r="D230" s="811" t="s">
        <v>1542</v>
      </c>
      <c r="E230" s="811" t="s">
        <v>1542</v>
      </c>
      <c r="F230" s="811" t="s">
        <v>1666</v>
      </c>
      <c r="G230" s="811" t="s">
        <v>1652</v>
      </c>
      <c r="H230" s="811" t="s">
        <v>1653</v>
      </c>
      <c r="I230" s="811" t="s">
        <v>1654</v>
      </c>
      <c r="J230" s="813">
        <v>120000000</v>
      </c>
      <c r="K230" s="811" t="s">
        <v>1655</v>
      </c>
      <c r="L230" s="811" t="s">
        <v>1212</v>
      </c>
      <c r="M230" s="811" t="s">
        <v>1635</v>
      </c>
      <c r="N230" s="811" t="s">
        <v>1635</v>
      </c>
      <c r="O230" s="811" t="s">
        <v>1845</v>
      </c>
      <c r="P230" s="811" t="s">
        <v>1657</v>
      </c>
      <c r="Q230" s="811" t="s">
        <v>1710</v>
      </c>
    </row>
    <row r="231" spans="1:17" x14ac:dyDescent="0.25">
      <c r="A231" s="811" t="s">
        <v>1949</v>
      </c>
      <c r="B231" s="811" t="s">
        <v>1950</v>
      </c>
      <c r="C231" s="812">
        <v>88000000</v>
      </c>
      <c r="D231" s="811" t="s">
        <v>1542</v>
      </c>
      <c r="E231" s="811" t="s">
        <v>1542</v>
      </c>
      <c r="F231" s="811" t="s">
        <v>1718</v>
      </c>
      <c r="G231" s="811" t="s">
        <v>1652</v>
      </c>
      <c r="H231" s="811" t="s">
        <v>1790</v>
      </c>
      <c r="I231" s="811" t="s">
        <v>1654</v>
      </c>
      <c r="J231" s="813">
        <v>88000000</v>
      </c>
      <c r="K231" s="811" t="s">
        <v>1655</v>
      </c>
      <c r="L231" s="811" t="s">
        <v>1212</v>
      </c>
      <c r="M231" s="811" t="s">
        <v>1635</v>
      </c>
      <c r="N231" s="811" t="s">
        <v>1635</v>
      </c>
      <c r="O231" s="811" t="s">
        <v>1845</v>
      </c>
      <c r="P231" s="811" t="s">
        <v>1657</v>
      </c>
      <c r="Q231" s="811" t="s">
        <v>1710</v>
      </c>
    </row>
    <row r="232" spans="1:17" x14ac:dyDescent="0.25">
      <c r="A232" s="811" t="s">
        <v>1949</v>
      </c>
      <c r="B232" s="811" t="s">
        <v>1951</v>
      </c>
      <c r="C232" s="812">
        <v>30000000</v>
      </c>
      <c r="D232" s="811" t="s">
        <v>1542</v>
      </c>
      <c r="E232" s="811" t="s">
        <v>1542</v>
      </c>
      <c r="F232" s="811" t="s">
        <v>1718</v>
      </c>
      <c r="G232" s="811" t="s">
        <v>1652</v>
      </c>
      <c r="H232" s="811" t="s">
        <v>1577</v>
      </c>
      <c r="I232" s="811" t="s">
        <v>1654</v>
      </c>
      <c r="J232" s="813">
        <v>30000000</v>
      </c>
      <c r="K232" s="811" t="s">
        <v>1655</v>
      </c>
      <c r="L232" s="811" t="s">
        <v>1212</v>
      </c>
      <c r="M232" s="811" t="s">
        <v>1635</v>
      </c>
      <c r="N232" s="811" t="s">
        <v>1635</v>
      </c>
      <c r="O232" s="811" t="s">
        <v>1845</v>
      </c>
      <c r="P232" s="811" t="s">
        <v>1657</v>
      </c>
      <c r="Q232" s="811" t="s">
        <v>1710</v>
      </c>
    </row>
    <row r="233" spans="1:17" x14ac:dyDescent="0.25">
      <c r="A233" s="811" t="s">
        <v>1649</v>
      </c>
      <c r="B233" s="811" t="s">
        <v>1952</v>
      </c>
      <c r="C233" s="812">
        <v>58872500</v>
      </c>
      <c r="D233" s="811" t="s">
        <v>1542</v>
      </c>
      <c r="E233" s="811" t="s">
        <v>1542</v>
      </c>
      <c r="F233" s="811" t="s">
        <v>1651</v>
      </c>
      <c r="G233" s="811" t="s">
        <v>1652</v>
      </c>
      <c r="H233" s="811" t="s">
        <v>1653</v>
      </c>
      <c r="I233" s="811" t="s">
        <v>1654</v>
      </c>
      <c r="J233" s="813">
        <v>58872500</v>
      </c>
      <c r="K233" s="811" t="s">
        <v>1655</v>
      </c>
      <c r="L233" s="811" t="s">
        <v>1212</v>
      </c>
      <c r="M233" s="811" t="s">
        <v>1635</v>
      </c>
      <c r="N233" s="811" t="s">
        <v>1635</v>
      </c>
      <c r="O233" s="811" t="s">
        <v>1845</v>
      </c>
      <c r="P233" s="811" t="s">
        <v>1657</v>
      </c>
      <c r="Q233" s="811" t="s">
        <v>1710</v>
      </c>
    </row>
    <row r="234" spans="1:17" x14ac:dyDescent="0.25">
      <c r="A234" s="811" t="s">
        <v>1953</v>
      </c>
      <c r="B234" s="811" t="s">
        <v>1954</v>
      </c>
      <c r="C234" s="812">
        <v>1530501871</v>
      </c>
      <c r="D234" s="811" t="s">
        <v>1454</v>
      </c>
      <c r="E234" s="811" t="s">
        <v>1454</v>
      </c>
      <c r="F234" s="811" t="s">
        <v>1662</v>
      </c>
      <c r="G234" s="811" t="s">
        <v>1652</v>
      </c>
      <c r="H234" s="811" t="s">
        <v>1653</v>
      </c>
      <c r="I234" s="811" t="s">
        <v>1654</v>
      </c>
      <c r="J234" s="813">
        <v>1530501871</v>
      </c>
      <c r="K234" s="811" t="s">
        <v>1655</v>
      </c>
      <c r="L234" s="811" t="s">
        <v>1212</v>
      </c>
      <c r="M234" s="811" t="s">
        <v>1635</v>
      </c>
      <c r="N234" s="811" t="s">
        <v>1635</v>
      </c>
      <c r="O234" s="811" t="s">
        <v>1845</v>
      </c>
      <c r="P234" s="811" t="s">
        <v>1657</v>
      </c>
      <c r="Q234" s="811" t="s">
        <v>1710</v>
      </c>
    </row>
    <row r="235" spans="1:17" x14ac:dyDescent="0.25">
      <c r="A235" s="811" t="s">
        <v>1649</v>
      </c>
      <c r="B235" s="811" t="s">
        <v>1955</v>
      </c>
      <c r="C235" s="812">
        <v>44000000</v>
      </c>
      <c r="D235" s="811" t="s">
        <v>1445</v>
      </c>
      <c r="E235" s="811" t="s">
        <v>1445</v>
      </c>
      <c r="F235" s="811" t="s">
        <v>1666</v>
      </c>
      <c r="G235" s="811" t="s">
        <v>1652</v>
      </c>
      <c r="H235" s="811" t="s">
        <v>1653</v>
      </c>
      <c r="I235" s="811" t="s">
        <v>1654</v>
      </c>
      <c r="J235" s="813">
        <v>44000000</v>
      </c>
      <c r="K235" s="811" t="s">
        <v>1655</v>
      </c>
      <c r="L235" s="811" t="s">
        <v>1212</v>
      </c>
      <c r="M235" s="811" t="s">
        <v>1635</v>
      </c>
      <c r="N235" s="811" t="s">
        <v>1635</v>
      </c>
      <c r="O235" s="811" t="s">
        <v>1686</v>
      </c>
      <c r="P235" s="811" t="s">
        <v>1657</v>
      </c>
      <c r="Q235" s="811" t="s">
        <v>1658</v>
      </c>
    </row>
    <row r="236" spans="1:17" x14ac:dyDescent="0.25">
      <c r="A236" s="811" t="s">
        <v>1649</v>
      </c>
      <c r="B236" s="811" t="s">
        <v>1956</v>
      </c>
      <c r="C236" s="812">
        <v>50150000</v>
      </c>
      <c r="D236" s="811" t="s">
        <v>1542</v>
      </c>
      <c r="E236" s="811" t="s">
        <v>1542</v>
      </c>
      <c r="F236" s="811" t="s">
        <v>1651</v>
      </c>
      <c r="G236" s="811" t="s">
        <v>1652</v>
      </c>
      <c r="H236" s="811" t="s">
        <v>1653</v>
      </c>
      <c r="I236" s="811" t="s">
        <v>1654</v>
      </c>
      <c r="J236" s="813">
        <v>50150000</v>
      </c>
      <c r="K236" s="811" t="s">
        <v>1655</v>
      </c>
      <c r="L236" s="811" t="s">
        <v>1212</v>
      </c>
      <c r="M236" s="811" t="s">
        <v>1635</v>
      </c>
      <c r="N236" s="811" t="s">
        <v>1635</v>
      </c>
      <c r="O236" s="811" t="s">
        <v>1686</v>
      </c>
      <c r="P236" s="811" t="s">
        <v>1657</v>
      </c>
      <c r="Q236" s="811" t="s">
        <v>1658</v>
      </c>
    </row>
    <row r="237" spans="1:17" x14ac:dyDescent="0.25">
      <c r="A237" s="811" t="s">
        <v>1649</v>
      </c>
      <c r="B237" s="811" t="s">
        <v>1957</v>
      </c>
      <c r="C237" s="812">
        <v>34100000</v>
      </c>
      <c r="D237" s="811" t="s">
        <v>1445</v>
      </c>
      <c r="E237" s="811" t="s">
        <v>1445</v>
      </c>
      <c r="F237" s="811" t="s">
        <v>1666</v>
      </c>
      <c r="G237" s="811" t="s">
        <v>1652</v>
      </c>
      <c r="H237" s="811" t="s">
        <v>1653</v>
      </c>
      <c r="I237" s="811" t="s">
        <v>1654</v>
      </c>
      <c r="J237" s="813">
        <v>34100000</v>
      </c>
      <c r="K237" s="811" t="s">
        <v>1655</v>
      </c>
      <c r="L237" s="811" t="s">
        <v>1212</v>
      </c>
      <c r="M237" s="811" t="s">
        <v>1635</v>
      </c>
      <c r="N237" s="811" t="s">
        <v>1635</v>
      </c>
      <c r="O237" s="811" t="s">
        <v>1686</v>
      </c>
      <c r="P237" s="811" t="s">
        <v>1657</v>
      </c>
      <c r="Q237" s="811" t="s">
        <v>1658</v>
      </c>
    </row>
    <row r="238" spans="1:17" x14ac:dyDescent="0.25">
      <c r="A238" s="811" t="s">
        <v>1649</v>
      </c>
      <c r="B238" s="811" t="s">
        <v>1958</v>
      </c>
      <c r="C238" s="812">
        <v>33000000</v>
      </c>
      <c r="D238" s="811" t="s">
        <v>1445</v>
      </c>
      <c r="E238" s="811" t="s">
        <v>1445</v>
      </c>
      <c r="F238" s="811" t="s">
        <v>1666</v>
      </c>
      <c r="G238" s="811" t="s">
        <v>1652</v>
      </c>
      <c r="H238" s="811" t="s">
        <v>1653</v>
      </c>
      <c r="I238" s="811" t="s">
        <v>1654</v>
      </c>
      <c r="J238" s="813">
        <v>33000000</v>
      </c>
      <c r="K238" s="811" t="s">
        <v>1655</v>
      </c>
      <c r="L238" s="811" t="s">
        <v>1212</v>
      </c>
      <c r="M238" s="811" t="s">
        <v>1635</v>
      </c>
      <c r="N238" s="811" t="s">
        <v>1635</v>
      </c>
      <c r="O238" s="811" t="s">
        <v>1686</v>
      </c>
      <c r="P238" s="811" t="s">
        <v>1657</v>
      </c>
      <c r="Q238" s="811" t="s">
        <v>1658</v>
      </c>
    </row>
    <row r="239" spans="1:17" x14ac:dyDescent="0.25">
      <c r="A239" s="811" t="s">
        <v>1649</v>
      </c>
      <c r="B239" s="811" t="s">
        <v>1959</v>
      </c>
      <c r="C239" s="812">
        <v>34100000</v>
      </c>
      <c r="D239" s="811" t="s">
        <v>1445</v>
      </c>
      <c r="E239" s="811" t="s">
        <v>1445</v>
      </c>
      <c r="F239" s="811" t="s">
        <v>1666</v>
      </c>
      <c r="G239" s="811" t="s">
        <v>1652</v>
      </c>
      <c r="H239" s="811" t="s">
        <v>1653</v>
      </c>
      <c r="I239" s="811" t="s">
        <v>1654</v>
      </c>
      <c r="J239" s="813">
        <v>34100000</v>
      </c>
      <c r="K239" s="811" t="s">
        <v>1655</v>
      </c>
      <c r="L239" s="811" t="s">
        <v>1212</v>
      </c>
      <c r="M239" s="811" t="s">
        <v>1635</v>
      </c>
      <c r="N239" s="811" t="s">
        <v>1635</v>
      </c>
      <c r="O239" s="811" t="s">
        <v>1686</v>
      </c>
      <c r="P239" s="811" t="s">
        <v>1657</v>
      </c>
      <c r="Q239" s="811" t="s">
        <v>1658</v>
      </c>
    </row>
    <row r="240" spans="1:17" x14ac:dyDescent="0.25">
      <c r="A240" s="811" t="s">
        <v>1649</v>
      </c>
      <c r="B240" s="811" t="s">
        <v>1960</v>
      </c>
      <c r="C240" s="812">
        <v>33000000</v>
      </c>
      <c r="D240" s="811" t="s">
        <v>1542</v>
      </c>
      <c r="E240" s="811" t="s">
        <v>1542</v>
      </c>
      <c r="F240" s="811" t="s">
        <v>1651</v>
      </c>
      <c r="G240" s="811" t="s">
        <v>1652</v>
      </c>
      <c r="H240" s="811" t="s">
        <v>1653</v>
      </c>
      <c r="I240" s="811" t="s">
        <v>1654</v>
      </c>
      <c r="J240" s="813">
        <v>33000000</v>
      </c>
      <c r="K240" s="811" t="s">
        <v>1655</v>
      </c>
      <c r="L240" s="811" t="s">
        <v>1212</v>
      </c>
      <c r="M240" s="811" t="s">
        <v>1635</v>
      </c>
      <c r="N240" s="811" t="s">
        <v>1635</v>
      </c>
      <c r="O240" s="811" t="s">
        <v>1686</v>
      </c>
      <c r="P240" s="811" t="s">
        <v>1657</v>
      </c>
      <c r="Q240" s="811" t="s">
        <v>1658</v>
      </c>
    </row>
    <row r="241" spans="1:17" x14ac:dyDescent="0.25">
      <c r="A241" s="811" t="s">
        <v>1649</v>
      </c>
      <c r="B241" s="811" t="s">
        <v>1961</v>
      </c>
      <c r="C241" s="812">
        <v>42400000</v>
      </c>
      <c r="D241" s="811" t="s">
        <v>1542</v>
      </c>
      <c r="E241" s="811" t="s">
        <v>1542</v>
      </c>
      <c r="F241" s="811" t="s">
        <v>1651</v>
      </c>
      <c r="G241" s="811" t="s">
        <v>1652</v>
      </c>
      <c r="H241" s="811" t="s">
        <v>1653</v>
      </c>
      <c r="I241" s="811" t="s">
        <v>1654</v>
      </c>
      <c r="J241" s="813">
        <v>42400000</v>
      </c>
      <c r="K241" s="811" t="s">
        <v>1655</v>
      </c>
      <c r="L241" s="811" t="s">
        <v>1212</v>
      </c>
      <c r="M241" s="811" t="s">
        <v>1635</v>
      </c>
      <c r="N241" s="811" t="s">
        <v>1635</v>
      </c>
      <c r="O241" s="811" t="s">
        <v>1686</v>
      </c>
      <c r="P241" s="811" t="s">
        <v>1657</v>
      </c>
      <c r="Q241" s="811" t="s">
        <v>1658</v>
      </c>
    </row>
    <row r="242" spans="1:17" x14ac:dyDescent="0.25">
      <c r="A242" s="811" t="s">
        <v>1649</v>
      </c>
      <c r="B242" s="811" t="s">
        <v>1962</v>
      </c>
      <c r="C242" s="812">
        <v>33000000</v>
      </c>
      <c r="D242" s="811" t="s">
        <v>1542</v>
      </c>
      <c r="E242" s="811" t="s">
        <v>1542</v>
      </c>
      <c r="F242" s="811" t="s">
        <v>1689</v>
      </c>
      <c r="G242" s="811" t="s">
        <v>1652</v>
      </c>
      <c r="H242" s="811" t="s">
        <v>1653</v>
      </c>
      <c r="I242" s="811" t="s">
        <v>1654</v>
      </c>
      <c r="J242" s="813">
        <v>33000000</v>
      </c>
      <c r="K242" s="811" t="s">
        <v>1655</v>
      </c>
      <c r="L242" s="811" t="s">
        <v>1212</v>
      </c>
      <c r="M242" s="811" t="s">
        <v>1635</v>
      </c>
      <c r="N242" s="811" t="s">
        <v>1635</v>
      </c>
      <c r="O242" s="811" t="s">
        <v>1686</v>
      </c>
      <c r="P242" s="811" t="s">
        <v>1657</v>
      </c>
      <c r="Q242" s="811" t="s">
        <v>1658</v>
      </c>
    </row>
    <row r="243" spans="1:17" x14ac:dyDescent="0.25">
      <c r="A243" s="811" t="s">
        <v>1963</v>
      </c>
      <c r="B243" s="811" t="s">
        <v>1964</v>
      </c>
      <c r="C243" s="812">
        <v>200000000</v>
      </c>
      <c r="D243" s="811" t="s">
        <v>1453</v>
      </c>
      <c r="E243" s="811" t="s">
        <v>1453</v>
      </c>
      <c r="F243" s="811" t="s">
        <v>1662</v>
      </c>
      <c r="G243" s="811" t="s">
        <v>1652</v>
      </c>
      <c r="H243" s="811" t="s">
        <v>1790</v>
      </c>
      <c r="I243" s="811" t="s">
        <v>1654</v>
      </c>
      <c r="J243" s="813">
        <v>200000000</v>
      </c>
      <c r="K243" s="811" t="s">
        <v>1655</v>
      </c>
      <c r="L243" s="811" t="s">
        <v>1212</v>
      </c>
      <c r="M243" s="811" t="s">
        <v>1635</v>
      </c>
      <c r="N243" s="811" t="s">
        <v>1635</v>
      </c>
      <c r="O243" s="811" t="s">
        <v>1845</v>
      </c>
      <c r="P243" s="811" t="s">
        <v>1657</v>
      </c>
      <c r="Q243" s="811" t="s">
        <v>1710</v>
      </c>
    </row>
    <row r="244" spans="1:17" x14ac:dyDescent="0.25">
      <c r="A244" s="811" t="s">
        <v>1965</v>
      </c>
      <c r="B244" s="811" t="s">
        <v>1966</v>
      </c>
      <c r="C244" s="812">
        <v>20000000</v>
      </c>
      <c r="D244" s="811" t="s">
        <v>1453</v>
      </c>
      <c r="E244" s="811" t="s">
        <v>1453</v>
      </c>
      <c r="F244" s="811" t="s">
        <v>1662</v>
      </c>
      <c r="G244" s="811" t="s">
        <v>1652</v>
      </c>
      <c r="H244" s="811" t="s">
        <v>1577</v>
      </c>
      <c r="I244" s="811" t="s">
        <v>1654</v>
      </c>
      <c r="J244" s="813">
        <v>20000000</v>
      </c>
      <c r="K244" s="811" t="s">
        <v>1655</v>
      </c>
      <c r="L244" s="811" t="s">
        <v>1212</v>
      </c>
      <c r="M244" s="811" t="s">
        <v>1635</v>
      </c>
      <c r="N244" s="811" t="s">
        <v>1635</v>
      </c>
      <c r="O244" s="811" t="s">
        <v>1845</v>
      </c>
      <c r="P244" s="811" t="s">
        <v>1657</v>
      </c>
      <c r="Q244" s="811" t="s">
        <v>1710</v>
      </c>
    </row>
    <row r="245" spans="1:17" x14ac:dyDescent="0.25">
      <c r="A245" s="811" t="s">
        <v>1967</v>
      </c>
      <c r="B245" s="811" t="s">
        <v>1968</v>
      </c>
      <c r="C245" s="812">
        <v>450000000</v>
      </c>
      <c r="D245" s="811" t="s">
        <v>1453</v>
      </c>
      <c r="E245" s="811" t="s">
        <v>1454</v>
      </c>
      <c r="F245" s="811" t="s">
        <v>1718</v>
      </c>
      <c r="G245" s="811" t="s">
        <v>1652</v>
      </c>
      <c r="H245" s="811" t="s">
        <v>1784</v>
      </c>
      <c r="I245" s="811" t="s">
        <v>1654</v>
      </c>
      <c r="J245" s="813">
        <v>450000000</v>
      </c>
      <c r="K245" s="811" t="s">
        <v>1655</v>
      </c>
      <c r="L245" s="811" t="s">
        <v>1212</v>
      </c>
      <c r="M245" s="811" t="s">
        <v>1635</v>
      </c>
      <c r="N245" s="811" t="s">
        <v>1635</v>
      </c>
      <c r="O245" s="811" t="s">
        <v>1845</v>
      </c>
      <c r="P245" s="811" t="s">
        <v>1657</v>
      </c>
      <c r="Q245" s="811" t="s">
        <v>1710</v>
      </c>
    </row>
    <row r="246" spans="1:17" x14ac:dyDescent="0.25">
      <c r="A246" s="811" t="s">
        <v>1967</v>
      </c>
      <c r="B246" s="811" t="s">
        <v>1968</v>
      </c>
      <c r="C246" s="812">
        <v>250710000</v>
      </c>
      <c r="D246" s="811" t="s">
        <v>1453</v>
      </c>
      <c r="E246" s="811" t="s">
        <v>1454</v>
      </c>
      <c r="F246" s="811" t="s">
        <v>1718</v>
      </c>
      <c r="G246" s="811" t="s">
        <v>1652</v>
      </c>
      <c r="H246" s="811" t="s">
        <v>1784</v>
      </c>
      <c r="I246" s="811" t="s">
        <v>1654</v>
      </c>
      <c r="J246" s="813">
        <v>250710000</v>
      </c>
      <c r="K246" s="811" t="s">
        <v>1655</v>
      </c>
      <c r="L246" s="811" t="s">
        <v>1212</v>
      </c>
      <c r="M246" s="811" t="s">
        <v>1635</v>
      </c>
      <c r="N246" s="811" t="s">
        <v>1635</v>
      </c>
      <c r="O246" s="811" t="s">
        <v>1845</v>
      </c>
      <c r="P246" s="811" t="s">
        <v>1657</v>
      </c>
      <c r="Q246" s="811" t="s">
        <v>1710</v>
      </c>
    </row>
    <row r="247" spans="1:17" x14ac:dyDescent="0.25">
      <c r="A247" s="811" t="s">
        <v>1969</v>
      </c>
      <c r="B247" s="811" t="s">
        <v>1970</v>
      </c>
      <c r="C247" s="812">
        <v>30000000</v>
      </c>
      <c r="D247" s="811" t="s">
        <v>1469</v>
      </c>
      <c r="E247" s="811" t="s">
        <v>1469</v>
      </c>
      <c r="F247" s="811" t="s">
        <v>1739</v>
      </c>
      <c r="G247" s="811" t="s">
        <v>1652</v>
      </c>
      <c r="H247" s="811" t="s">
        <v>1577</v>
      </c>
      <c r="I247" s="811" t="s">
        <v>1654</v>
      </c>
      <c r="J247" s="813">
        <v>30000000</v>
      </c>
      <c r="K247" s="811" t="s">
        <v>1655</v>
      </c>
      <c r="L247" s="811" t="s">
        <v>1212</v>
      </c>
      <c r="M247" s="811" t="s">
        <v>1635</v>
      </c>
      <c r="N247" s="811" t="s">
        <v>1635</v>
      </c>
      <c r="O247" s="811" t="s">
        <v>1845</v>
      </c>
      <c r="P247" s="811" t="s">
        <v>1657</v>
      </c>
      <c r="Q247" s="811" t="s">
        <v>1710</v>
      </c>
    </row>
    <row r="248" spans="1:17" x14ac:dyDescent="0.25">
      <c r="A248" s="811" t="s">
        <v>1971</v>
      </c>
      <c r="B248" s="811" t="s">
        <v>1972</v>
      </c>
      <c r="C248" s="812">
        <v>1300000000</v>
      </c>
      <c r="D248" s="811" t="s">
        <v>1542</v>
      </c>
      <c r="E248" s="811" t="s">
        <v>1446</v>
      </c>
      <c r="F248" s="811" t="s">
        <v>1689</v>
      </c>
      <c r="G248" s="811" t="s">
        <v>1652</v>
      </c>
      <c r="H248" s="811" t="s">
        <v>1784</v>
      </c>
      <c r="I248" s="811" t="s">
        <v>1654</v>
      </c>
      <c r="J248" s="813">
        <v>1300000000</v>
      </c>
      <c r="K248" s="811" t="s">
        <v>1655</v>
      </c>
      <c r="L248" s="811" t="s">
        <v>1212</v>
      </c>
      <c r="M248" s="811" t="s">
        <v>1635</v>
      </c>
      <c r="N248" s="811" t="s">
        <v>1635</v>
      </c>
      <c r="O248" s="811" t="s">
        <v>1845</v>
      </c>
      <c r="P248" s="811" t="s">
        <v>1657</v>
      </c>
      <c r="Q248" s="811" t="s">
        <v>1710</v>
      </c>
    </row>
    <row r="249" spans="1:17" x14ac:dyDescent="0.25">
      <c r="A249" s="811" t="s">
        <v>1973</v>
      </c>
      <c r="B249" s="811" t="s">
        <v>1974</v>
      </c>
      <c r="C249" s="812">
        <v>57000000</v>
      </c>
      <c r="D249" s="811" t="s">
        <v>1440</v>
      </c>
      <c r="E249" s="811" t="s">
        <v>1440</v>
      </c>
      <c r="F249" s="811" t="s">
        <v>1716</v>
      </c>
      <c r="G249" s="811" t="s">
        <v>1652</v>
      </c>
      <c r="H249" s="811" t="s">
        <v>1728</v>
      </c>
      <c r="I249" s="811" t="s">
        <v>1654</v>
      </c>
      <c r="J249" s="813">
        <v>57000000</v>
      </c>
      <c r="K249" s="811" t="s">
        <v>1655</v>
      </c>
      <c r="L249" s="811" t="s">
        <v>1212</v>
      </c>
      <c r="M249" s="811" t="s">
        <v>1635</v>
      </c>
      <c r="N249" s="811" t="s">
        <v>1635</v>
      </c>
      <c r="O249" s="811" t="s">
        <v>1686</v>
      </c>
      <c r="P249" s="811" t="s">
        <v>1657</v>
      </c>
      <c r="Q249" s="811" t="s">
        <v>1658</v>
      </c>
    </row>
    <row r="250" spans="1:17" x14ac:dyDescent="0.25">
      <c r="A250" s="811" t="s">
        <v>1649</v>
      </c>
      <c r="B250" s="811" t="s">
        <v>1975</v>
      </c>
      <c r="C250" s="812">
        <v>34000000</v>
      </c>
      <c r="D250" s="811" t="s">
        <v>1449</v>
      </c>
      <c r="E250" s="811" t="s">
        <v>1449</v>
      </c>
      <c r="F250" s="811" t="s">
        <v>1672</v>
      </c>
      <c r="G250" s="811" t="s">
        <v>1652</v>
      </c>
      <c r="H250" s="811" t="s">
        <v>1653</v>
      </c>
      <c r="I250" s="811" t="s">
        <v>1654</v>
      </c>
      <c r="J250" s="813">
        <v>34000000</v>
      </c>
      <c r="K250" s="811" t="s">
        <v>1655</v>
      </c>
      <c r="L250" s="811" t="s">
        <v>1212</v>
      </c>
      <c r="M250" s="811" t="s">
        <v>1635</v>
      </c>
      <c r="N250" s="811" t="s">
        <v>1635</v>
      </c>
      <c r="O250" s="811" t="s">
        <v>1686</v>
      </c>
      <c r="P250" s="811" t="s">
        <v>1657</v>
      </c>
      <c r="Q250" s="811" t="s">
        <v>1658</v>
      </c>
    </row>
    <row r="251" spans="1:17" x14ac:dyDescent="0.25">
      <c r="A251" s="811" t="s">
        <v>1649</v>
      </c>
      <c r="B251" s="811" t="s">
        <v>1976</v>
      </c>
      <c r="C251" s="812">
        <v>44000000</v>
      </c>
      <c r="D251" s="811" t="s">
        <v>1449</v>
      </c>
      <c r="E251" s="811" t="s">
        <v>1449</v>
      </c>
      <c r="F251" s="811" t="s">
        <v>1651</v>
      </c>
      <c r="G251" s="811" t="s">
        <v>1652</v>
      </c>
      <c r="H251" s="811" t="s">
        <v>1653</v>
      </c>
      <c r="I251" s="811" t="s">
        <v>1654</v>
      </c>
      <c r="J251" s="813">
        <v>44000000</v>
      </c>
      <c r="K251" s="811" t="s">
        <v>1655</v>
      </c>
      <c r="L251" s="811" t="s">
        <v>1212</v>
      </c>
      <c r="M251" s="811" t="s">
        <v>1635</v>
      </c>
      <c r="N251" s="811" t="s">
        <v>1635</v>
      </c>
      <c r="O251" s="811" t="s">
        <v>1686</v>
      </c>
      <c r="P251" s="811" t="s">
        <v>1657</v>
      </c>
      <c r="Q251" s="811" t="s">
        <v>1658</v>
      </c>
    </row>
    <row r="252" spans="1:17" x14ac:dyDescent="0.25">
      <c r="A252" s="811" t="s">
        <v>1649</v>
      </c>
      <c r="B252" s="811" t="s">
        <v>1836</v>
      </c>
      <c r="C252" s="812">
        <v>48348000</v>
      </c>
      <c r="D252" s="811" t="s">
        <v>1449</v>
      </c>
      <c r="E252" s="811" t="s">
        <v>1449</v>
      </c>
      <c r="F252" s="811" t="s">
        <v>1672</v>
      </c>
      <c r="G252" s="811" t="s">
        <v>1652</v>
      </c>
      <c r="H252" s="811" t="s">
        <v>1653</v>
      </c>
      <c r="I252" s="811" t="s">
        <v>1654</v>
      </c>
      <c r="J252" s="813">
        <v>48348000</v>
      </c>
      <c r="K252" s="811" t="s">
        <v>1655</v>
      </c>
      <c r="L252" s="811" t="s">
        <v>1212</v>
      </c>
      <c r="M252" s="811" t="s">
        <v>1635</v>
      </c>
      <c r="N252" s="811" t="s">
        <v>1635</v>
      </c>
      <c r="O252" s="811" t="s">
        <v>1686</v>
      </c>
      <c r="P252" s="811" t="s">
        <v>1657</v>
      </c>
      <c r="Q252" s="811" t="s">
        <v>1658</v>
      </c>
    </row>
    <row r="253" spans="1:17" x14ac:dyDescent="0.25">
      <c r="A253" s="811" t="s">
        <v>1649</v>
      </c>
      <c r="B253" s="811" t="s">
        <v>1977</v>
      </c>
      <c r="C253" s="812">
        <v>112560000</v>
      </c>
      <c r="D253" s="811" t="s">
        <v>1449</v>
      </c>
      <c r="E253" s="811" t="s">
        <v>1449</v>
      </c>
      <c r="F253" s="811" t="s">
        <v>1672</v>
      </c>
      <c r="G253" s="811" t="s">
        <v>1652</v>
      </c>
      <c r="H253" s="811" t="s">
        <v>1653</v>
      </c>
      <c r="I253" s="811" t="s">
        <v>1654</v>
      </c>
      <c r="J253" s="813">
        <v>112560000</v>
      </c>
      <c r="K253" s="811" t="s">
        <v>1655</v>
      </c>
      <c r="L253" s="811" t="s">
        <v>1212</v>
      </c>
      <c r="M253" s="811" t="s">
        <v>1635</v>
      </c>
      <c r="N253" s="811" t="s">
        <v>1635</v>
      </c>
      <c r="O253" s="811" t="s">
        <v>1686</v>
      </c>
      <c r="P253" s="811" t="s">
        <v>1657</v>
      </c>
      <c r="Q253" s="811" t="s">
        <v>1658</v>
      </c>
    </row>
    <row r="254" spans="1:17" x14ac:dyDescent="0.25">
      <c r="A254" s="811" t="s">
        <v>1649</v>
      </c>
      <c r="B254" s="811" t="s">
        <v>1978</v>
      </c>
      <c r="C254" s="812">
        <v>44319000</v>
      </c>
      <c r="D254" s="811" t="s">
        <v>1440</v>
      </c>
      <c r="E254" s="811" t="s">
        <v>1440</v>
      </c>
      <c r="F254" s="811" t="s">
        <v>1689</v>
      </c>
      <c r="G254" s="811" t="s">
        <v>1652</v>
      </c>
      <c r="H254" s="811" t="s">
        <v>1653</v>
      </c>
      <c r="I254" s="811" t="s">
        <v>1654</v>
      </c>
      <c r="J254" s="813">
        <v>44319000</v>
      </c>
      <c r="K254" s="811" t="s">
        <v>1655</v>
      </c>
      <c r="L254" s="811" t="s">
        <v>1212</v>
      </c>
      <c r="M254" s="811" t="s">
        <v>1635</v>
      </c>
      <c r="N254" s="811" t="s">
        <v>1635</v>
      </c>
      <c r="O254" s="811" t="s">
        <v>1686</v>
      </c>
      <c r="P254" s="811" t="s">
        <v>1657</v>
      </c>
      <c r="Q254" s="811" t="s">
        <v>1658</v>
      </c>
    </row>
    <row r="255" spans="1:17" x14ac:dyDescent="0.25">
      <c r="A255" s="811" t="s">
        <v>1649</v>
      </c>
      <c r="B255" s="811" t="s">
        <v>1978</v>
      </c>
      <c r="C255" s="812">
        <v>64900000</v>
      </c>
      <c r="D255" s="811" t="s">
        <v>1449</v>
      </c>
      <c r="E255" s="811" t="s">
        <v>1449</v>
      </c>
      <c r="F255" s="811" t="s">
        <v>1689</v>
      </c>
      <c r="G255" s="811" t="s">
        <v>1652</v>
      </c>
      <c r="H255" s="811" t="s">
        <v>1653</v>
      </c>
      <c r="I255" s="811" t="s">
        <v>1654</v>
      </c>
      <c r="J255" s="813">
        <v>64900000</v>
      </c>
      <c r="K255" s="811" t="s">
        <v>1655</v>
      </c>
      <c r="L255" s="811" t="s">
        <v>1212</v>
      </c>
      <c r="M255" s="811" t="s">
        <v>1635</v>
      </c>
      <c r="N255" s="811" t="s">
        <v>1635</v>
      </c>
      <c r="O255" s="811" t="s">
        <v>1686</v>
      </c>
      <c r="P255" s="811" t="s">
        <v>1657</v>
      </c>
      <c r="Q255" s="811" t="s">
        <v>1658</v>
      </c>
    </row>
    <row r="256" spans="1:17" x14ac:dyDescent="0.25">
      <c r="A256" s="811" t="s">
        <v>1649</v>
      </c>
      <c r="B256" s="811" t="s">
        <v>1979</v>
      </c>
      <c r="C256" s="812">
        <v>26572000</v>
      </c>
      <c r="D256" s="811" t="s">
        <v>1453</v>
      </c>
      <c r="E256" s="811" t="s">
        <v>1453</v>
      </c>
      <c r="F256" s="811" t="s">
        <v>1698</v>
      </c>
      <c r="G256" s="811" t="s">
        <v>1652</v>
      </c>
      <c r="H256" s="811" t="s">
        <v>1653</v>
      </c>
      <c r="I256" s="811" t="s">
        <v>1654</v>
      </c>
      <c r="J256" s="813">
        <v>26572000</v>
      </c>
      <c r="K256" s="811" t="s">
        <v>1655</v>
      </c>
      <c r="L256" s="811" t="s">
        <v>1212</v>
      </c>
      <c r="M256" s="811" t="s">
        <v>1635</v>
      </c>
      <c r="N256" s="811" t="s">
        <v>1635</v>
      </c>
      <c r="O256" s="811" t="s">
        <v>1667</v>
      </c>
      <c r="P256" s="811" t="s">
        <v>1657</v>
      </c>
      <c r="Q256" s="811" t="s">
        <v>1980</v>
      </c>
    </row>
    <row r="257" spans="1:17" x14ac:dyDescent="0.25">
      <c r="A257" s="811" t="s">
        <v>1649</v>
      </c>
      <c r="B257" s="811" t="s">
        <v>1981</v>
      </c>
      <c r="C257" s="812">
        <v>24528000</v>
      </c>
      <c r="D257" s="811" t="s">
        <v>1453</v>
      </c>
      <c r="E257" s="811" t="s">
        <v>1453</v>
      </c>
      <c r="F257" s="811" t="s">
        <v>1698</v>
      </c>
      <c r="G257" s="811" t="s">
        <v>1652</v>
      </c>
      <c r="H257" s="811" t="s">
        <v>1653</v>
      </c>
      <c r="I257" s="811" t="s">
        <v>1654</v>
      </c>
      <c r="J257" s="813">
        <v>24528000</v>
      </c>
      <c r="K257" s="811" t="s">
        <v>1655</v>
      </c>
      <c r="L257" s="811" t="s">
        <v>1212</v>
      </c>
      <c r="M257" s="811" t="s">
        <v>1635</v>
      </c>
      <c r="N257" s="811" t="s">
        <v>1635</v>
      </c>
      <c r="O257" s="811" t="s">
        <v>1667</v>
      </c>
      <c r="P257" s="811" t="s">
        <v>1657</v>
      </c>
      <c r="Q257" s="811" t="s">
        <v>1668</v>
      </c>
    </row>
    <row r="258" spans="1:17" x14ac:dyDescent="0.25">
      <c r="A258" s="811" t="s">
        <v>1649</v>
      </c>
      <c r="B258" s="811" t="s">
        <v>1982</v>
      </c>
      <c r="C258" s="812">
        <v>46410000</v>
      </c>
      <c r="D258" s="811" t="s">
        <v>1453</v>
      </c>
      <c r="E258" s="811" t="s">
        <v>1453</v>
      </c>
      <c r="F258" s="811" t="s">
        <v>1698</v>
      </c>
      <c r="G258" s="811" t="s">
        <v>1652</v>
      </c>
      <c r="H258" s="811" t="s">
        <v>1653</v>
      </c>
      <c r="I258" s="811" t="s">
        <v>1654</v>
      </c>
      <c r="J258" s="813">
        <v>46410000</v>
      </c>
      <c r="K258" s="811" t="s">
        <v>1655</v>
      </c>
      <c r="L258" s="811" t="s">
        <v>1212</v>
      </c>
      <c r="M258" s="811" t="s">
        <v>1635</v>
      </c>
      <c r="N258" s="811" t="s">
        <v>1635</v>
      </c>
      <c r="O258" s="811" t="s">
        <v>1667</v>
      </c>
      <c r="P258" s="811" t="s">
        <v>1657</v>
      </c>
      <c r="Q258" s="811" t="s">
        <v>1668</v>
      </c>
    </row>
    <row r="259" spans="1:17" x14ac:dyDescent="0.25">
      <c r="A259" s="811" t="s">
        <v>1649</v>
      </c>
      <c r="B259" s="811" t="s">
        <v>1983</v>
      </c>
      <c r="C259" s="812">
        <v>12000000</v>
      </c>
      <c r="D259" s="811" t="s">
        <v>1454</v>
      </c>
      <c r="E259" s="811" t="s">
        <v>1454</v>
      </c>
      <c r="F259" s="811" t="s">
        <v>1662</v>
      </c>
      <c r="G259" s="811" t="s">
        <v>1652</v>
      </c>
      <c r="H259" s="811" t="s">
        <v>1653</v>
      </c>
      <c r="I259" s="811" t="s">
        <v>1654</v>
      </c>
      <c r="J259" s="813">
        <v>12000000</v>
      </c>
      <c r="K259" s="811" t="s">
        <v>1655</v>
      </c>
      <c r="L259" s="811" t="s">
        <v>1212</v>
      </c>
      <c r="M259" s="811" t="s">
        <v>1635</v>
      </c>
      <c r="N259" s="811" t="s">
        <v>1635</v>
      </c>
      <c r="O259" s="811" t="s">
        <v>1709</v>
      </c>
      <c r="P259" s="811" t="s">
        <v>1657</v>
      </c>
      <c r="Q259" s="811" t="s">
        <v>1710</v>
      </c>
    </row>
    <row r="260" spans="1:17" x14ac:dyDescent="0.25">
      <c r="A260" s="811" t="s">
        <v>1649</v>
      </c>
      <c r="B260" s="811" t="s">
        <v>1984</v>
      </c>
      <c r="C260" s="812">
        <v>12000000</v>
      </c>
      <c r="D260" s="811" t="s">
        <v>1454</v>
      </c>
      <c r="E260" s="811" t="s">
        <v>1454</v>
      </c>
      <c r="F260" s="811" t="s">
        <v>1662</v>
      </c>
      <c r="G260" s="811" t="s">
        <v>1652</v>
      </c>
      <c r="H260" s="811" t="s">
        <v>1653</v>
      </c>
      <c r="I260" s="811" t="s">
        <v>1654</v>
      </c>
      <c r="J260" s="813">
        <v>12000000</v>
      </c>
      <c r="K260" s="811" t="s">
        <v>1655</v>
      </c>
      <c r="L260" s="811" t="s">
        <v>1212</v>
      </c>
      <c r="M260" s="811" t="s">
        <v>1635</v>
      </c>
      <c r="N260" s="811" t="s">
        <v>1635</v>
      </c>
      <c r="O260" s="811" t="s">
        <v>1709</v>
      </c>
      <c r="P260" s="811" t="s">
        <v>1657</v>
      </c>
      <c r="Q260" s="811" t="s">
        <v>1710</v>
      </c>
    </row>
    <row r="261" spans="1:17" x14ac:dyDescent="0.25">
      <c r="A261" s="811" t="s">
        <v>1649</v>
      </c>
      <c r="B261" s="811" t="s">
        <v>1985</v>
      </c>
      <c r="C261" s="812">
        <v>24000000</v>
      </c>
      <c r="D261" s="811" t="s">
        <v>1445</v>
      </c>
      <c r="E261" s="811" t="s">
        <v>1445</v>
      </c>
      <c r="F261" s="811" t="s">
        <v>1662</v>
      </c>
      <c r="G261" s="811" t="s">
        <v>1652</v>
      </c>
      <c r="H261" s="811" t="s">
        <v>1653</v>
      </c>
      <c r="I261" s="811" t="s">
        <v>1654</v>
      </c>
      <c r="J261" s="813">
        <v>24000000</v>
      </c>
      <c r="K261" s="811" t="s">
        <v>1655</v>
      </c>
      <c r="L261" s="811" t="s">
        <v>1212</v>
      </c>
      <c r="M261" s="811" t="s">
        <v>1635</v>
      </c>
      <c r="N261" s="811" t="s">
        <v>1635</v>
      </c>
      <c r="O261" s="811" t="s">
        <v>1729</v>
      </c>
      <c r="P261" s="811" t="s">
        <v>1657</v>
      </c>
      <c r="Q261" s="811" t="s">
        <v>1664</v>
      </c>
    </row>
    <row r="262" spans="1:17" x14ac:dyDescent="0.25">
      <c r="A262" s="811" t="s">
        <v>1986</v>
      </c>
      <c r="B262" s="811" t="s">
        <v>1987</v>
      </c>
      <c r="C262" s="812">
        <v>2300000000</v>
      </c>
      <c r="D262" s="811" t="s">
        <v>1469</v>
      </c>
      <c r="E262" s="811" t="s">
        <v>1469</v>
      </c>
      <c r="F262" s="811" t="s">
        <v>1662</v>
      </c>
      <c r="G262" s="811" t="s">
        <v>1652</v>
      </c>
      <c r="H262" s="811" t="s">
        <v>1653</v>
      </c>
      <c r="I262" s="811" t="s">
        <v>1654</v>
      </c>
      <c r="J262" s="813">
        <v>2300000000</v>
      </c>
      <c r="K262" s="811" t="s">
        <v>1655</v>
      </c>
      <c r="L262" s="811" t="s">
        <v>1212</v>
      </c>
      <c r="M262" s="811" t="s">
        <v>1635</v>
      </c>
      <c r="N262" s="811" t="s">
        <v>1635</v>
      </c>
      <c r="O262" s="811" t="s">
        <v>1729</v>
      </c>
      <c r="P262" s="811" t="s">
        <v>1657</v>
      </c>
      <c r="Q262" s="811" t="s">
        <v>1664</v>
      </c>
    </row>
    <row r="263" spans="1:17" x14ac:dyDescent="0.25">
      <c r="A263" s="811" t="s">
        <v>1735</v>
      </c>
      <c r="B263" s="811" t="s">
        <v>1988</v>
      </c>
      <c r="C263" s="812">
        <v>6300000000</v>
      </c>
      <c r="D263" s="811" t="s">
        <v>1469</v>
      </c>
      <c r="E263" s="811" t="s">
        <v>1469</v>
      </c>
      <c r="F263" s="811" t="s">
        <v>1662</v>
      </c>
      <c r="G263" s="811" t="s">
        <v>1652</v>
      </c>
      <c r="H263" s="811" t="s">
        <v>1653</v>
      </c>
      <c r="I263" s="811" t="s">
        <v>1654</v>
      </c>
      <c r="J263" s="813">
        <v>6300000000</v>
      </c>
      <c r="K263" s="811" t="s">
        <v>1655</v>
      </c>
      <c r="L263" s="811" t="s">
        <v>1212</v>
      </c>
      <c r="M263" s="811" t="s">
        <v>1635</v>
      </c>
      <c r="N263" s="811" t="s">
        <v>1635</v>
      </c>
      <c r="O263" s="811" t="s">
        <v>1729</v>
      </c>
      <c r="P263" s="811" t="s">
        <v>1657</v>
      </c>
      <c r="Q263" s="811" t="s">
        <v>1664</v>
      </c>
    </row>
    <row r="264" spans="1:17" x14ac:dyDescent="0.25">
      <c r="A264" s="811" t="s">
        <v>1649</v>
      </c>
      <c r="B264" s="811" t="s">
        <v>1989</v>
      </c>
      <c r="C264" s="812">
        <v>34850000</v>
      </c>
      <c r="D264" s="811" t="s">
        <v>1542</v>
      </c>
      <c r="E264" s="811" t="s">
        <v>1542</v>
      </c>
      <c r="F264" s="811" t="s">
        <v>1666</v>
      </c>
      <c r="G264" s="811" t="s">
        <v>1652</v>
      </c>
      <c r="H264" s="811" t="s">
        <v>1653</v>
      </c>
      <c r="I264" s="811" t="s">
        <v>1654</v>
      </c>
      <c r="J264" s="813">
        <v>34850000</v>
      </c>
      <c r="K264" s="811" t="s">
        <v>1655</v>
      </c>
      <c r="L264" s="811" t="s">
        <v>1212</v>
      </c>
      <c r="M264" s="811" t="s">
        <v>1635</v>
      </c>
      <c r="N264" s="811" t="s">
        <v>1635</v>
      </c>
      <c r="O264" s="811" t="s">
        <v>1667</v>
      </c>
      <c r="P264" s="811" t="s">
        <v>1657</v>
      </c>
      <c r="Q264" s="811" t="s">
        <v>1668</v>
      </c>
    </row>
    <row r="265" spans="1:17" x14ac:dyDescent="0.25">
      <c r="A265" s="811" t="s">
        <v>1649</v>
      </c>
      <c r="B265" s="811" t="s">
        <v>1990</v>
      </c>
      <c r="C265" s="812">
        <v>24530202</v>
      </c>
      <c r="D265" s="811" t="s">
        <v>1542</v>
      </c>
      <c r="E265" s="811" t="s">
        <v>1542</v>
      </c>
      <c r="F265" s="811" t="s">
        <v>1666</v>
      </c>
      <c r="G265" s="811" t="s">
        <v>1652</v>
      </c>
      <c r="H265" s="811" t="s">
        <v>1653</v>
      </c>
      <c r="I265" s="811" t="s">
        <v>1654</v>
      </c>
      <c r="J265" s="813">
        <v>24530202</v>
      </c>
      <c r="K265" s="811" t="s">
        <v>1655</v>
      </c>
      <c r="L265" s="811" t="s">
        <v>1212</v>
      </c>
      <c r="M265" s="811" t="s">
        <v>1635</v>
      </c>
      <c r="N265" s="811" t="s">
        <v>1635</v>
      </c>
      <c r="O265" s="811" t="s">
        <v>1845</v>
      </c>
      <c r="P265" s="811" t="s">
        <v>1657</v>
      </c>
      <c r="Q265" s="811" t="s">
        <v>1710</v>
      </c>
    </row>
    <row r="266" spans="1:17" x14ac:dyDescent="0.25">
      <c r="A266" s="811" t="s">
        <v>1649</v>
      </c>
      <c r="B266" s="811" t="s">
        <v>1991</v>
      </c>
      <c r="C266" s="812">
        <v>24530202</v>
      </c>
      <c r="D266" s="811" t="s">
        <v>1542</v>
      </c>
      <c r="E266" s="811" t="s">
        <v>1542</v>
      </c>
      <c r="F266" s="811" t="s">
        <v>1666</v>
      </c>
      <c r="G266" s="811" t="s">
        <v>1652</v>
      </c>
      <c r="H266" s="811" t="s">
        <v>1653</v>
      </c>
      <c r="I266" s="811" t="s">
        <v>1654</v>
      </c>
      <c r="J266" s="813">
        <v>24530202</v>
      </c>
      <c r="K266" s="811" t="s">
        <v>1655</v>
      </c>
      <c r="L266" s="811" t="s">
        <v>1212</v>
      </c>
      <c r="M266" s="811" t="s">
        <v>1635</v>
      </c>
      <c r="N266" s="811" t="s">
        <v>1635</v>
      </c>
      <c r="O266" s="811" t="s">
        <v>1845</v>
      </c>
      <c r="P266" s="811" t="s">
        <v>1657</v>
      </c>
      <c r="Q266" s="811" t="s">
        <v>1710</v>
      </c>
    </row>
    <row r="267" spans="1:17" x14ac:dyDescent="0.25">
      <c r="A267" s="811" t="s">
        <v>1649</v>
      </c>
      <c r="B267" s="811" t="s">
        <v>1992</v>
      </c>
      <c r="C267" s="812">
        <v>73590606</v>
      </c>
      <c r="D267" s="811" t="s">
        <v>1542</v>
      </c>
      <c r="E267" s="811" t="s">
        <v>1542</v>
      </c>
      <c r="F267" s="811" t="s">
        <v>1666</v>
      </c>
      <c r="G267" s="811" t="s">
        <v>1652</v>
      </c>
      <c r="H267" s="811" t="s">
        <v>1653</v>
      </c>
      <c r="I267" s="811" t="s">
        <v>1654</v>
      </c>
      <c r="J267" s="813">
        <v>73590606</v>
      </c>
      <c r="K267" s="811" t="s">
        <v>1655</v>
      </c>
      <c r="L267" s="811" t="s">
        <v>1212</v>
      </c>
      <c r="M267" s="811" t="s">
        <v>1635</v>
      </c>
      <c r="N267" s="811" t="s">
        <v>1635</v>
      </c>
      <c r="O267" s="811" t="s">
        <v>1845</v>
      </c>
      <c r="P267" s="811" t="s">
        <v>1657</v>
      </c>
      <c r="Q267" s="811" t="s">
        <v>1710</v>
      </c>
    </row>
    <row r="268" spans="1:17" x14ac:dyDescent="0.25">
      <c r="A268" s="811" t="s">
        <v>1649</v>
      </c>
      <c r="B268" s="811" t="s">
        <v>1993</v>
      </c>
      <c r="C268" s="812">
        <v>57000000</v>
      </c>
      <c r="D268" s="811" t="s">
        <v>1542</v>
      </c>
      <c r="E268" s="811" t="s">
        <v>1542</v>
      </c>
      <c r="F268" s="811" t="s">
        <v>1666</v>
      </c>
      <c r="G268" s="811" t="s">
        <v>1652</v>
      </c>
      <c r="H268" s="811" t="s">
        <v>1653</v>
      </c>
      <c r="I268" s="811" t="s">
        <v>1654</v>
      </c>
      <c r="J268" s="813">
        <v>57000000</v>
      </c>
      <c r="K268" s="811" t="s">
        <v>1655</v>
      </c>
      <c r="L268" s="811" t="s">
        <v>1212</v>
      </c>
      <c r="M268" s="811" t="s">
        <v>1635</v>
      </c>
      <c r="N268" s="811" t="s">
        <v>1635</v>
      </c>
      <c r="O268" s="811" t="s">
        <v>1845</v>
      </c>
      <c r="P268" s="811" t="s">
        <v>1657</v>
      </c>
      <c r="Q268" s="811" t="s">
        <v>1710</v>
      </c>
    </row>
    <row r="269" spans="1:17" x14ac:dyDescent="0.25">
      <c r="A269" s="811" t="s">
        <v>1649</v>
      </c>
      <c r="B269" s="811" t="s">
        <v>1994</v>
      </c>
      <c r="C269" s="812">
        <v>36795303</v>
      </c>
      <c r="D269" s="811" t="s">
        <v>1542</v>
      </c>
      <c r="E269" s="811" t="s">
        <v>1542</v>
      </c>
      <c r="F269" s="811" t="s">
        <v>1666</v>
      </c>
      <c r="G269" s="811" t="s">
        <v>1652</v>
      </c>
      <c r="H269" s="811" t="s">
        <v>1653</v>
      </c>
      <c r="I269" s="811" t="s">
        <v>1654</v>
      </c>
      <c r="J269" s="813">
        <v>36795303</v>
      </c>
      <c r="K269" s="811" t="s">
        <v>1655</v>
      </c>
      <c r="L269" s="811" t="s">
        <v>1212</v>
      </c>
      <c r="M269" s="811" t="s">
        <v>1635</v>
      </c>
      <c r="N269" s="811" t="s">
        <v>1635</v>
      </c>
      <c r="O269" s="811" t="s">
        <v>1845</v>
      </c>
      <c r="P269" s="811" t="s">
        <v>1657</v>
      </c>
      <c r="Q269" s="811" t="s">
        <v>1710</v>
      </c>
    </row>
    <row r="270" spans="1:17" x14ac:dyDescent="0.25">
      <c r="A270" s="811" t="s">
        <v>1649</v>
      </c>
      <c r="B270" s="811" t="s">
        <v>1995</v>
      </c>
      <c r="C270" s="812">
        <v>27800895</v>
      </c>
      <c r="D270" s="811" t="s">
        <v>1542</v>
      </c>
      <c r="E270" s="811" t="s">
        <v>1542</v>
      </c>
      <c r="F270" s="811" t="s">
        <v>1666</v>
      </c>
      <c r="G270" s="811" t="s">
        <v>1652</v>
      </c>
      <c r="H270" s="811" t="s">
        <v>1653</v>
      </c>
      <c r="I270" s="811" t="s">
        <v>1654</v>
      </c>
      <c r="J270" s="813">
        <v>27800895</v>
      </c>
      <c r="K270" s="811" t="s">
        <v>1655</v>
      </c>
      <c r="L270" s="811" t="s">
        <v>1212</v>
      </c>
      <c r="M270" s="811" t="s">
        <v>1635</v>
      </c>
      <c r="N270" s="811" t="s">
        <v>1635</v>
      </c>
      <c r="O270" s="811" t="s">
        <v>1845</v>
      </c>
      <c r="P270" s="811" t="s">
        <v>1657</v>
      </c>
      <c r="Q270" s="811" t="s">
        <v>1710</v>
      </c>
    </row>
    <row r="271" spans="1:17" x14ac:dyDescent="0.25">
      <c r="A271" s="811" t="s">
        <v>1649</v>
      </c>
      <c r="B271" s="811" t="s">
        <v>1996</v>
      </c>
      <c r="C271" s="812">
        <v>16000000</v>
      </c>
      <c r="D271" s="811" t="s">
        <v>1542</v>
      </c>
      <c r="E271" s="811" t="s">
        <v>1542</v>
      </c>
      <c r="F271" s="811" t="s">
        <v>1716</v>
      </c>
      <c r="G271" s="811" t="s">
        <v>1652</v>
      </c>
      <c r="H271" s="811" t="s">
        <v>1653</v>
      </c>
      <c r="I271" s="811" t="s">
        <v>1654</v>
      </c>
      <c r="J271" s="813">
        <v>16000000</v>
      </c>
      <c r="K271" s="811" t="s">
        <v>1655</v>
      </c>
      <c r="L271" s="811" t="s">
        <v>1212</v>
      </c>
      <c r="M271" s="811" t="s">
        <v>1635</v>
      </c>
      <c r="N271" s="811" t="s">
        <v>1635</v>
      </c>
      <c r="O271" s="811" t="s">
        <v>1793</v>
      </c>
      <c r="P271" s="811" t="s">
        <v>1657</v>
      </c>
      <c r="Q271" s="811" t="s">
        <v>1710</v>
      </c>
    </row>
    <row r="272" spans="1:17" x14ac:dyDescent="0.25">
      <c r="A272" s="811" t="s">
        <v>1997</v>
      </c>
      <c r="B272" s="811" t="s">
        <v>1998</v>
      </c>
      <c r="C272" s="812">
        <v>59000000</v>
      </c>
      <c r="D272" s="811" t="s">
        <v>1454</v>
      </c>
      <c r="E272" s="811" t="s">
        <v>1454</v>
      </c>
      <c r="F272" s="811" t="s">
        <v>1999</v>
      </c>
      <c r="G272" s="811" t="s">
        <v>1652</v>
      </c>
      <c r="H272" s="811" t="s">
        <v>1577</v>
      </c>
      <c r="I272" s="811" t="s">
        <v>1654</v>
      </c>
      <c r="J272" s="813">
        <v>59000000</v>
      </c>
      <c r="K272" s="811" t="s">
        <v>1655</v>
      </c>
      <c r="L272" s="811" t="s">
        <v>1212</v>
      </c>
      <c r="M272" s="811" t="s">
        <v>1635</v>
      </c>
      <c r="N272" s="811" t="s">
        <v>1635</v>
      </c>
      <c r="O272" s="811" t="s">
        <v>1656</v>
      </c>
      <c r="P272" s="811" t="s">
        <v>1657</v>
      </c>
      <c r="Q272" s="811" t="s">
        <v>1658</v>
      </c>
    </row>
    <row r="273" spans="1:17" x14ac:dyDescent="0.25">
      <c r="A273" s="811" t="s">
        <v>1649</v>
      </c>
      <c r="B273" s="811" t="s">
        <v>2000</v>
      </c>
      <c r="C273" s="812">
        <v>33000000</v>
      </c>
      <c r="D273" s="811" t="s">
        <v>1542</v>
      </c>
      <c r="E273" s="811" t="s">
        <v>1542</v>
      </c>
      <c r="F273" s="811" t="s">
        <v>1651</v>
      </c>
      <c r="G273" s="811" t="s">
        <v>1652</v>
      </c>
      <c r="H273" s="811" t="s">
        <v>1653</v>
      </c>
      <c r="I273" s="811" t="s">
        <v>1654</v>
      </c>
      <c r="J273" s="813">
        <v>33000000</v>
      </c>
      <c r="K273" s="811" t="s">
        <v>1655</v>
      </c>
      <c r="L273" s="811" t="s">
        <v>1212</v>
      </c>
      <c r="M273" s="811" t="s">
        <v>1635</v>
      </c>
      <c r="N273" s="811" t="s">
        <v>1635</v>
      </c>
      <c r="O273" s="811" t="s">
        <v>1686</v>
      </c>
      <c r="P273" s="811" t="s">
        <v>1657</v>
      </c>
      <c r="Q273" s="811" t="s">
        <v>1658</v>
      </c>
    </row>
    <row r="274" spans="1:17" x14ac:dyDescent="0.25">
      <c r="A274" s="811" t="s">
        <v>1649</v>
      </c>
      <c r="B274" s="811" t="s">
        <v>2001</v>
      </c>
      <c r="C274" s="812">
        <v>34100000</v>
      </c>
      <c r="D274" s="811" t="s">
        <v>1542</v>
      </c>
      <c r="E274" s="811" t="s">
        <v>1542</v>
      </c>
      <c r="F274" s="811" t="s">
        <v>1651</v>
      </c>
      <c r="G274" s="811" t="s">
        <v>1652</v>
      </c>
      <c r="H274" s="811" t="s">
        <v>1653</v>
      </c>
      <c r="I274" s="811" t="s">
        <v>1654</v>
      </c>
      <c r="J274" s="813">
        <v>34100000</v>
      </c>
      <c r="K274" s="811" t="s">
        <v>1655</v>
      </c>
      <c r="L274" s="811" t="s">
        <v>1212</v>
      </c>
      <c r="M274" s="811" t="s">
        <v>1635</v>
      </c>
      <c r="N274" s="811" t="s">
        <v>1635</v>
      </c>
      <c r="O274" s="811" t="s">
        <v>1686</v>
      </c>
      <c r="P274" s="811" t="s">
        <v>1657</v>
      </c>
      <c r="Q274" s="811" t="s">
        <v>1658</v>
      </c>
    </row>
    <row r="275" spans="1:17" x14ac:dyDescent="0.25">
      <c r="A275" s="811" t="s">
        <v>1649</v>
      </c>
      <c r="B275" s="811" t="s">
        <v>2002</v>
      </c>
      <c r="C275" s="812">
        <v>29600000</v>
      </c>
      <c r="D275" s="811" t="s">
        <v>1542</v>
      </c>
      <c r="E275" s="811" t="s">
        <v>1542</v>
      </c>
      <c r="F275" s="811" t="s">
        <v>1651</v>
      </c>
      <c r="G275" s="811" t="s">
        <v>1652</v>
      </c>
      <c r="H275" s="811" t="s">
        <v>1653</v>
      </c>
      <c r="I275" s="811" t="s">
        <v>1654</v>
      </c>
      <c r="J275" s="813">
        <v>29600000</v>
      </c>
      <c r="K275" s="811" t="s">
        <v>1655</v>
      </c>
      <c r="L275" s="811" t="s">
        <v>1212</v>
      </c>
      <c r="M275" s="811" t="s">
        <v>1635</v>
      </c>
      <c r="N275" s="811" t="s">
        <v>1635</v>
      </c>
      <c r="O275" s="811" t="s">
        <v>1656</v>
      </c>
      <c r="P275" s="811" t="s">
        <v>1657</v>
      </c>
      <c r="Q275" s="811" t="s">
        <v>1658</v>
      </c>
    </row>
    <row r="276" spans="1:17" x14ac:dyDescent="0.25">
      <c r="A276" s="811" t="s">
        <v>1649</v>
      </c>
      <c r="B276" s="811" t="s">
        <v>2003</v>
      </c>
      <c r="C276" s="812">
        <v>28800000</v>
      </c>
      <c r="D276" s="811" t="s">
        <v>1542</v>
      </c>
      <c r="E276" s="811" t="s">
        <v>1542</v>
      </c>
      <c r="F276" s="811" t="s">
        <v>1651</v>
      </c>
      <c r="G276" s="811" t="s">
        <v>1652</v>
      </c>
      <c r="H276" s="811" t="s">
        <v>1653</v>
      </c>
      <c r="I276" s="811" t="s">
        <v>1654</v>
      </c>
      <c r="J276" s="813">
        <v>28800000</v>
      </c>
      <c r="K276" s="811" t="s">
        <v>1655</v>
      </c>
      <c r="L276" s="811" t="s">
        <v>1212</v>
      </c>
      <c r="M276" s="811" t="s">
        <v>1635</v>
      </c>
      <c r="N276" s="811" t="s">
        <v>1635</v>
      </c>
      <c r="O276" s="811" t="s">
        <v>1656</v>
      </c>
      <c r="P276" s="811" t="s">
        <v>1657</v>
      </c>
      <c r="Q276" s="811" t="s">
        <v>1658</v>
      </c>
    </row>
    <row r="277" spans="1:17" x14ac:dyDescent="0.25">
      <c r="A277" s="811" t="s">
        <v>1649</v>
      </c>
      <c r="B277" s="811" t="s">
        <v>2004</v>
      </c>
      <c r="C277" s="812">
        <v>28800000</v>
      </c>
      <c r="D277" s="811" t="s">
        <v>1542</v>
      </c>
      <c r="E277" s="811" t="s">
        <v>1542</v>
      </c>
      <c r="F277" s="811" t="s">
        <v>1651</v>
      </c>
      <c r="G277" s="811" t="s">
        <v>1652</v>
      </c>
      <c r="H277" s="811" t="s">
        <v>1653</v>
      </c>
      <c r="I277" s="811" t="s">
        <v>1654</v>
      </c>
      <c r="J277" s="813">
        <v>28800000</v>
      </c>
      <c r="K277" s="811" t="s">
        <v>1655</v>
      </c>
      <c r="L277" s="811" t="s">
        <v>1212</v>
      </c>
      <c r="M277" s="811" t="s">
        <v>1635</v>
      </c>
      <c r="N277" s="811" t="s">
        <v>1635</v>
      </c>
      <c r="O277" s="811" t="s">
        <v>1656</v>
      </c>
      <c r="P277" s="811" t="s">
        <v>1657</v>
      </c>
      <c r="Q277" s="811" t="s">
        <v>1658</v>
      </c>
    </row>
    <row r="278" spans="1:17" x14ac:dyDescent="0.25">
      <c r="A278" s="811" t="s">
        <v>1649</v>
      </c>
      <c r="B278" s="811" t="s">
        <v>2005</v>
      </c>
      <c r="C278" s="812">
        <v>28800000</v>
      </c>
      <c r="D278" s="811" t="s">
        <v>1542</v>
      </c>
      <c r="E278" s="811" t="s">
        <v>1542</v>
      </c>
      <c r="F278" s="811" t="s">
        <v>1739</v>
      </c>
      <c r="G278" s="811" t="s">
        <v>1652</v>
      </c>
      <c r="H278" s="811" t="s">
        <v>1653</v>
      </c>
      <c r="I278" s="811" t="s">
        <v>1654</v>
      </c>
      <c r="J278" s="813">
        <v>28800000</v>
      </c>
      <c r="K278" s="811" t="s">
        <v>1655</v>
      </c>
      <c r="L278" s="811" t="s">
        <v>1212</v>
      </c>
      <c r="M278" s="811" t="s">
        <v>1635</v>
      </c>
      <c r="N278" s="811" t="s">
        <v>1635</v>
      </c>
      <c r="O278" s="811" t="s">
        <v>1656</v>
      </c>
      <c r="P278" s="811" t="s">
        <v>1657</v>
      </c>
      <c r="Q278" s="811" t="s">
        <v>1658</v>
      </c>
    </row>
    <row r="279" spans="1:17" x14ac:dyDescent="0.25">
      <c r="A279" s="811" t="s">
        <v>1649</v>
      </c>
      <c r="B279" s="811" t="s">
        <v>2006</v>
      </c>
      <c r="C279" s="812">
        <v>16000000</v>
      </c>
      <c r="D279" s="811" t="s">
        <v>1542</v>
      </c>
      <c r="E279" s="811" t="s">
        <v>1542</v>
      </c>
      <c r="F279" s="811" t="s">
        <v>1718</v>
      </c>
      <c r="G279" s="811" t="s">
        <v>1652</v>
      </c>
      <c r="H279" s="811" t="s">
        <v>1653</v>
      </c>
      <c r="I279" s="811" t="s">
        <v>1654</v>
      </c>
      <c r="J279" s="813">
        <v>16000000</v>
      </c>
      <c r="K279" s="811" t="s">
        <v>1655</v>
      </c>
      <c r="L279" s="811" t="s">
        <v>1212</v>
      </c>
      <c r="M279" s="811" t="s">
        <v>1635</v>
      </c>
      <c r="N279" s="811" t="s">
        <v>1635</v>
      </c>
      <c r="O279" s="811" t="s">
        <v>2007</v>
      </c>
      <c r="P279" s="811" t="s">
        <v>1657</v>
      </c>
      <c r="Q279" s="811" t="s">
        <v>1980</v>
      </c>
    </row>
    <row r="280" spans="1:17" x14ac:dyDescent="0.25">
      <c r="A280" s="811" t="s">
        <v>1649</v>
      </c>
      <c r="B280" s="811" t="s">
        <v>2008</v>
      </c>
      <c r="C280" s="812">
        <v>36000000</v>
      </c>
      <c r="D280" s="811" t="s">
        <v>1542</v>
      </c>
      <c r="E280" s="811" t="s">
        <v>1542</v>
      </c>
      <c r="F280" s="811" t="s">
        <v>1662</v>
      </c>
      <c r="G280" s="811" t="s">
        <v>1652</v>
      </c>
      <c r="H280" s="811" t="s">
        <v>1653</v>
      </c>
      <c r="I280" s="811" t="s">
        <v>1654</v>
      </c>
      <c r="J280" s="813">
        <v>36000000</v>
      </c>
      <c r="K280" s="811" t="s">
        <v>1655</v>
      </c>
      <c r="L280" s="811" t="s">
        <v>1212</v>
      </c>
      <c r="M280" s="811" t="s">
        <v>1635</v>
      </c>
      <c r="N280" s="811" t="s">
        <v>1635</v>
      </c>
      <c r="O280" s="811" t="s">
        <v>1704</v>
      </c>
      <c r="P280" s="811" t="s">
        <v>1657</v>
      </c>
      <c r="Q280" s="811" t="s">
        <v>1705</v>
      </c>
    </row>
    <row r="281" spans="1:17" x14ac:dyDescent="0.25">
      <c r="A281" s="811" t="s">
        <v>1649</v>
      </c>
      <c r="B281" s="811" t="s">
        <v>2009</v>
      </c>
      <c r="C281" s="812">
        <v>48000000</v>
      </c>
      <c r="D281" s="811" t="s">
        <v>1445</v>
      </c>
      <c r="E281" s="811" t="s">
        <v>1445</v>
      </c>
      <c r="F281" s="811" t="s">
        <v>1662</v>
      </c>
      <c r="G281" s="811" t="s">
        <v>1652</v>
      </c>
      <c r="H281" s="811" t="s">
        <v>1653</v>
      </c>
      <c r="I281" s="811" t="s">
        <v>1654</v>
      </c>
      <c r="J281" s="813">
        <v>48000000</v>
      </c>
      <c r="K281" s="811" t="s">
        <v>1655</v>
      </c>
      <c r="L281" s="811" t="s">
        <v>1212</v>
      </c>
      <c r="M281" s="811" t="s">
        <v>1635</v>
      </c>
      <c r="N281" s="811" t="s">
        <v>1635</v>
      </c>
      <c r="O281" s="811" t="s">
        <v>1729</v>
      </c>
      <c r="P281" s="811" t="s">
        <v>1657</v>
      </c>
      <c r="Q281" s="811" t="s">
        <v>1664</v>
      </c>
    </row>
    <row r="282" spans="1:17" x14ac:dyDescent="0.25">
      <c r="A282" s="811" t="s">
        <v>1649</v>
      </c>
      <c r="B282" s="811" t="s">
        <v>2010</v>
      </c>
      <c r="C282" s="812">
        <v>24000000</v>
      </c>
      <c r="D282" s="811" t="s">
        <v>1445</v>
      </c>
      <c r="E282" s="811" t="s">
        <v>1445</v>
      </c>
      <c r="F282" s="811" t="s">
        <v>1662</v>
      </c>
      <c r="G282" s="811" t="s">
        <v>1652</v>
      </c>
      <c r="H282" s="811" t="s">
        <v>1653</v>
      </c>
      <c r="I282" s="811" t="s">
        <v>1654</v>
      </c>
      <c r="J282" s="813">
        <v>24000000</v>
      </c>
      <c r="K282" s="811" t="s">
        <v>1655</v>
      </c>
      <c r="L282" s="811" t="s">
        <v>1212</v>
      </c>
      <c r="M282" s="811" t="s">
        <v>1635</v>
      </c>
      <c r="N282" s="811" t="s">
        <v>1635</v>
      </c>
      <c r="O282" s="811" t="s">
        <v>1729</v>
      </c>
      <c r="P282" s="811" t="s">
        <v>1657</v>
      </c>
      <c r="Q282" s="811" t="s">
        <v>1664</v>
      </c>
    </row>
    <row r="283" spans="1:17" x14ac:dyDescent="0.25">
      <c r="A283" s="811" t="s">
        <v>1649</v>
      </c>
      <c r="B283" s="811" t="s">
        <v>2011</v>
      </c>
      <c r="C283" s="812">
        <v>24000000</v>
      </c>
      <c r="D283" s="811" t="s">
        <v>1445</v>
      </c>
      <c r="E283" s="811" t="s">
        <v>1445</v>
      </c>
      <c r="F283" s="811" t="s">
        <v>1662</v>
      </c>
      <c r="G283" s="811" t="s">
        <v>1652</v>
      </c>
      <c r="H283" s="811" t="s">
        <v>1653</v>
      </c>
      <c r="I283" s="811" t="s">
        <v>1654</v>
      </c>
      <c r="J283" s="813">
        <v>24000000</v>
      </c>
      <c r="K283" s="811" t="s">
        <v>1655</v>
      </c>
      <c r="L283" s="811" t="s">
        <v>1212</v>
      </c>
      <c r="M283" s="811" t="s">
        <v>1635</v>
      </c>
      <c r="N283" s="811" t="s">
        <v>1635</v>
      </c>
      <c r="O283" s="811" t="s">
        <v>1729</v>
      </c>
      <c r="P283" s="811" t="s">
        <v>1657</v>
      </c>
      <c r="Q283" s="811" t="s">
        <v>1664</v>
      </c>
    </row>
    <row r="284" spans="1:17" x14ac:dyDescent="0.25">
      <c r="A284" s="811" t="s">
        <v>1649</v>
      </c>
      <c r="B284" s="811" t="s">
        <v>2012</v>
      </c>
      <c r="C284" s="812">
        <v>24000000</v>
      </c>
      <c r="D284" s="811" t="s">
        <v>1445</v>
      </c>
      <c r="E284" s="811" t="s">
        <v>1445</v>
      </c>
      <c r="F284" s="811" t="s">
        <v>1662</v>
      </c>
      <c r="G284" s="811" t="s">
        <v>1652</v>
      </c>
      <c r="H284" s="811" t="s">
        <v>1653</v>
      </c>
      <c r="I284" s="811" t="s">
        <v>1654</v>
      </c>
      <c r="J284" s="813">
        <v>24000000</v>
      </c>
      <c r="K284" s="811" t="s">
        <v>1655</v>
      </c>
      <c r="L284" s="811" t="s">
        <v>1212</v>
      </c>
      <c r="M284" s="811" t="s">
        <v>1635</v>
      </c>
      <c r="N284" s="811" t="s">
        <v>1635</v>
      </c>
      <c r="O284" s="811" t="s">
        <v>1729</v>
      </c>
      <c r="P284" s="811" t="s">
        <v>1657</v>
      </c>
      <c r="Q284" s="811" t="s">
        <v>1664</v>
      </c>
    </row>
    <row r="285" spans="1:17" x14ac:dyDescent="0.25">
      <c r="A285" s="811" t="s">
        <v>1649</v>
      </c>
      <c r="B285" s="811" t="s">
        <v>2013</v>
      </c>
      <c r="C285" s="812">
        <v>34850000</v>
      </c>
      <c r="D285" s="811" t="s">
        <v>1542</v>
      </c>
      <c r="E285" s="811" t="s">
        <v>1542</v>
      </c>
      <c r="F285" s="811" t="s">
        <v>1666</v>
      </c>
      <c r="G285" s="811" t="s">
        <v>1652</v>
      </c>
      <c r="H285" s="811" t="s">
        <v>1653</v>
      </c>
      <c r="I285" s="811" t="s">
        <v>1654</v>
      </c>
      <c r="J285" s="813">
        <v>34850000</v>
      </c>
      <c r="K285" s="811" t="s">
        <v>1655</v>
      </c>
      <c r="L285" s="811" t="s">
        <v>1212</v>
      </c>
      <c r="M285" s="811" t="s">
        <v>1635</v>
      </c>
      <c r="N285" s="811" t="s">
        <v>1635</v>
      </c>
      <c r="O285" s="811" t="s">
        <v>1667</v>
      </c>
      <c r="P285" s="811" t="s">
        <v>1657</v>
      </c>
      <c r="Q285" s="811" t="s">
        <v>1668</v>
      </c>
    </row>
    <row r="286" spans="1:17" x14ac:dyDescent="0.25">
      <c r="A286" s="811" t="s">
        <v>1649</v>
      </c>
      <c r="B286" s="811" t="s">
        <v>2014</v>
      </c>
      <c r="C286" s="812">
        <v>34850000</v>
      </c>
      <c r="D286" s="811" t="s">
        <v>1542</v>
      </c>
      <c r="E286" s="811" t="s">
        <v>1542</v>
      </c>
      <c r="F286" s="811" t="s">
        <v>1666</v>
      </c>
      <c r="G286" s="811" t="s">
        <v>1652</v>
      </c>
      <c r="H286" s="811" t="s">
        <v>1653</v>
      </c>
      <c r="I286" s="811" t="s">
        <v>1654</v>
      </c>
      <c r="J286" s="813">
        <v>34850000</v>
      </c>
      <c r="K286" s="811" t="s">
        <v>1655</v>
      </c>
      <c r="L286" s="811" t="s">
        <v>1212</v>
      </c>
      <c r="M286" s="811" t="s">
        <v>1635</v>
      </c>
      <c r="N286" s="811" t="s">
        <v>1635</v>
      </c>
      <c r="O286" s="811" t="s">
        <v>1667</v>
      </c>
      <c r="P286" s="811" t="s">
        <v>1657</v>
      </c>
      <c r="Q286" s="811" t="s">
        <v>1668</v>
      </c>
    </row>
    <row r="287" spans="1:17" x14ac:dyDescent="0.25">
      <c r="A287" s="811" t="s">
        <v>1649</v>
      </c>
      <c r="B287" s="811" t="s">
        <v>2015</v>
      </c>
      <c r="C287" s="812">
        <v>58300000</v>
      </c>
      <c r="D287" s="811" t="s">
        <v>1449</v>
      </c>
      <c r="E287" s="811" t="s">
        <v>1449</v>
      </c>
      <c r="F287" s="811" t="s">
        <v>1689</v>
      </c>
      <c r="G287" s="811" t="s">
        <v>1652</v>
      </c>
      <c r="H287" s="811" t="s">
        <v>1653</v>
      </c>
      <c r="I287" s="811" t="s">
        <v>1654</v>
      </c>
      <c r="J287" s="813">
        <v>58300000</v>
      </c>
      <c r="K287" s="811" t="s">
        <v>1655</v>
      </c>
      <c r="L287" s="811" t="s">
        <v>1212</v>
      </c>
      <c r="M287" s="811" t="s">
        <v>1635</v>
      </c>
      <c r="N287" s="811" t="s">
        <v>1635</v>
      </c>
      <c r="O287" s="811" t="s">
        <v>1759</v>
      </c>
      <c r="P287" s="811" t="s">
        <v>1760</v>
      </c>
      <c r="Q287" s="811" t="s">
        <v>1658</v>
      </c>
    </row>
    <row r="288" spans="1:17" x14ac:dyDescent="0.25">
      <c r="A288" s="811" t="s">
        <v>1649</v>
      </c>
      <c r="B288" s="811" t="s">
        <v>2016</v>
      </c>
      <c r="C288" s="812">
        <v>64900000</v>
      </c>
      <c r="D288" s="811" t="s">
        <v>1449</v>
      </c>
      <c r="E288" s="811" t="s">
        <v>1449</v>
      </c>
      <c r="F288" s="811" t="s">
        <v>1689</v>
      </c>
      <c r="G288" s="811" t="s">
        <v>1652</v>
      </c>
      <c r="H288" s="811" t="s">
        <v>1653</v>
      </c>
      <c r="I288" s="811" t="s">
        <v>1654</v>
      </c>
      <c r="J288" s="813">
        <v>64900000</v>
      </c>
      <c r="K288" s="811" t="s">
        <v>1655</v>
      </c>
      <c r="L288" s="811" t="s">
        <v>1212</v>
      </c>
      <c r="M288" s="811" t="s">
        <v>1635</v>
      </c>
      <c r="N288" s="811" t="s">
        <v>1635</v>
      </c>
      <c r="O288" s="811" t="s">
        <v>1759</v>
      </c>
      <c r="P288" s="811" t="s">
        <v>1760</v>
      </c>
      <c r="Q288" s="811" t="s">
        <v>1658</v>
      </c>
    </row>
    <row r="289" spans="1:17" x14ac:dyDescent="0.25">
      <c r="A289" s="811" t="s">
        <v>1649</v>
      </c>
      <c r="B289" s="811" t="s">
        <v>2017</v>
      </c>
      <c r="C289" s="812">
        <v>44000000</v>
      </c>
      <c r="D289" s="811" t="s">
        <v>1449</v>
      </c>
      <c r="E289" s="811" t="s">
        <v>1449</v>
      </c>
      <c r="F289" s="811" t="s">
        <v>1689</v>
      </c>
      <c r="G289" s="811" t="s">
        <v>1652</v>
      </c>
      <c r="H289" s="811" t="s">
        <v>1653</v>
      </c>
      <c r="I289" s="811" t="s">
        <v>1654</v>
      </c>
      <c r="J289" s="813">
        <v>44000000</v>
      </c>
      <c r="K289" s="811" t="s">
        <v>1655</v>
      </c>
      <c r="L289" s="811" t="s">
        <v>1212</v>
      </c>
      <c r="M289" s="811" t="s">
        <v>1635</v>
      </c>
      <c r="N289" s="811" t="s">
        <v>1635</v>
      </c>
      <c r="O289" s="811" t="s">
        <v>1759</v>
      </c>
      <c r="P289" s="811" t="s">
        <v>1760</v>
      </c>
      <c r="Q289" s="811" t="s">
        <v>1658</v>
      </c>
    </row>
    <row r="290" spans="1:17" x14ac:dyDescent="0.25">
      <c r="A290" s="811" t="s">
        <v>1649</v>
      </c>
      <c r="B290" s="811" t="s">
        <v>2018</v>
      </c>
      <c r="C290" s="812">
        <v>64900000</v>
      </c>
      <c r="D290" s="811" t="s">
        <v>1449</v>
      </c>
      <c r="E290" s="811" t="s">
        <v>1449</v>
      </c>
      <c r="F290" s="811" t="s">
        <v>1689</v>
      </c>
      <c r="G290" s="811" t="s">
        <v>1652</v>
      </c>
      <c r="H290" s="811" t="s">
        <v>1653</v>
      </c>
      <c r="I290" s="811" t="s">
        <v>1654</v>
      </c>
      <c r="J290" s="813">
        <v>64900000</v>
      </c>
      <c r="K290" s="811" t="s">
        <v>1655</v>
      </c>
      <c r="L290" s="811" t="s">
        <v>1212</v>
      </c>
      <c r="M290" s="811" t="s">
        <v>1635</v>
      </c>
      <c r="N290" s="811" t="s">
        <v>1635</v>
      </c>
      <c r="O290" s="811" t="s">
        <v>1759</v>
      </c>
      <c r="P290" s="811" t="s">
        <v>1760</v>
      </c>
      <c r="Q290" s="811" t="s">
        <v>1658</v>
      </c>
    </row>
    <row r="291" spans="1:17" x14ac:dyDescent="0.25">
      <c r="A291" s="811" t="s">
        <v>1649</v>
      </c>
      <c r="B291" s="811" t="s">
        <v>2019</v>
      </c>
      <c r="C291" s="812">
        <v>64900000</v>
      </c>
      <c r="D291" s="811" t="s">
        <v>1449</v>
      </c>
      <c r="E291" s="811" t="s">
        <v>1449</v>
      </c>
      <c r="F291" s="811" t="s">
        <v>1689</v>
      </c>
      <c r="G291" s="811" t="s">
        <v>1652</v>
      </c>
      <c r="H291" s="811" t="s">
        <v>1653</v>
      </c>
      <c r="I291" s="811" t="s">
        <v>1654</v>
      </c>
      <c r="J291" s="813">
        <v>64900000</v>
      </c>
      <c r="K291" s="811" t="s">
        <v>1655</v>
      </c>
      <c r="L291" s="811" t="s">
        <v>1212</v>
      </c>
      <c r="M291" s="811" t="s">
        <v>1635</v>
      </c>
      <c r="N291" s="811" t="s">
        <v>1635</v>
      </c>
      <c r="O291" s="811" t="s">
        <v>1759</v>
      </c>
      <c r="P291" s="811" t="s">
        <v>1760</v>
      </c>
      <c r="Q291" s="811" t="s">
        <v>1658</v>
      </c>
    </row>
    <row r="292" spans="1:17" x14ac:dyDescent="0.25">
      <c r="A292" s="811" t="s">
        <v>1649</v>
      </c>
      <c r="B292" s="811" t="s">
        <v>2020</v>
      </c>
      <c r="C292" s="812">
        <v>70800000</v>
      </c>
      <c r="D292" s="811" t="s">
        <v>1440</v>
      </c>
      <c r="E292" s="811" t="s">
        <v>1440</v>
      </c>
      <c r="F292" s="811" t="s">
        <v>1672</v>
      </c>
      <c r="G292" s="811" t="s">
        <v>1652</v>
      </c>
      <c r="H292" s="811" t="s">
        <v>1653</v>
      </c>
      <c r="I292" s="811" t="s">
        <v>1654</v>
      </c>
      <c r="J292" s="813">
        <v>70800000</v>
      </c>
      <c r="K292" s="811" t="s">
        <v>1655</v>
      </c>
      <c r="L292" s="811" t="s">
        <v>1212</v>
      </c>
      <c r="M292" s="811" t="s">
        <v>1635</v>
      </c>
      <c r="N292" s="811" t="s">
        <v>1635</v>
      </c>
      <c r="O292" s="811" t="s">
        <v>1759</v>
      </c>
      <c r="P292" s="811" t="s">
        <v>1760</v>
      </c>
      <c r="Q292" s="811" t="s">
        <v>1658</v>
      </c>
    </row>
    <row r="293" spans="1:17" x14ac:dyDescent="0.25">
      <c r="A293" s="811" t="s">
        <v>1649</v>
      </c>
      <c r="B293" s="811" t="s">
        <v>2021</v>
      </c>
      <c r="C293" s="812">
        <v>28600000</v>
      </c>
      <c r="D293" s="811" t="s">
        <v>1449</v>
      </c>
      <c r="E293" s="811" t="s">
        <v>1449</v>
      </c>
      <c r="F293" s="811" t="s">
        <v>1689</v>
      </c>
      <c r="G293" s="811" t="s">
        <v>1652</v>
      </c>
      <c r="H293" s="811" t="s">
        <v>1653</v>
      </c>
      <c r="I293" s="811" t="s">
        <v>1654</v>
      </c>
      <c r="J293" s="813">
        <v>28600000</v>
      </c>
      <c r="K293" s="811" t="s">
        <v>1655</v>
      </c>
      <c r="L293" s="811" t="s">
        <v>1212</v>
      </c>
      <c r="M293" s="811" t="s">
        <v>1635</v>
      </c>
      <c r="N293" s="811" t="s">
        <v>1635</v>
      </c>
      <c r="O293" s="811" t="s">
        <v>1759</v>
      </c>
      <c r="P293" s="811" t="s">
        <v>1760</v>
      </c>
      <c r="Q293" s="811" t="s">
        <v>1658</v>
      </c>
    </row>
    <row r="294" spans="1:17" x14ac:dyDescent="0.25">
      <c r="A294" s="811" t="s">
        <v>1649</v>
      </c>
      <c r="B294" s="811" t="s">
        <v>1688</v>
      </c>
      <c r="C294" s="812">
        <v>44330000</v>
      </c>
      <c r="D294" s="811" t="s">
        <v>1449</v>
      </c>
      <c r="E294" s="811" t="s">
        <v>1449</v>
      </c>
      <c r="F294" s="811" t="s">
        <v>1672</v>
      </c>
      <c r="G294" s="811" t="s">
        <v>1652</v>
      </c>
      <c r="H294" s="811" t="s">
        <v>1653</v>
      </c>
      <c r="I294" s="811" t="s">
        <v>1654</v>
      </c>
      <c r="J294" s="813">
        <v>44330000</v>
      </c>
      <c r="K294" s="811" t="s">
        <v>1655</v>
      </c>
      <c r="L294" s="811" t="s">
        <v>1212</v>
      </c>
      <c r="M294" s="811" t="s">
        <v>1635</v>
      </c>
      <c r="N294" s="811" t="s">
        <v>1635</v>
      </c>
      <c r="O294" s="811" t="s">
        <v>1759</v>
      </c>
      <c r="P294" s="811" t="s">
        <v>1760</v>
      </c>
      <c r="Q294" s="811" t="s">
        <v>1658</v>
      </c>
    </row>
    <row r="295" spans="1:17" x14ac:dyDescent="0.25">
      <c r="A295" s="811" t="s">
        <v>1649</v>
      </c>
      <c r="B295" s="811" t="s">
        <v>2022</v>
      </c>
      <c r="C295" s="812">
        <v>77000000</v>
      </c>
      <c r="D295" s="811" t="s">
        <v>1449</v>
      </c>
      <c r="E295" s="811" t="s">
        <v>1449</v>
      </c>
      <c r="F295" s="811" t="s">
        <v>1689</v>
      </c>
      <c r="G295" s="811" t="s">
        <v>1652</v>
      </c>
      <c r="H295" s="811" t="s">
        <v>1653</v>
      </c>
      <c r="I295" s="811" t="s">
        <v>1654</v>
      </c>
      <c r="J295" s="813">
        <v>77000000</v>
      </c>
      <c r="K295" s="811" t="s">
        <v>1655</v>
      </c>
      <c r="L295" s="811" t="s">
        <v>1212</v>
      </c>
      <c r="M295" s="811" t="s">
        <v>1635</v>
      </c>
      <c r="N295" s="811" t="s">
        <v>1635</v>
      </c>
      <c r="O295" s="811" t="s">
        <v>1759</v>
      </c>
      <c r="P295" s="811" t="s">
        <v>1760</v>
      </c>
      <c r="Q295" s="811" t="s">
        <v>1658</v>
      </c>
    </row>
    <row r="296" spans="1:17" x14ac:dyDescent="0.25">
      <c r="A296" s="811" t="s">
        <v>1649</v>
      </c>
      <c r="B296" s="811" t="s">
        <v>1687</v>
      </c>
      <c r="C296" s="812">
        <v>58300000</v>
      </c>
      <c r="D296" s="811" t="s">
        <v>1449</v>
      </c>
      <c r="E296" s="811" t="s">
        <v>1449</v>
      </c>
      <c r="F296" s="811" t="s">
        <v>1672</v>
      </c>
      <c r="G296" s="811" t="s">
        <v>1652</v>
      </c>
      <c r="H296" s="811" t="s">
        <v>1653</v>
      </c>
      <c r="I296" s="811" t="s">
        <v>1654</v>
      </c>
      <c r="J296" s="813">
        <v>58300000</v>
      </c>
      <c r="K296" s="811" t="s">
        <v>1655</v>
      </c>
      <c r="L296" s="811" t="s">
        <v>1212</v>
      </c>
      <c r="M296" s="811" t="s">
        <v>1635</v>
      </c>
      <c r="N296" s="811" t="s">
        <v>1635</v>
      </c>
      <c r="O296" s="811" t="s">
        <v>1759</v>
      </c>
      <c r="P296" s="811" t="s">
        <v>1760</v>
      </c>
      <c r="Q296" s="811" t="s">
        <v>1658</v>
      </c>
    </row>
    <row r="297" spans="1:17" x14ac:dyDescent="0.25">
      <c r="A297" s="811" t="s">
        <v>1649</v>
      </c>
      <c r="B297" s="811" t="s">
        <v>1976</v>
      </c>
      <c r="C297" s="812">
        <v>44000000</v>
      </c>
      <c r="D297" s="811" t="s">
        <v>1449</v>
      </c>
      <c r="E297" s="811" t="s">
        <v>1449</v>
      </c>
      <c r="F297" s="811" t="s">
        <v>1672</v>
      </c>
      <c r="G297" s="811" t="s">
        <v>1652</v>
      </c>
      <c r="H297" s="811" t="s">
        <v>1653</v>
      </c>
      <c r="I297" s="811" t="s">
        <v>1654</v>
      </c>
      <c r="J297" s="813">
        <v>44000000</v>
      </c>
      <c r="K297" s="811" t="s">
        <v>1655</v>
      </c>
      <c r="L297" s="811" t="s">
        <v>1212</v>
      </c>
      <c r="M297" s="811" t="s">
        <v>1635</v>
      </c>
      <c r="N297" s="811" t="s">
        <v>1635</v>
      </c>
      <c r="O297" s="811" t="s">
        <v>1759</v>
      </c>
      <c r="P297" s="811" t="s">
        <v>1760</v>
      </c>
      <c r="Q297" s="811" t="s">
        <v>1658</v>
      </c>
    </row>
    <row r="298" spans="1:17" x14ac:dyDescent="0.25">
      <c r="A298" s="811" t="s">
        <v>1649</v>
      </c>
      <c r="B298" s="811" t="s">
        <v>1687</v>
      </c>
      <c r="C298" s="812">
        <v>43780000</v>
      </c>
      <c r="D298" s="811" t="s">
        <v>1449</v>
      </c>
      <c r="E298" s="811" t="s">
        <v>1449</v>
      </c>
      <c r="F298" s="811" t="s">
        <v>1672</v>
      </c>
      <c r="G298" s="811" t="s">
        <v>1652</v>
      </c>
      <c r="H298" s="811" t="s">
        <v>1653</v>
      </c>
      <c r="I298" s="811" t="s">
        <v>1654</v>
      </c>
      <c r="J298" s="813">
        <v>43780000</v>
      </c>
      <c r="K298" s="811" t="s">
        <v>1655</v>
      </c>
      <c r="L298" s="811" t="s">
        <v>1212</v>
      </c>
      <c r="M298" s="811" t="s">
        <v>1635</v>
      </c>
      <c r="N298" s="811" t="s">
        <v>1635</v>
      </c>
      <c r="O298" s="811" t="s">
        <v>1759</v>
      </c>
      <c r="P298" s="811" t="s">
        <v>1760</v>
      </c>
      <c r="Q298" s="811" t="s">
        <v>1658</v>
      </c>
    </row>
    <row r="299" spans="1:17" x14ac:dyDescent="0.25">
      <c r="A299" s="811" t="s">
        <v>1649</v>
      </c>
      <c r="B299" s="811" t="s">
        <v>2023</v>
      </c>
      <c r="C299" s="812">
        <v>64900000</v>
      </c>
      <c r="D299" s="811" t="s">
        <v>1449</v>
      </c>
      <c r="E299" s="811" t="s">
        <v>1449</v>
      </c>
      <c r="F299" s="811" t="s">
        <v>1672</v>
      </c>
      <c r="G299" s="811" t="s">
        <v>1652</v>
      </c>
      <c r="H299" s="811" t="s">
        <v>1653</v>
      </c>
      <c r="I299" s="811" t="s">
        <v>1654</v>
      </c>
      <c r="J299" s="813">
        <v>64900000</v>
      </c>
      <c r="K299" s="811" t="s">
        <v>1655</v>
      </c>
      <c r="L299" s="811" t="s">
        <v>1212</v>
      </c>
      <c r="M299" s="811" t="s">
        <v>1635</v>
      </c>
      <c r="N299" s="811" t="s">
        <v>1635</v>
      </c>
      <c r="O299" s="811" t="s">
        <v>1759</v>
      </c>
      <c r="P299" s="811" t="s">
        <v>1760</v>
      </c>
      <c r="Q299" s="811" t="s">
        <v>1658</v>
      </c>
    </row>
    <row r="300" spans="1:17" x14ac:dyDescent="0.25">
      <c r="A300" s="811" t="s">
        <v>1649</v>
      </c>
      <c r="B300" s="811" t="s">
        <v>1688</v>
      </c>
      <c r="C300" s="812">
        <v>58300000</v>
      </c>
      <c r="D300" s="811" t="s">
        <v>1449</v>
      </c>
      <c r="E300" s="811" t="s">
        <v>1449</v>
      </c>
      <c r="F300" s="811" t="s">
        <v>1689</v>
      </c>
      <c r="G300" s="811" t="s">
        <v>1652</v>
      </c>
      <c r="H300" s="811" t="s">
        <v>1653</v>
      </c>
      <c r="I300" s="811" t="s">
        <v>1654</v>
      </c>
      <c r="J300" s="813">
        <v>58300000</v>
      </c>
      <c r="K300" s="811" t="s">
        <v>1655</v>
      </c>
      <c r="L300" s="811" t="s">
        <v>1212</v>
      </c>
      <c r="M300" s="811" t="s">
        <v>1635</v>
      </c>
      <c r="N300" s="811" t="s">
        <v>1635</v>
      </c>
      <c r="O300" s="811" t="s">
        <v>1759</v>
      </c>
      <c r="P300" s="811" t="s">
        <v>1760</v>
      </c>
      <c r="Q300" s="811" t="s">
        <v>1658</v>
      </c>
    </row>
    <row r="301" spans="1:17" x14ac:dyDescent="0.25">
      <c r="A301" s="811" t="s">
        <v>1649</v>
      </c>
      <c r="B301" s="811" t="s">
        <v>2024</v>
      </c>
      <c r="C301" s="812">
        <v>88320000</v>
      </c>
      <c r="D301" s="811" t="s">
        <v>1449</v>
      </c>
      <c r="E301" s="811" t="s">
        <v>1449</v>
      </c>
      <c r="F301" s="811" t="s">
        <v>1689</v>
      </c>
      <c r="G301" s="811" t="s">
        <v>1652</v>
      </c>
      <c r="H301" s="811" t="s">
        <v>1653</v>
      </c>
      <c r="I301" s="811" t="s">
        <v>1654</v>
      </c>
      <c r="J301" s="813">
        <v>88320000</v>
      </c>
      <c r="K301" s="811" t="s">
        <v>1655</v>
      </c>
      <c r="L301" s="811" t="s">
        <v>1212</v>
      </c>
      <c r="M301" s="811" t="s">
        <v>1635</v>
      </c>
      <c r="N301" s="811" t="s">
        <v>1635</v>
      </c>
      <c r="O301" s="811" t="s">
        <v>1759</v>
      </c>
      <c r="P301" s="811" t="s">
        <v>1760</v>
      </c>
      <c r="Q301" s="811" t="s">
        <v>1658</v>
      </c>
    </row>
    <row r="302" spans="1:17" x14ac:dyDescent="0.25">
      <c r="A302" s="811" t="s">
        <v>1649</v>
      </c>
      <c r="B302" s="811" t="s">
        <v>2025</v>
      </c>
      <c r="C302" s="812">
        <v>33000000</v>
      </c>
      <c r="D302" s="811" t="s">
        <v>1445</v>
      </c>
      <c r="E302" s="811" t="s">
        <v>1445</v>
      </c>
      <c r="F302" s="811" t="s">
        <v>1689</v>
      </c>
      <c r="G302" s="811" t="s">
        <v>1652</v>
      </c>
      <c r="H302" s="811" t="s">
        <v>1653</v>
      </c>
      <c r="I302" s="811" t="s">
        <v>1654</v>
      </c>
      <c r="J302" s="813">
        <v>33000000</v>
      </c>
      <c r="K302" s="811" t="s">
        <v>1655</v>
      </c>
      <c r="L302" s="811" t="s">
        <v>1212</v>
      </c>
      <c r="M302" s="811" t="s">
        <v>1635</v>
      </c>
      <c r="N302" s="811" t="s">
        <v>1635</v>
      </c>
      <c r="O302" s="811" t="s">
        <v>1759</v>
      </c>
      <c r="P302" s="811" t="s">
        <v>1760</v>
      </c>
      <c r="Q302" s="811" t="s">
        <v>1658</v>
      </c>
    </row>
    <row r="303" spans="1:17" x14ac:dyDescent="0.25">
      <c r="A303" s="811" t="s">
        <v>1649</v>
      </c>
      <c r="B303" s="811" t="s">
        <v>2026</v>
      </c>
      <c r="C303" s="812">
        <v>33000000</v>
      </c>
      <c r="D303" s="811" t="s">
        <v>1445</v>
      </c>
      <c r="E303" s="811" t="s">
        <v>1445</v>
      </c>
      <c r="F303" s="811" t="s">
        <v>1689</v>
      </c>
      <c r="G303" s="811" t="s">
        <v>1652</v>
      </c>
      <c r="H303" s="811" t="s">
        <v>1653</v>
      </c>
      <c r="I303" s="811" t="s">
        <v>1654</v>
      </c>
      <c r="J303" s="813">
        <v>33000000</v>
      </c>
      <c r="K303" s="811" t="s">
        <v>1655</v>
      </c>
      <c r="L303" s="811" t="s">
        <v>1212</v>
      </c>
      <c r="M303" s="811" t="s">
        <v>1635</v>
      </c>
      <c r="N303" s="811" t="s">
        <v>1635</v>
      </c>
      <c r="O303" s="811" t="s">
        <v>1759</v>
      </c>
      <c r="P303" s="811" t="s">
        <v>1760</v>
      </c>
      <c r="Q303" s="811" t="s">
        <v>1658</v>
      </c>
    </row>
    <row r="304" spans="1:17" x14ac:dyDescent="0.25">
      <c r="A304" s="811" t="s">
        <v>1649</v>
      </c>
      <c r="B304" s="811" t="s">
        <v>2027</v>
      </c>
      <c r="C304" s="812">
        <v>33000000</v>
      </c>
      <c r="D304" s="811" t="s">
        <v>1445</v>
      </c>
      <c r="E304" s="811" t="s">
        <v>1445</v>
      </c>
      <c r="F304" s="811" t="s">
        <v>1689</v>
      </c>
      <c r="G304" s="811" t="s">
        <v>1652</v>
      </c>
      <c r="H304" s="811" t="s">
        <v>1653</v>
      </c>
      <c r="I304" s="811" t="s">
        <v>1654</v>
      </c>
      <c r="J304" s="813">
        <v>33000000</v>
      </c>
      <c r="K304" s="811" t="s">
        <v>1655</v>
      </c>
      <c r="L304" s="811" t="s">
        <v>1212</v>
      </c>
      <c r="M304" s="811" t="s">
        <v>1635</v>
      </c>
      <c r="N304" s="811" t="s">
        <v>1635</v>
      </c>
      <c r="O304" s="811" t="s">
        <v>1759</v>
      </c>
      <c r="P304" s="811" t="s">
        <v>1760</v>
      </c>
      <c r="Q304" s="811" t="s">
        <v>1658</v>
      </c>
    </row>
    <row r="305" spans="1:17" x14ac:dyDescent="0.25">
      <c r="A305" s="811" t="s">
        <v>1649</v>
      </c>
      <c r="B305" s="811" t="s">
        <v>2028</v>
      </c>
      <c r="C305" s="812">
        <v>33000000</v>
      </c>
      <c r="D305" s="811" t="s">
        <v>1445</v>
      </c>
      <c r="E305" s="811" t="s">
        <v>1445</v>
      </c>
      <c r="F305" s="811" t="s">
        <v>1689</v>
      </c>
      <c r="G305" s="811" t="s">
        <v>1652</v>
      </c>
      <c r="H305" s="811" t="s">
        <v>1653</v>
      </c>
      <c r="I305" s="811" t="s">
        <v>1654</v>
      </c>
      <c r="J305" s="813">
        <v>33000000</v>
      </c>
      <c r="K305" s="811" t="s">
        <v>1655</v>
      </c>
      <c r="L305" s="811" t="s">
        <v>1212</v>
      </c>
      <c r="M305" s="811" t="s">
        <v>1635</v>
      </c>
      <c r="N305" s="811" t="s">
        <v>1635</v>
      </c>
      <c r="O305" s="811" t="s">
        <v>1759</v>
      </c>
      <c r="P305" s="811" t="s">
        <v>1760</v>
      </c>
      <c r="Q305" s="811" t="s">
        <v>1658</v>
      </c>
    </row>
    <row r="306" spans="1:17" x14ac:dyDescent="0.25">
      <c r="A306" s="811" t="s">
        <v>1649</v>
      </c>
      <c r="B306" s="811" t="s">
        <v>2029</v>
      </c>
      <c r="C306" s="812">
        <v>42260948</v>
      </c>
      <c r="D306" s="811" t="s">
        <v>1440</v>
      </c>
      <c r="E306" s="811" t="s">
        <v>1440</v>
      </c>
      <c r="F306" s="811" t="s">
        <v>1672</v>
      </c>
      <c r="G306" s="811" t="s">
        <v>1652</v>
      </c>
      <c r="H306" s="811" t="s">
        <v>1653</v>
      </c>
      <c r="I306" s="811" t="s">
        <v>1654</v>
      </c>
      <c r="J306" s="813">
        <v>42260948</v>
      </c>
      <c r="K306" s="811" t="s">
        <v>1655</v>
      </c>
      <c r="L306" s="811" t="s">
        <v>1212</v>
      </c>
      <c r="M306" s="811" t="s">
        <v>1635</v>
      </c>
      <c r="N306" s="811" t="s">
        <v>1635</v>
      </c>
      <c r="O306" s="811" t="s">
        <v>1667</v>
      </c>
      <c r="P306" s="811" t="s">
        <v>1657</v>
      </c>
      <c r="Q306" s="811" t="s">
        <v>1668</v>
      </c>
    </row>
    <row r="307" spans="1:17" x14ac:dyDescent="0.25">
      <c r="A307" s="811" t="s">
        <v>1649</v>
      </c>
      <c r="B307" s="811" t="s">
        <v>2030</v>
      </c>
      <c r="C307" s="812">
        <v>39718800</v>
      </c>
      <c r="D307" s="811" t="s">
        <v>1440</v>
      </c>
      <c r="E307" s="811" t="s">
        <v>1440</v>
      </c>
      <c r="F307" s="811" t="s">
        <v>1672</v>
      </c>
      <c r="G307" s="811" t="s">
        <v>1652</v>
      </c>
      <c r="H307" s="811" t="s">
        <v>1653</v>
      </c>
      <c r="I307" s="811" t="s">
        <v>1654</v>
      </c>
      <c r="J307" s="813">
        <v>39718800</v>
      </c>
      <c r="K307" s="811" t="s">
        <v>1655</v>
      </c>
      <c r="L307" s="811" t="s">
        <v>1212</v>
      </c>
      <c r="M307" s="811" t="s">
        <v>1635</v>
      </c>
      <c r="N307" s="811" t="s">
        <v>1635</v>
      </c>
      <c r="O307" s="811" t="s">
        <v>1667</v>
      </c>
      <c r="P307" s="811" t="s">
        <v>1657</v>
      </c>
      <c r="Q307" s="811" t="s">
        <v>1668</v>
      </c>
    </row>
    <row r="308" spans="1:17" x14ac:dyDescent="0.25">
      <c r="A308" s="811" t="s">
        <v>1649</v>
      </c>
      <c r="B308" s="811" t="s">
        <v>2031</v>
      </c>
      <c r="C308" s="812">
        <v>39975144</v>
      </c>
      <c r="D308" s="811" t="s">
        <v>1449</v>
      </c>
      <c r="E308" s="811" t="s">
        <v>1449</v>
      </c>
      <c r="F308" s="811" t="s">
        <v>1651</v>
      </c>
      <c r="G308" s="811" t="s">
        <v>1652</v>
      </c>
      <c r="H308" s="811" t="s">
        <v>1653</v>
      </c>
      <c r="I308" s="811" t="s">
        <v>1654</v>
      </c>
      <c r="J308" s="813">
        <v>39975144</v>
      </c>
      <c r="K308" s="811" t="s">
        <v>1655</v>
      </c>
      <c r="L308" s="811" t="s">
        <v>1212</v>
      </c>
      <c r="M308" s="811" t="s">
        <v>1635</v>
      </c>
      <c r="N308" s="811" t="s">
        <v>1635</v>
      </c>
      <c r="O308" s="811" t="s">
        <v>1729</v>
      </c>
      <c r="P308" s="811" t="s">
        <v>1657</v>
      </c>
      <c r="Q308" s="811" t="s">
        <v>1664</v>
      </c>
    </row>
    <row r="309" spans="1:17" x14ac:dyDescent="0.25">
      <c r="A309" s="811" t="s">
        <v>1649</v>
      </c>
      <c r="B309" s="811" t="s">
        <v>2032</v>
      </c>
      <c r="C309" s="812">
        <v>40883670</v>
      </c>
      <c r="D309" s="811" t="s">
        <v>1449</v>
      </c>
      <c r="E309" s="811" t="s">
        <v>1449</v>
      </c>
      <c r="F309" s="811" t="s">
        <v>1685</v>
      </c>
      <c r="G309" s="811" t="s">
        <v>1652</v>
      </c>
      <c r="H309" s="811" t="s">
        <v>1653</v>
      </c>
      <c r="I309" s="811" t="s">
        <v>1654</v>
      </c>
      <c r="J309" s="813">
        <v>40883670</v>
      </c>
      <c r="K309" s="811" t="s">
        <v>1655</v>
      </c>
      <c r="L309" s="811" t="s">
        <v>1212</v>
      </c>
      <c r="M309" s="811" t="s">
        <v>1635</v>
      </c>
      <c r="N309" s="811" t="s">
        <v>1635</v>
      </c>
      <c r="O309" s="811" t="s">
        <v>1729</v>
      </c>
      <c r="P309" s="811" t="s">
        <v>1657</v>
      </c>
      <c r="Q309" s="811" t="s">
        <v>1664</v>
      </c>
    </row>
    <row r="310" spans="1:17" x14ac:dyDescent="0.25">
      <c r="A310" s="811" t="s">
        <v>1649</v>
      </c>
      <c r="B310" s="811" t="s">
        <v>2033</v>
      </c>
      <c r="C310" s="812">
        <v>68000000</v>
      </c>
      <c r="D310" s="811" t="s">
        <v>1449</v>
      </c>
      <c r="E310" s="811" t="s">
        <v>1449</v>
      </c>
      <c r="F310" s="811" t="s">
        <v>1651</v>
      </c>
      <c r="G310" s="811" t="s">
        <v>1652</v>
      </c>
      <c r="H310" s="811" t="s">
        <v>1653</v>
      </c>
      <c r="I310" s="811" t="s">
        <v>1654</v>
      </c>
      <c r="J310" s="813">
        <v>68000000</v>
      </c>
      <c r="K310" s="811" t="s">
        <v>1655</v>
      </c>
      <c r="L310" s="811" t="s">
        <v>1212</v>
      </c>
      <c r="M310" s="811" t="s">
        <v>1635</v>
      </c>
      <c r="N310" s="811" t="s">
        <v>1635</v>
      </c>
      <c r="O310" s="811" t="s">
        <v>1729</v>
      </c>
      <c r="P310" s="811" t="s">
        <v>1657</v>
      </c>
      <c r="Q310" s="811" t="s">
        <v>1664</v>
      </c>
    </row>
    <row r="311" spans="1:17" x14ac:dyDescent="0.25">
      <c r="A311" s="811" t="s">
        <v>1649</v>
      </c>
      <c r="B311" s="811" t="s">
        <v>2034</v>
      </c>
      <c r="C311" s="812">
        <v>18568000</v>
      </c>
      <c r="D311" s="811" t="s">
        <v>1449</v>
      </c>
      <c r="E311" s="811" t="s">
        <v>1449</v>
      </c>
      <c r="F311" s="811" t="s">
        <v>1651</v>
      </c>
      <c r="G311" s="811" t="s">
        <v>1652</v>
      </c>
      <c r="H311" s="811" t="s">
        <v>1653</v>
      </c>
      <c r="I311" s="811" t="s">
        <v>1654</v>
      </c>
      <c r="J311" s="813">
        <v>18568000</v>
      </c>
      <c r="K311" s="811" t="s">
        <v>1655</v>
      </c>
      <c r="L311" s="811" t="s">
        <v>1212</v>
      </c>
      <c r="M311" s="811" t="s">
        <v>1635</v>
      </c>
      <c r="N311" s="811" t="s">
        <v>1635</v>
      </c>
      <c r="O311" s="811" t="s">
        <v>1729</v>
      </c>
      <c r="P311" s="811" t="s">
        <v>1657</v>
      </c>
      <c r="Q311" s="811" t="s">
        <v>1664</v>
      </c>
    </row>
    <row r="312" spans="1:17" x14ac:dyDescent="0.25">
      <c r="A312" s="811" t="s">
        <v>1649</v>
      </c>
      <c r="B312" s="811" t="s">
        <v>2035</v>
      </c>
      <c r="C312" s="812">
        <v>62341552</v>
      </c>
      <c r="D312" s="811" t="s">
        <v>1440</v>
      </c>
      <c r="E312" s="811" t="s">
        <v>1449</v>
      </c>
      <c r="F312" s="811" t="s">
        <v>1698</v>
      </c>
      <c r="G312" s="811" t="s">
        <v>1652</v>
      </c>
      <c r="H312" s="811" t="s">
        <v>1653</v>
      </c>
      <c r="I312" s="811" t="s">
        <v>1654</v>
      </c>
      <c r="J312" s="813">
        <v>62341552</v>
      </c>
      <c r="K312" s="811" t="s">
        <v>1655</v>
      </c>
      <c r="L312" s="811" t="s">
        <v>1212</v>
      </c>
      <c r="M312" s="811" t="s">
        <v>1635</v>
      </c>
      <c r="N312" s="811" t="s">
        <v>1635</v>
      </c>
      <c r="O312" s="811" t="s">
        <v>1699</v>
      </c>
      <c r="P312" s="811" t="s">
        <v>1657</v>
      </c>
      <c r="Q312" s="811" t="s">
        <v>1700</v>
      </c>
    </row>
    <row r="313" spans="1:17" x14ac:dyDescent="0.25">
      <c r="A313" s="811" t="s">
        <v>1649</v>
      </c>
      <c r="B313" s="811" t="s">
        <v>2036</v>
      </c>
      <c r="C313" s="812">
        <v>55300000</v>
      </c>
      <c r="D313" s="811" t="s">
        <v>1440</v>
      </c>
      <c r="E313" s="811" t="s">
        <v>1449</v>
      </c>
      <c r="F313" s="811" t="s">
        <v>1698</v>
      </c>
      <c r="G313" s="811" t="s">
        <v>1652</v>
      </c>
      <c r="H313" s="811" t="s">
        <v>1653</v>
      </c>
      <c r="I313" s="811" t="s">
        <v>1654</v>
      </c>
      <c r="J313" s="813">
        <v>55300000</v>
      </c>
      <c r="K313" s="811" t="s">
        <v>1655</v>
      </c>
      <c r="L313" s="811" t="s">
        <v>1212</v>
      </c>
      <c r="M313" s="811" t="s">
        <v>1635</v>
      </c>
      <c r="N313" s="811" t="s">
        <v>1635</v>
      </c>
      <c r="O313" s="811" t="s">
        <v>1699</v>
      </c>
      <c r="P313" s="811" t="s">
        <v>1657</v>
      </c>
      <c r="Q313" s="811" t="s">
        <v>1700</v>
      </c>
    </row>
    <row r="314" spans="1:17" x14ac:dyDescent="0.25">
      <c r="A314" s="811" t="s">
        <v>1649</v>
      </c>
      <c r="B314" s="811" t="s">
        <v>2037</v>
      </c>
      <c r="C314" s="812">
        <v>42745500</v>
      </c>
      <c r="D314" s="811" t="s">
        <v>1449</v>
      </c>
      <c r="E314" s="811" t="s">
        <v>1449</v>
      </c>
      <c r="F314" s="811" t="s">
        <v>1698</v>
      </c>
      <c r="G314" s="811" t="s">
        <v>1652</v>
      </c>
      <c r="H314" s="811" t="s">
        <v>1653</v>
      </c>
      <c r="I314" s="811" t="s">
        <v>1654</v>
      </c>
      <c r="J314" s="813">
        <v>42745500</v>
      </c>
      <c r="K314" s="811" t="s">
        <v>1655</v>
      </c>
      <c r="L314" s="811" t="s">
        <v>1212</v>
      </c>
      <c r="M314" s="811" t="s">
        <v>1635</v>
      </c>
      <c r="N314" s="811" t="s">
        <v>1635</v>
      </c>
      <c r="O314" s="811" t="s">
        <v>1699</v>
      </c>
      <c r="P314" s="811" t="s">
        <v>1657</v>
      </c>
      <c r="Q314" s="811" t="s">
        <v>1700</v>
      </c>
    </row>
    <row r="315" spans="1:17" x14ac:dyDescent="0.25">
      <c r="A315" s="811" t="s">
        <v>1649</v>
      </c>
      <c r="B315" s="811" t="s">
        <v>2038</v>
      </c>
      <c r="C315" s="812">
        <v>26400000</v>
      </c>
      <c r="D315" s="811" t="s">
        <v>1449</v>
      </c>
      <c r="E315" s="811" t="s">
        <v>1449</v>
      </c>
      <c r="F315" s="811" t="s">
        <v>1651</v>
      </c>
      <c r="G315" s="811" t="s">
        <v>1652</v>
      </c>
      <c r="H315" s="811" t="s">
        <v>1653</v>
      </c>
      <c r="I315" s="811" t="s">
        <v>1654</v>
      </c>
      <c r="J315" s="813">
        <v>26400000</v>
      </c>
      <c r="K315" s="811" t="s">
        <v>1655</v>
      </c>
      <c r="L315" s="811" t="s">
        <v>1212</v>
      </c>
      <c r="M315" s="811" t="s">
        <v>1635</v>
      </c>
      <c r="N315" s="811" t="s">
        <v>1635</v>
      </c>
      <c r="O315" s="811" t="s">
        <v>1699</v>
      </c>
      <c r="P315" s="811" t="s">
        <v>1657</v>
      </c>
      <c r="Q315" s="811" t="s">
        <v>1700</v>
      </c>
    </row>
    <row r="316" spans="1:17" x14ac:dyDescent="0.25">
      <c r="A316" s="811" t="s">
        <v>1649</v>
      </c>
      <c r="B316" s="811" t="s">
        <v>2039</v>
      </c>
      <c r="C316" s="812">
        <v>47092500</v>
      </c>
      <c r="D316" s="811" t="s">
        <v>1449</v>
      </c>
      <c r="E316" s="811" t="s">
        <v>1449</v>
      </c>
      <c r="F316" s="811" t="s">
        <v>1698</v>
      </c>
      <c r="G316" s="811" t="s">
        <v>1652</v>
      </c>
      <c r="H316" s="811" t="s">
        <v>1653</v>
      </c>
      <c r="I316" s="811" t="s">
        <v>1654</v>
      </c>
      <c r="J316" s="813">
        <v>47092500</v>
      </c>
      <c r="K316" s="811" t="s">
        <v>1655</v>
      </c>
      <c r="L316" s="811" t="s">
        <v>1212</v>
      </c>
      <c r="M316" s="811" t="s">
        <v>1635</v>
      </c>
      <c r="N316" s="811" t="s">
        <v>1635</v>
      </c>
      <c r="O316" s="811" t="s">
        <v>1699</v>
      </c>
      <c r="P316" s="811" t="s">
        <v>1657</v>
      </c>
      <c r="Q316" s="811" t="s">
        <v>1700</v>
      </c>
    </row>
    <row r="317" spans="1:17" x14ac:dyDescent="0.25">
      <c r="A317" s="811" t="s">
        <v>1649</v>
      </c>
      <c r="B317" s="811" t="s">
        <v>2040</v>
      </c>
      <c r="C317" s="812">
        <v>28152000</v>
      </c>
      <c r="D317" s="811" t="s">
        <v>1449</v>
      </c>
      <c r="E317" s="811" t="s">
        <v>1449</v>
      </c>
      <c r="F317" s="811" t="s">
        <v>1651</v>
      </c>
      <c r="G317" s="811" t="s">
        <v>1652</v>
      </c>
      <c r="H317" s="811" t="s">
        <v>1653</v>
      </c>
      <c r="I317" s="811" t="s">
        <v>1654</v>
      </c>
      <c r="J317" s="813">
        <v>28152000</v>
      </c>
      <c r="K317" s="811" t="s">
        <v>1655</v>
      </c>
      <c r="L317" s="811" t="s">
        <v>1212</v>
      </c>
      <c r="M317" s="811" t="s">
        <v>1635</v>
      </c>
      <c r="N317" s="811" t="s">
        <v>1635</v>
      </c>
      <c r="O317" s="811" t="s">
        <v>1699</v>
      </c>
      <c r="P317" s="811" t="s">
        <v>1657</v>
      </c>
      <c r="Q317" s="811" t="s">
        <v>1700</v>
      </c>
    </row>
    <row r="318" spans="1:17" x14ac:dyDescent="0.25">
      <c r="A318" s="811" t="s">
        <v>1649</v>
      </c>
      <c r="B318" s="811" t="s">
        <v>2041</v>
      </c>
      <c r="C318" s="812">
        <v>47092500</v>
      </c>
      <c r="D318" s="811" t="s">
        <v>1440</v>
      </c>
      <c r="E318" s="811" t="s">
        <v>1449</v>
      </c>
      <c r="F318" s="811" t="s">
        <v>1698</v>
      </c>
      <c r="G318" s="811" t="s">
        <v>1652</v>
      </c>
      <c r="H318" s="811" t="s">
        <v>1653</v>
      </c>
      <c r="I318" s="811" t="s">
        <v>1654</v>
      </c>
      <c r="J318" s="813">
        <v>47092500</v>
      </c>
      <c r="K318" s="811" t="s">
        <v>1655</v>
      </c>
      <c r="L318" s="811" t="s">
        <v>1212</v>
      </c>
      <c r="M318" s="811" t="s">
        <v>1635</v>
      </c>
      <c r="N318" s="811" t="s">
        <v>1635</v>
      </c>
      <c r="O318" s="811" t="s">
        <v>1699</v>
      </c>
      <c r="P318" s="811" t="s">
        <v>1657</v>
      </c>
      <c r="Q318" s="811" t="s">
        <v>1700</v>
      </c>
    </row>
    <row r="319" spans="1:17" x14ac:dyDescent="0.25">
      <c r="A319" s="811" t="s">
        <v>1649</v>
      </c>
      <c r="B319" s="811" t="s">
        <v>2042</v>
      </c>
      <c r="C319" s="812">
        <v>34850000</v>
      </c>
      <c r="D319" s="811" t="s">
        <v>1542</v>
      </c>
      <c r="E319" s="811" t="s">
        <v>1542</v>
      </c>
      <c r="F319" s="811" t="s">
        <v>1666</v>
      </c>
      <c r="G319" s="811" t="s">
        <v>1652</v>
      </c>
      <c r="H319" s="811" t="s">
        <v>1653</v>
      </c>
      <c r="I319" s="811" t="s">
        <v>1654</v>
      </c>
      <c r="J319" s="813">
        <v>34850000</v>
      </c>
      <c r="K319" s="811" t="s">
        <v>1655</v>
      </c>
      <c r="L319" s="811" t="s">
        <v>1212</v>
      </c>
      <c r="M319" s="811" t="s">
        <v>1635</v>
      </c>
      <c r="N319" s="811" t="s">
        <v>1635</v>
      </c>
      <c r="O319" s="811" t="s">
        <v>1667</v>
      </c>
      <c r="P319" s="811" t="s">
        <v>1657</v>
      </c>
      <c r="Q319" s="811" t="s">
        <v>1668</v>
      </c>
    </row>
    <row r="320" spans="1:17" x14ac:dyDescent="0.25">
      <c r="A320" s="811" t="s">
        <v>1649</v>
      </c>
      <c r="B320" s="811" t="s">
        <v>2043</v>
      </c>
      <c r="C320" s="812">
        <v>34850000</v>
      </c>
      <c r="D320" s="811" t="s">
        <v>1542</v>
      </c>
      <c r="E320" s="811" t="s">
        <v>1542</v>
      </c>
      <c r="F320" s="811" t="s">
        <v>1666</v>
      </c>
      <c r="G320" s="811" t="s">
        <v>1652</v>
      </c>
      <c r="H320" s="811" t="s">
        <v>1653</v>
      </c>
      <c r="I320" s="811" t="s">
        <v>1654</v>
      </c>
      <c r="J320" s="813">
        <v>34850000</v>
      </c>
      <c r="K320" s="811" t="s">
        <v>1655</v>
      </c>
      <c r="L320" s="811" t="s">
        <v>1212</v>
      </c>
      <c r="M320" s="811" t="s">
        <v>1635</v>
      </c>
      <c r="N320" s="811" t="s">
        <v>1635</v>
      </c>
      <c r="O320" s="811" t="s">
        <v>1667</v>
      </c>
      <c r="P320" s="811" t="s">
        <v>1657</v>
      </c>
      <c r="Q320" s="811" t="s">
        <v>1668</v>
      </c>
    </row>
    <row r="321" spans="1:17" x14ac:dyDescent="0.25">
      <c r="A321" s="811" t="s">
        <v>1649</v>
      </c>
      <c r="B321" s="811" t="s">
        <v>2044</v>
      </c>
      <c r="C321" s="812">
        <v>34850000</v>
      </c>
      <c r="D321" s="811" t="s">
        <v>1542</v>
      </c>
      <c r="E321" s="811" t="s">
        <v>1542</v>
      </c>
      <c r="F321" s="811" t="s">
        <v>1666</v>
      </c>
      <c r="G321" s="811" t="s">
        <v>1652</v>
      </c>
      <c r="H321" s="811" t="s">
        <v>1653</v>
      </c>
      <c r="I321" s="811" t="s">
        <v>1654</v>
      </c>
      <c r="J321" s="813">
        <v>34850000</v>
      </c>
      <c r="K321" s="811" t="s">
        <v>1655</v>
      </c>
      <c r="L321" s="811" t="s">
        <v>1212</v>
      </c>
      <c r="M321" s="811" t="s">
        <v>1635</v>
      </c>
      <c r="N321" s="811" t="s">
        <v>1635</v>
      </c>
      <c r="O321" s="811" t="s">
        <v>1667</v>
      </c>
      <c r="P321" s="811" t="s">
        <v>1657</v>
      </c>
      <c r="Q321" s="811" t="s">
        <v>1668</v>
      </c>
    </row>
    <row r="322" spans="1:17" x14ac:dyDescent="0.25">
      <c r="A322" s="811" t="s">
        <v>1649</v>
      </c>
      <c r="B322" s="811" t="s">
        <v>2045</v>
      </c>
      <c r="C322" s="812">
        <v>34850000</v>
      </c>
      <c r="D322" s="811" t="s">
        <v>1542</v>
      </c>
      <c r="E322" s="811" t="s">
        <v>1542</v>
      </c>
      <c r="F322" s="811" t="s">
        <v>1666</v>
      </c>
      <c r="G322" s="811" t="s">
        <v>1652</v>
      </c>
      <c r="H322" s="811" t="s">
        <v>1653</v>
      </c>
      <c r="I322" s="811" t="s">
        <v>1654</v>
      </c>
      <c r="J322" s="813">
        <v>34850000</v>
      </c>
      <c r="K322" s="811" t="s">
        <v>1655</v>
      </c>
      <c r="L322" s="811" t="s">
        <v>1212</v>
      </c>
      <c r="M322" s="811" t="s">
        <v>1635</v>
      </c>
      <c r="N322" s="811" t="s">
        <v>1635</v>
      </c>
      <c r="O322" s="811" t="s">
        <v>1667</v>
      </c>
      <c r="P322" s="811" t="s">
        <v>1657</v>
      </c>
      <c r="Q322" s="811" t="s">
        <v>1668</v>
      </c>
    </row>
    <row r="323" spans="1:17" x14ac:dyDescent="0.25">
      <c r="A323" s="811" t="s">
        <v>1649</v>
      </c>
      <c r="B323" s="811" t="s">
        <v>2046</v>
      </c>
      <c r="C323" s="812">
        <v>32300000</v>
      </c>
      <c r="D323" s="811" t="s">
        <v>1542</v>
      </c>
      <c r="E323" s="811" t="s">
        <v>1542</v>
      </c>
      <c r="F323" s="811" t="s">
        <v>1666</v>
      </c>
      <c r="G323" s="811" t="s">
        <v>1652</v>
      </c>
      <c r="H323" s="811" t="s">
        <v>1653</v>
      </c>
      <c r="I323" s="811" t="s">
        <v>1654</v>
      </c>
      <c r="J323" s="813">
        <v>32300000</v>
      </c>
      <c r="K323" s="811" t="s">
        <v>1655</v>
      </c>
      <c r="L323" s="811" t="s">
        <v>1212</v>
      </c>
      <c r="M323" s="811" t="s">
        <v>1635</v>
      </c>
      <c r="N323" s="811" t="s">
        <v>1635</v>
      </c>
      <c r="O323" s="811" t="s">
        <v>1667</v>
      </c>
      <c r="P323" s="811" t="s">
        <v>1657</v>
      </c>
      <c r="Q323" s="811" t="s">
        <v>1668</v>
      </c>
    </row>
    <row r="324" spans="1:17" x14ac:dyDescent="0.25">
      <c r="A324" s="811" t="s">
        <v>1649</v>
      </c>
      <c r="B324" s="811" t="s">
        <v>2047</v>
      </c>
      <c r="C324" s="812">
        <v>32300000</v>
      </c>
      <c r="D324" s="811" t="s">
        <v>1542</v>
      </c>
      <c r="E324" s="811" t="s">
        <v>1542</v>
      </c>
      <c r="F324" s="811" t="s">
        <v>1666</v>
      </c>
      <c r="G324" s="811" t="s">
        <v>1652</v>
      </c>
      <c r="H324" s="811" t="s">
        <v>1653</v>
      </c>
      <c r="I324" s="811" t="s">
        <v>1654</v>
      </c>
      <c r="J324" s="813">
        <v>32300000</v>
      </c>
      <c r="K324" s="811" t="s">
        <v>1655</v>
      </c>
      <c r="L324" s="811" t="s">
        <v>1212</v>
      </c>
      <c r="M324" s="811" t="s">
        <v>1635</v>
      </c>
      <c r="N324" s="811" t="s">
        <v>1635</v>
      </c>
      <c r="O324" s="811" t="s">
        <v>1667</v>
      </c>
      <c r="P324" s="811" t="s">
        <v>1657</v>
      </c>
      <c r="Q324" s="811" t="s">
        <v>1668</v>
      </c>
    </row>
    <row r="325" spans="1:17" x14ac:dyDescent="0.25">
      <c r="A325" s="811" t="s">
        <v>1649</v>
      </c>
      <c r="B325" s="811" t="s">
        <v>2048</v>
      </c>
      <c r="C325" s="812">
        <v>38250000</v>
      </c>
      <c r="D325" s="811" t="s">
        <v>1542</v>
      </c>
      <c r="E325" s="811" t="s">
        <v>1542</v>
      </c>
      <c r="F325" s="811" t="s">
        <v>1666</v>
      </c>
      <c r="G325" s="811" t="s">
        <v>1652</v>
      </c>
      <c r="H325" s="811" t="s">
        <v>1653</v>
      </c>
      <c r="I325" s="811" t="s">
        <v>1654</v>
      </c>
      <c r="J325" s="813">
        <v>38250000</v>
      </c>
      <c r="K325" s="811" t="s">
        <v>1655</v>
      </c>
      <c r="L325" s="811" t="s">
        <v>1212</v>
      </c>
      <c r="M325" s="811" t="s">
        <v>1635</v>
      </c>
      <c r="N325" s="811" t="s">
        <v>1635</v>
      </c>
      <c r="O325" s="811" t="s">
        <v>1667</v>
      </c>
      <c r="P325" s="811" t="s">
        <v>1657</v>
      </c>
      <c r="Q325" s="811" t="s">
        <v>1668</v>
      </c>
    </row>
    <row r="326" spans="1:17" x14ac:dyDescent="0.25">
      <c r="A326" s="811" t="s">
        <v>2049</v>
      </c>
      <c r="B326" s="811" t="s">
        <v>2050</v>
      </c>
      <c r="C326" s="812">
        <v>900000000</v>
      </c>
      <c r="D326" s="811" t="s">
        <v>1542</v>
      </c>
      <c r="E326" s="811" t="s">
        <v>1446</v>
      </c>
      <c r="F326" s="811" t="s">
        <v>1662</v>
      </c>
      <c r="G326" s="811" t="s">
        <v>1652</v>
      </c>
      <c r="H326" s="811" t="s">
        <v>2051</v>
      </c>
      <c r="I326" s="811" t="s">
        <v>1654</v>
      </c>
      <c r="J326" s="813">
        <v>900000000</v>
      </c>
      <c r="K326" s="811" t="s">
        <v>1655</v>
      </c>
      <c r="L326" s="811" t="s">
        <v>1212</v>
      </c>
      <c r="M326" s="811" t="s">
        <v>1635</v>
      </c>
      <c r="N326" s="811" t="s">
        <v>1635</v>
      </c>
      <c r="O326" s="811" t="s">
        <v>1656</v>
      </c>
      <c r="P326" s="811" t="s">
        <v>1657</v>
      </c>
      <c r="Q326" s="811" t="s">
        <v>1658</v>
      </c>
    </row>
    <row r="327" spans="1:17" x14ac:dyDescent="0.25">
      <c r="A327" s="811" t="s">
        <v>1649</v>
      </c>
      <c r="B327" s="811" t="s">
        <v>2052</v>
      </c>
      <c r="C327" s="812">
        <v>42400000</v>
      </c>
      <c r="D327" s="811" t="s">
        <v>1542</v>
      </c>
      <c r="E327" s="811" t="s">
        <v>1542</v>
      </c>
      <c r="F327" s="811" t="s">
        <v>1651</v>
      </c>
      <c r="G327" s="811" t="s">
        <v>1652</v>
      </c>
      <c r="H327" s="811" t="s">
        <v>1653</v>
      </c>
      <c r="I327" s="811" t="s">
        <v>1654</v>
      </c>
      <c r="J327" s="813">
        <v>42400000</v>
      </c>
      <c r="K327" s="811" t="s">
        <v>1655</v>
      </c>
      <c r="L327" s="811" t="s">
        <v>1212</v>
      </c>
      <c r="M327" s="811" t="s">
        <v>1635</v>
      </c>
      <c r="N327" s="811" t="s">
        <v>1635</v>
      </c>
      <c r="O327" s="811" t="s">
        <v>1656</v>
      </c>
      <c r="P327" s="811" t="s">
        <v>1657</v>
      </c>
      <c r="Q327" s="811" t="s">
        <v>1658</v>
      </c>
    </row>
    <row r="328" spans="1:17" x14ac:dyDescent="0.25">
      <c r="A328" s="811" t="s">
        <v>1649</v>
      </c>
      <c r="B328" s="811" t="s">
        <v>2053</v>
      </c>
      <c r="C328" s="812">
        <v>47200000</v>
      </c>
      <c r="D328" s="811" t="s">
        <v>1542</v>
      </c>
      <c r="E328" s="811" t="s">
        <v>1542</v>
      </c>
      <c r="F328" s="811" t="s">
        <v>1651</v>
      </c>
      <c r="G328" s="811" t="s">
        <v>1652</v>
      </c>
      <c r="H328" s="811" t="s">
        <v>1653</v>
      </c>
      <c r="I328" s="811" t="s">
        <v>1654</v>
      </c>
      <c r="J328" s="813">
        <v>47200000</v>
      </c>
      <c r="K328" s="811" t="s">
        <v>1655</v>
      </c>
      <c r="L328" s="811" t="s">
        <v>1212</v>
      </c>
      <c r="M328" s="811" t="s">
        <v>1635</v>
      </c>
      <c r="N328" s="811" t="s">
        <v>1635</v>
      </c>
      <c r="O328" s="811" t="s">
        <v>1656</v>
      </c>
      <c r="P328" s="811" t="s">
        <v>1657</v>
      </c>
      <c r="Q328" s="811" t="s">
        <v>1658</v>
      </c>
    </row>
    <row r="329" spans="1:17" x14ac:dyDescent="0.25">
      <c r="A329" s="811" t="s">
        <v>1649</v>
      </c>
      <c r="B329" s="811" t="s">
        <v>2054</v>
      </c>
      <c r="C329" s="812">
        <v>28800000</v>
      </c>
      <c r="D329" s="811" t="s">
        <v>1542</v>
      </c>
      <c r="E329" s="811" t="s">
        <v>1542</v>
      </c>
      <c r="F329" s="811" t="s">
        <v>1651</v>
      </c>
      <c r="G329" s="811" t="s">
        <v>1652</v>
      </c>
      <c r="H329" s="811" t="s">
        <v>1653</v>
      </c>
      <c r="I329" s="811" t="s">
        <v>1654</v>
      </c>
      <c r="J329" s="813">
        <v>28800000</v>
      </c>
      <c r="K329" s="811" t="s">
        <v>1655</v>
      </c>
      <c r="L329" s="811" t="s">
        <v>1212</v>
      </c>
      <c r="M329" s="811" t="s">
        <v>1635</v>
      </c>
      <c r="N329" s="811" t="s">
        <v>1635</v>
      </c>
      <c r="O329" s="811" t="s">
        <v>1656</v>
      </c>
      <c r="P329" s="811" t="s">
        <v>1657</v>
      </c>
      <c r="Q329" s="811" t="s">
        <v>1658</v>
      </c>
    </row>
    <row r="330" spans="1:17" x14ac:dyDescent="0.25">
      <c r="A330" s="811" t="s">
        <v>1649</v>
      </c>
      <c r="B330" s="811" t="s">
        <v>2055</v>
      </c>
      <c r="C330" s="812">
        <v>20000000</v>
      </c>
      <c r="D330" s="811" t="s">
        <v>1542</v>
      </c>
      <c r="E330" s="811" t="s">
        <v>1542</v>
      </c>
      <c r="F330" s="811" t="s">
        <v>1651</v>
      </c>
      <c r="G330" s="811" t="s">
        <v>1652</v>
      </c>
      <c r="H330" s="811" t="s">
        <v>1653</v>
      </c>
      <c r="I330" s="811" t="s">
        <v>1654</v>
      </c>
      <c r="J330" s="813">
        <v>20000000</v>
      </c>
      <c r="K330" s="811" t="s">
        <v>1655</v>
      </c>
      <c r="L330" s="811" t="s">
        <v>1212</v>
      </c>
      <c r="M330" s="811" t="s">
        <v>1635</v>
      </c>
      <c r="N330" s="811" t="s">
        <v>1635</v>
      </c>
      <c r="O330" s="811" t="s">
        <v>1656</v>
      </c>
      <c r="P330" s="811" t="s">
        <v>1657</v>
      </c>
      <c r="Q330" s="811" t="s">
        <v>1658</v>
      </c>
    </row>
    <row r="331" spans="1:17" x14ac:dyDescent="0.25">
      <c r="A331" s="811" t="s">
        <v>1649</v>
      </c>
      <c r="B331" s="811" t="s">
        <v>2056</v>
      </c>
      <c r="C331" s="812">
        <v>28700000</v>
      </c>
      <c r="D331" s="811" t="s">
        <v>1449</v>
      </c>
      <c r="E331" s="811" t="s">
        <v>1449</v>
      </c>
      <c r="F331" s="811" t="s">
        <v>1685</v>
      </c>
      <c r="G331" s="811" t="s">
        <v>1652</v>
      </c>
      <c r="H331" s="811" t="s">
        <v>1653</v>
      </c>
      <c r="I331" s="811" t="s">
        <v>1654</v>
      </c>
      <c r="J331" s="813">
        <v>28700000</v>
      </c>
      <c r="K331" s="811" t="s">
        <v>1655</v>
      </c>
      <c r="L331" s="811" t="s">
        <v>1212</v>
      </c>
      <c r="M331" s="811" t="s">
        <v>1635</v>
      </c>
      <c r="N331" s="811" t="s">
        <v>1635</v>
      </c>
      <c r="O331" s="811" t="s">
        <v>1704</v>
      </c>
      <c r="P331" s="811" t="s">
        <v>1657</v>
      </c>
      <c r="Q331" s="811" t="s">
        <v>1705</v>
      </c>
    </row>
    <row r="332" spans="1:17" x14ac:dyDescent="0.25">
      <c r="A332" s="811" t="s">
        <v>1649</v>
      </c>
      <c r="B332" s="811" t="s">
        <v>2057</v>
      </c>
      <c r="C332" s="812">
        <v>32232315</v>
      </c>
      <c r="D332" s="811" t="s">
        <v>1440</v>
      </c>
      <c r="E332" s="811" t="s">
        <v>1440</v>
      </c>
      <c r="F332" s="811" t="s">
        <v>1672</v>
      </c>
      <c r="G332" s="811" t="s">
        <v>1652</v>
      </c>
      <c r="H332" s="811" t="s">
        <v>1653</v>
      </c>
      <c r="I332" s="811" t="s">
        <v>1654</v>
      </c>
      <c r="J332" s="813">
        <v>32232315</v>
      </c>
      <c r="K332" s="811" t="s">
        <v>1655</v>
      </c>
      <c r="L332" s="811" t="s">
        <v>1212</v>
      </c>
      <c r="M332" s="811" t="s">
        <v>1635</v>
      </c>
      <c r="N332" s="811" t="s">
        <v>1635</v>
      </c>
      <c r="O332" s="811" t="s">
        <v>1704</v>
      </c>
      <c r="P332" s="811" t="s">
        <v>1657</v>
      </c>
      <c r="Q332" s="811" t="s">
        <v>1705</v>
      </c>
    </row>
    <row r="333" spans="1:17" x14ac:dyDescent="0.25">
      <c r="A333" s="811" t="s">
        <v>1649</v>
      </c>
      <c r="B333" s="811" t="s">
        <v>2058</v>
      </c>
      <c r="C333" s="812">
        <v>51586233</v>
      </c>
      <c r="D333" s="811" t="s">
        <v>1449</v>
      </c>
      <c r="E333" s="811" t="s">
        <v>1449</v>
      </c>
      <c r="F333" s="811" t="s">
        <v>1685</v>
      </c>
      <c r="G333" s="811" t="s">
        <v>1652</v>
      </c>
      <c r="H333" s="811" t="s">
        <v>1653</v>
      </c>
      <c r="I333" s="811" t="s">
        <v>1654</v>
      </c>
      <c r="J333" s="813">
        <v>51586233</v>
      </c>
      <c r="K333" s="811" t="s">
        <v>1655</v>
      </c>
      <c r="L333" s="811" t="s">
        <v>1212</v>
      </c>
      <c r="M333" s="811" t="s">
        <v>1635</v>
      </c>
      <c r="N333" s="811" t="s">
        <v>1635</v>
      </c>
      <c r="O333" s="811" t="s">
        <v>1704</v>
      </c>
      <c r="P333" s="811" t="s">
        <v>1657</v>
      </c>
      <c r="Q333" s="811" t="s">
        <v>1705</v>
      </c>
    </row>
    <row r="334" spans="1:17" x14ac:dyDescent="0.25">
      <c r="A334" s="811" t="s">
        <v>1649</v>
      </c>
      <c r="B334" s="811" t="s">
        <v>2059</v>
      </c>
      <c r="C334" s="812">
        <v>28200000</v>
      </c>
      <c r="D334" s="811" t="s">
        <v>1453</v>
      </c>
      <c r="E334" s="811" t="s">
        <v>1453</v>
      </c>
      <c r="F334" s="811" t="s">
        <v>1662</v>
      </c>
      <c r="G334" s="811" t="s">
        <v>1652</v>
      </c>
      <c r="H334" s="811" t="s">
        <v>1653</v>
      </c>
      <c r="I334" s="811" t="s">
        <v>1654</v>
      </c>
      <c r="J334" s="813">
        <v>28200000</v>
      </c>
      <c r="K334" s="811" t="s">
        <v>1655</v>
      </c>
      <c r="L334" s="811" t="s">
        <v>1212</v>
      </c>
      <c r="M334" s="811" t="s">
        <v>1635</v>
      </c>
      <c r="N334" s="811" t="s">
        <v>1635</v>
      </c>
      <c r="O334" s="811" t="s">
        <v>1704</v>
      </c>
      <c r="P334" s="811" t="s">
        <v>1657</v>
      </c>
      <c r="Q334" s="811" t="s">
        <v>1705</v>
      </c>
    </row>
    <row r="335" spans="1:17" x14ac:dyDescent="0.25">
      <c r="A335" s="811" t="s">
        <v>1649</v>
      </c>
      <c r="B335" s="811" t="s">
        <v>2060</v>
      </c>
      <c r="C335" s="812">
        <v>39500000</v>
      </c>
      <c r="D335" s="811" t="s">
        <v>1449</v>
      </c>
      <c r="E335" s="811" t="s">
        <v>1449</v>
      </c>
      <c r="F335" s="811" t="s">
        <v>1685</v>
      </c>
      <c r="G335" s="811" t="s">
        <v>1652</v>
      </c>
      <c r="H335" s="811" t="s">
        <v>1653</v>
      </c>
      <c r="I335" s="811" t="s">
        <v>1654</v>
      </c>
      <c r="J335" s="813">
        <v>39500000</v>
      </c>
      <c r="K335" s="811" t="s">
        <v>1655</v>
      </c>
      <c r="L335" s="811" t="s">
        <v>1212</v>
      </c>
      <c r="M335" s="811" t="s">
        <v>1635</v>
      </c>
      <c r="N335" s="811" t="s">
        <v>1635</v>
      </c>
      <c r="O335" s="811" t="s">
        <v>1769</v>
      </c>
      <c r="P335" s="811" t="s">
        <v>1657</v>
      </c>
      <c r="Q335" s="811" t="s">
        <v>1705</v>
      </c>
    </row>
    <row r="336" spans="1:17" x14ac:dyDescent="0.25">
      <c r="A336" s="811" t="s">
        <v>1649</v>
      </c>
      <c r="B336" s="811" t="s">
        <v>2061</v>
      </c>
      <c r="C336" s="812">
        <v>27000000</v>
      </c>
      <c r="D336" s="811" t="s">
        <v>1445</v>
      </c>
      <c r="E336" s="811" t="s">
        <v>1445</v>
      </c>
      <c r="F336" s="811" t="s">
        <v>1666</v>
      </c>
      <c r="G336" s="811" t="s">
        <v>1652</v>
      </c>
      <c r="H336" s="811" t="s">
        <v>1653</v>
      </c>
      <c r="I336" s="811" t="s">
        <v>1654</v>
      </c>
      <c r="J336" s="813">
        <v>27000000</v>
      </c>
      <c r="K336" s="811" t="s">
        <v>1655</v>
      </c>
      <c r="L336" s="811" t="s">
        <v>1212</v>
      </c>
      <c r="M336" s="811" t="s">
        <v>1635</v>
      </c>
      <c r="N336" s="811" t="s">
        <v>1635</v>
      </c>
      <c r="O336" s="811" t="s">
        <v>1769</v>
      </c>
      <c r="P336" s="811" t="s">
        <v>1657</v>
      </c>
      <c r="Q336" s="811" t="s">
        <v>1705</v>
      </c>
    </row>
    <row r="337" spans="1:17" x14ac:dyDescent="0.25">
      <c r="A337" s="811" t="s">
        <v>1649</v>
      </c>
      <c r="B337" s="811" t="s">
        <v>2062</v>
      </c>
      <c r="C337" s="812">
        <v>38377800</v>
      </c>
      <c r="D337" s="811" t="s">
        <v>1449</v>
      </c>
      <c r="E337" s="811" t="s">
        <v>1449</v>
      </c>
      <c r="F337" s="811" t="s">
        <v>1651</v>
      </c>
      <c r="G337" s="811" t="s">
        <v>1652</v>
      </c>
      <c r="H337" s="811" t="s">
        <v>1653</v>
      </c>
      <c r="I337" s="811" t="s">
        <v>1654</v>
      </c>
      <c r="J337" s="813">
        <v>38377800</v>
      </c>
      <c r="K337" s="811" t="s">
        <v>1655</v>
      </c>
      <c r="L337" s="811" t="s">
        <v>1212</v>
      </c>
      <c r="M337" s="811" t="s">
        <v>1635</v>
      </c>
      <c r="N337" s="811" t="s">
        <v>1635</v>
      </c>
      <c r="O337" s="811" t="s">
        <v>1699</v>
      </c>
      <c r="P337" s="811" t="s">
        <v>1657</v>
      </c>
      <c r="Q337" s="811" t="s">
        <v>1700</v>
      </c>
    </row>
    <row r="338" spans="1:17" x14ac:dyDescent="0.25">
      <c r="A338" s="811" t="s">
        <v>1649</v>
      </c>
      <c r="B338" s="811" t="s">
        <v>2063</v>
      </c>
      <c r="C338" s="812">
        <v>32706000</v>
      </c>
      <c r="D338" s="811" t="s">
        <v>1440</v>
      </c>
      <c r="E338" s="811" t="s">
        <v>1449</v>
      </c>
      <c r="F338" s="811" t="s">
        <v>1651</v>
      </c>
      <c r="G338" s="811" t="s">
        <v>1652</v>
      </c>
      <c r="H338" s="811" t="s">
        <v>1653</v>
      </c>
      <c r="I338" s="811" t="s">
        <v>1654</v>
      </c>
      <c r="J338" s="813">
        <v>32706000</v>
      </c>
      <c r="K338" s="811" t="s">
        <v>1655</v>
      </c>
      <c r="L338" s="811" t="s">
        <v>1212</v>
      </c>
      <c r="M338" s="811" t="s">
        <v>1635</v>
      </c>
      <c r="N338" s="811" t="s">
        <v>1635</v>
      </c>
      <c r="O338" s="811" t="s">
        <v>1699</v>
      </c>
      <c r="P338" s="811" t="s">
        <v>1657</v>
      </c>
      <c r="Q338" s="811" t="s">
        <v>1700</v>
      </c>
    </row>
    <row r="339" spans="1:17" x14ac:dyDescent="0.25">
      <c r="A339" s="811" t="s">
        <v>1649</v>
      </c>
      <c r="B339" s="811" t="s">
        <v>2064</v>
      </c>
      <c r="C339" s="812">
        <v>37612975</v>
      </c>
      <c r="D339" s="811" t="s">
        <v>1449</v>
      </c>
      <c r="E339" s="811" t="s">
        <v>1449</v>
      </c>
      <c r="F339" s="811" t="s">
        <v>1666</v>
      </c>
      <c r="G339" s="811" t="s">
        <v>1652</v>
      </c>
      <c r="H339" s="811" t="s">
        <v>1653</v>
      </c>
      <c r="I339" s="811" t="s">
        <v>1654</v>
      </c>
      <c r="J339" s="813">
        <v>37612975</v>
      </c>
      <c r="K339" s="811" t="s">
        <v>1655</v>
      </c>
      <c r="L339" s="811" t="s">
        <v>1212</v>
      </c>
      <c r="M339" s="811" t="s">
        <v>1635</v>
      </c>
      <c r="N339" s="811" t="s">
        <v>1635</v>
      </c>
      <c r="O339" s="811" t="s">
        <v>1845</v>
      </c>
      <c r="P339" s="811" t="s">
        <v>1657</v>
      </c>
      <c r="Q339" s="811" t="s">
        <v>1710</v>
      </c>
    </row>
    <row r="340" spans="1:17" x14ac:dyDescent="0.25">
      <c r="A340" s="811" t="s">
        <v>1649</v>
      </c>
      <c r="B340" s="811" t="s">
        <v>2065</v>
      </c>
      <c r="C340" s="812">
        <v>18568000</v>
      </c>
      <c r="D340" s="811" t="s">
        <v>1449</v>
      </c>
      <c r="E340" s="811" t="s">
        <v>1449</v>
      </c>
      <c r="F340" s="811" t="s">
        <v>1651</v>
      </c>
      <c r="G340" s="811" t="s">
        <v>1652</v>
      </c>
      <c r="H340" s="811" t="s">
        <v>1653</v>
      </c>
      <c r="I340" s="811" t="s">
        <v>1654</v>
      </c>
      <c r="J340" s="813">
        <v>18568000</v>
      </c>
      <c r="K340" s="811" t="s">
        <v>1655</v>
      </c>
      <c r="L340" s="811" t="s">
        <v>1212</v>
      </c>
      <c r="M340" s="811" t="s">
        <v>1635</v>
      </c>
      <c r="N340" s="811" t="s">
        <v>1635</v>
      </c>
      <c r="O340" s="811" t="s">
        <v>1729</v>
      </c>
      <c r="P340" s="811" t="s">
        <v>1657</v>
      </c>
      <c r="Q340" s="811" t="s">
        <v>1664</v>
      </c>
    </row>
    <row r="341" spans="1:17" x14ac:dyDescent="0.25">
      <c r="A341" s="811" t="s">
        <v>1649</v>
      </c>
      <c r="B341" s="811" t="s">
        <v>2066</v>
      </c>
      <c r="C341" s="812">
        <v>68000000</v>
      </c>
      <c r="D341" s="811" t="s">
        <v>1449</v>
      </c>
      <c r="E341" s="811" t="s">
        <v>1449</v>
      </c>
      <c r="F341" s="811" t="s">
        <v>1651</v>
      </c>
      <c r="G341" s="811" t="s">
        <v>1652</v>
      </c>
      <c r="H341" s="811" t="s">
        <v>1653</v>
      </c>
      <c r="I341" s="811" t="s">
        <v>1654</v>
      </c>
      <c r="J341" s="813">
        <v>68000000</v>
      </c>
      <c r="K341" s="811" t="s">
        <v>1655</v>
      </c>
      <c r="L341" s="811" t="s">
        <v>1212</v>
      </c>
      <c r="M341" s="811" t="s">
        <v>1635</v>
      </c>
      <c r="N341" s="811" t="s">
        <v>1635</v>
      </c>
      <c r="O341" s="811" t="s">
        <v>1729</v>
      </c>
      <c r="P341" s="811" t="s">
        <v>1657</v>
      </c>
      <c r="Q341" s="811" t="s">
        <v>1664</v>
      </c>
    </row>
    <row r="342" spans="1:17" x14ac:dyDescent="0.25">
      <c r="A342" s="811" t="s">
        <v>1649</v>
      </c>
      <c r="B342" s="811" t="s">
        <v>2067</v>
      </c>
      <c r="C342" s="812">
        <v>36000000</v>
      </c>
      <c r="D342" s="811" t="s">
        <v>1449</v>
      </c>
      <c r="E342" s="811" t="s">
        <v>1449</v>
      </c>
      <c r="F342" s="811" t="s">
        <v>1651</v>
      </c>
      <c r="G342" s="811" t="s">
        <v>1652</v>
      </c>
      <c r="H342" s="811" t="s">
        <v>1653</v>
      </c>
      <c r="I342" s="811" t="s">
        <v>1654</v>
      </c>
      <c r="J342" s="813">
        <v>36000000</v>
      </c>
      <c r="K342" s="811" t="s">
        <v>1655</v>
      </c>
      <c r="L342" s="811" t="s">
        <v>1212</v>
      </c>
      <c r="M342" s="811" t="s">
        <v>1635</v>
      </c>
      <c r="N342" s="811" t="s">
        <v>1635</v>
      </c>
      <c r="O342" s="811" t="s">
        <v>1729</v>
      </c>
      <c r="P342" s="811" t="s">
        <v>1657</v>
      </c>
      <c r="Q342" s="811" t="s">
        <v>1664</v>
      </c>
    </row>
    <row r="343" spans="1:17" x14ac:dyDescent="0.25">
      <c r="A343" s="811" t="s">
        <v>1649</v>
      </c>
      <c r="B343" s="811" t="s">
        <v>2068</v>
      </c>
      <c r="C343" s="812">
        <v>60000000</v>
      </c>
      <c r="D343" s="811" t="s">
        <v>1449</v>
      </c>
      <c r="E343" s="811" t="s">
        <v>1449</v>
      </c>
      <c r="F343" s="811" t="s">
        <v>1651</v>
      </c>
      <c r="G343" s="811" t="s">
        <v>1652</v>
      </c>
      <c r="H343" s="811" t="s">
        <v>1653</v>
      </c>
      <c r="I343" s="811" t="s">
        <v>1654</v>
      </c>
      <c r="J343" s="813">
        <v>60000000</v>
      </c>
      <c r="K343" s="811" t="s">
        <v>1655</v>
      </c>
      <c r="L343" s="811" t="s">
        <v>1212</v>
      </c>
      <c r="M343" s="811" t="s">
        <v>1635</v>
      </c>
      <c r="N343" s="811" t="s">
        <v>1635</v>
      </c>
      <c r="O343" s="811" t="s">
        <v>1729</v>
      </c>
      <c r="P343" s="811" t="s">
        <v>1657</v>
      </c>
      <c r="Q343" s="811" t="s">
        <v>1664</v>
      </c>
    </row>
    <row r="344" spans="1:17" x14ac:dyDescent="0.25">
      <c r="A344" s="811" t="s">
        <v>1649</v>
      </c>
      <c r="B344" s="811" t="s">
        <v>2069</v>
      </c>
      <c r="C344" s="812">
        <v>24000000</v>
      </c>
      <c r="D344" s="811" t="s">
        <v>1449</v>
      </c>
      <c r="E344" s="811" t="s">
        <v>1449</v>
      </c>
      <c r="F344" s="811" t="s">
        <v>1651</v>
      </c>
      <c r="G344" s="811" t="s">
        <v>1652</v>
      </c>
      <c r="H344" s="811" t="s">
        <v>1653</v>
      </c>
      <c r="I344" s="811" t="s">
        <v>1654</v>
      </c>
      <c r="J344" s="813">
        <v>24000000</v>
      </c>
      <c r="K344" s="811" t="s">
        <v>1655</v>
      </c>
      <c r="L344" s="811" t="s">
        <v>1212</v>
      </c>
      <c r="M344" s="811" t="s">
        <v>1635</v>
      </c>
      <c r="N344" s="811" t="s">
        <v>1635</v>
      </c>
      <c r="O344" s="811" t="s">
        <v>1729</v>
      </c>
      <c r="P344" s="811" t="s">
        <v>1657</v>
      </c>
      <c r="Q344" s="811" t="s">
        <v>1664</v>
      </c>
    </row>
    <row r="345" spans="1:17" x14ac:dyDescent="0.25">
      <c r="A345" s="811" t="s">
        <v>1649</v>
      </c>
      <c r="B345" s="811" t="s">
        <v>2070</v>
      </c>
      <c r="C345" s="812">
        <v>56000000</v>
      </c>
      <c r="D345" s="811" t="s">
        <v>1449</v>
      </c>
      <c r="E345" s="811" t="s">
        <v>1449</v>
      </c>
      <c r="F345" s="811" t="s">
        <v>1651</v>
      </c>
      <c r="G345" s="811" t="s">
        <v>1652</v>
      </c>
      <c r="H345" s="811" t="s">
        <v>1653</v>
      </c>
      <c r="I345" s="811" t="s">
        <v>1654</v>
      </c>
      <c r="J345" s="813">
        <v>56000000</v>
      </c>
      <c r="K345" s="811" t="s">
        <v>1655</v>
      </c>
      <c r="L345" s="811" t="s">
        <v>1212</v>
      </c>
      <c r="M345" s="811" t="s">
        <v>1635</v>
      </c>
      <c r="N345" s="811" t="s">
        <v>1635</v>
      </c>
      <c r="O345" s="811" t="s">
        <v>1729</v>
      </c>
      <c r="P345" s="811" t="s">
        <v>1657</v>
      </c>
      <c r="Q345" s="811" t="s">
        <v>1664</v>
      </c>
    </row>
    <row r="346" spans="1:17" x14ac:dyDescent="0.25">
      <c r="A346" s="811" t="s">
        <v>1649</v>
      </c>
      <c r="B346" s="811" t="s">
        <v>2071</v>
      </c>
      <c r="C346" s="812">
        <v>39975144</v>
      </c>
      <c r="D346" s="811" t="s">
        <v>1449</v>
      </c>
      <c r="E346" s="811" t="s">
        <v>1449</v>
      </c>
      <c r="F346" s="811" t="s">
        <v>1651</v>
      </c>
      <c r="G346" s="811" t="s">
        <v>1652</v>
      </c>
      <c r="H346" s="811" t="s">
        <v>1653</v>
      </c>
      <c r="I346" s="811" t="s">
        <v>1654</v>
      </c>
      <c r="J346" s="813">
        <v>39975144</v>
      </c>
      <c r="K346" s="811" t="s">
        <v>1655</v>
      </c>
      <c r="L346" s="811" t="s">
        <v>1212</v>
      </c>
      <c r="M346" s="811" t="s">
        <v>1635</v>
      </c>
      <c r="N346" s="811" t="s">
        <v>1635</v>
      </c>
      <c r="O346" s="811" t="s">
        <v>1729</v>
      </c>
      <c r="P346" s="811" t="s">
        <v>1657</v>
      </c>
      <c r="Q346" s="811" t="s">
        <v>1664</v>
      </c>
    </row>
    <row r="347" spans="1:17" x14ac:dyDescent="0.25">
      <c r="A347" s="811" t="s">
        <v>1649</v>
      </c>
      <c r="B347" s="811" t="s">
        <v>2072</v>
      </c>
      <c r="C347" s="812">
        <v>64000000</v>
      </c>
      <c r="D347" s="811" t="s">
        <v>1449</v>
      </c>
      <c r="E347" s="811" t="s">
        <v>1449</v>
      </c>
      <c r="F347" s="811" t="s">
        <v>1651</v>
      </c>
      <c r="G347" s="811" t="s">
        <v>1652</v>
      </c>
      <c r="H347" s="811" t="s">
        <v>1653</v>
      </c>
      <c r="I347" s="811" t="s">
        <v>1654</v>
      </c>
      <c r="J347" s="813">
        <v>64000000</v>
      </c>
      <c r="K347" s="811" t="s">
        <v>1655</v>
      </c>
      <c r="L347" s="811" t="s">
        <v>1212</v>
      </c>
      <c r="M347" s="811" t="s">
        <v>1635</v>
      </c>
      <c r="N347" s="811" t="s">
        <v>1635</v>
      </c>
      <c r="O347" s="811" t="s">
        <v>1729</v>
      </c>
      <c r="P347" s="811" t="s">
        <v>1657</v>
      </c>
      <c r="Q347" s="811" t="s">
        <v>1664</v>
      </c>
    </row>
    <row r="348" spans="1:17" x14ac:dyDescent="0.25">
      <c r="A348" s="811" t="s">
        <v>1649</v>
      </c>
      <c r="B348" s="811" t="s">
        <v>2073</v>
      </c>
      <c r="C348" s="812">
        <v>84000000</v>
      </c>
      <c r="D348" s="811" t="s">
        <v>1449</v>
      </c>
      <c r="E348" s="811" t="s">
        <v>1449</v>
      </c>
      <c r="F348" s="811" t="s">
        <v>1651</v>
      </c>
      <c r="G348" s="811" t="s">
        <v>1652</v>
      </c>
      <c r="H348" s="811" t="s">
        <v>1653</v>
      </c>
      <c r="I348" s="811" t="s">
        <v>1654</v>
      </c>
      <c r="J348" s="813">
        <v>84000000</v>
      </c>
      <c r="K348" s="811" t="s">
        <v>1655</v>
      </c>
      <c r="L348" s="811" t="s">
        <v>1212</v>
      </c>
      <c r="M348" s="811" t="s">
        <v>1635</v>
      </c>
      <c r="N348" s="811" t="s">
        <v>1635</v>
      </c>
      <c r="O348" s="811" t="s">
        <v>1729</v>
      </c>
      <c r="P348" s="811" t="s">
        <v>1657</v>
      </c>
      <c r="Q348" s="811" t="s">
        <v>1664</v>
      </c>
    </row>
    <row r="349" spans="1:17" x14ac:dyDescent="0.25">
      <c r="A349" s="811" t="s">
        <v>1649</v>
      </c>
      <c r="B349" s="811" t="s">
        <v>2074</v>
      </c>
      <c r="C349" s="812">
        <v>16353468</v>
      </c>
      <c r="D349" s="811" t="s">
        <v>1449</v>
      </c>
      <c r="E349" s="811" t="s">
        <v>1449</v>
      </c>
      <c r="F349" s="811" t="s">
        <v>1718</v>
      </c>
      <c r="G349" s="811" t="s">
        <v>1652</v>
      </c>
      <c r="H349" s="811" t="s">
        <v>1653</v>
      </c>
      <c r="I349" s="811" t="s">
        <v>1654</v>
      </c>
      <c r="J349" s="813">
        <v>16353468</v>
      </c>
      <c r="K349" s="811" t="s">
        <v>1655</v>
      </c>
      <c r="L349" s="811" t="s">
        <v>1212</v>
      </c>
      <c r="M349" s="811" t="s">
        <v>1635</v>
      </c>
      <c r="N349" s="811" t="s">
        <v>1635</v>
      </c>
      <c r="O349" s="811" t="s">
        <v>1729</v>
      </c>
      <c r="P349" s="811" t="s">
        <v>1657</v>
      </c>
      <c r="Q349" s="811" t="s">
        <v>1664</v>
      </c>
    </row>
    <row r="350" spans="1:17" x14ac:dyDescent="0.25">
      <c r="A350" s="811" t="s">
        <v>1649</v>
      </c>
      <c r="B350" s="811" t="s">
        <v>2075</v>
      </c>
      <c r="C350" s="812">
        <v>46400000</v>
      </c>
      <c r="D350" s="811" t="s">
        <v>1449</v>
      </c>
      <c r="E350" s="811" t="s">
        <v>1449</v>
      </c>
      <c r="F350" s="811" t="s">
        <v>1651</v>
      </c>
      <c r="G350" s="811" t="s">
        <v>1652</v>
      </c>
      <c r="H350" s="811" t="s">
        <v>1653</v>
      </c>
      <c r="I350" s="811" t="s">
        <v>1654</v>
      </c>
      <c r="J350" s="813">
        <v>46400000</v>
      </c>
      <c r="K350" s="811" t="s">
        <v>1655</v>
      </c>
      <c r="L350" s="811" t="s">
        <v>1212</v>
      </c>
      <c r="M350" s="811" t="s">
        <v>1635</v>
      </c>
      <c r="N350" s="811" t="s">
        <v>1635</v>
      </c>
      <c r="O350" s="811" t="s">
        <v>1729</v>
      </c>
      <c r="P350" s="811" t="s">
        <v>1657</v>
      </c>
      <c r="Q350" s="811" t="s">
        <v>1664</v>
      </c>
    </row>
    <row r="351" spans="1:17" x14ac:dyDescent="0.25">
      <c r="A351" s="811" t="s">
        <v>1649</v>
      </c>
      <c r="B351" s="811" t="s">
        <v>2076</v>
      </c>
      <c r="C351" s="812">
        <v>64000000</v>
      </c>
      <c r="D351" s="811" t="s">
        <v>1449</v>
      </c>
      <c r="E351" s="811" t="s">
        <v>1449</v>
      </c>
      <c r="F351" s="811" t="s">
        <v>1651</v>
      </c>
      <c r="G351" s="811" t="s">
        <v>1652</v>
      </c>
      <c r="H351" s="811" t="s">
        <v>1653</v>
      </c>
      <c r="I351" s="811" t="s">
        <v>1654</v>
      </c>
      <c r="J351" s="813">
        <v>64000000</v>
      </c>
      <c r="K351" s="811" t="s">
        <v>1655</v>
      </c>
      <c r="L351" s="811" t="s">
        <v>1212</v>
      </c>
      <c r="M351" s="811" t="s">
        <v>1635</v>
      </c>
      <c r="N351" s="811" t="s">
        <v>1635</v>
      </c>
      <c r="O351" s="811" t="s">
        <v>1729</v>
      </c>
      <c r="P351" s="811" t="s">
        <v>1657</v>
      </c>
      <c r="Q351" s="811" t="s">
        <v>1664</v>
      </c>
    </row>
    <row r="352" spans="1:17" x14ac:dyDescent="0.25">
      <c r="A352" s="811" t="s">
        <v>1649</v>
      </c>
      <c r="B352" s="811" t="s">
        <v>2077</v>
      </c>
      <c r="C352" s="812">
        <v>44000000</v>
      </c>
      <c r="D352" s="811" t="s">
        <v>1449</v>
      </c>
      <c r="E352" s="811" t="s">
        <v>1449</v>
      </c>
      <c r="F352" s="811" t="s">
        <v>1651</v>
      </c>
      <c r="G352" s="811" t="s">
        <v>1652</v>
      </c>
      <c r="H352" s="811" t="s">
        <v>1653</v>
      </c>
      <c r="I352" s="811" t="s">
        <v>1654</v>
      </c>
      <c r="J352" s="813">
        <v>44000000</v>
      </c>
      <c r="K352" s="811" t="s">
        <v>1655</v>
      </c>
      <c r="L352" s="811" t="s">
        <v>1212</v>
      </c>
      <c r="M352" s="811" t="s">
        <v>1635</v>
      </c>
      <c r="N352" s="811" t="s">
        <v>1635</v>
      </c>
      <c r="O352" s="811" t="s">
        <v>1729</v>
      </c>
      <c r="P352" s="811" t="s">
        <v>1657</v>
      </c>
      <c r="Q352" s="811" t="s">
        <v>1664</v>
      </c>
    </row>
    <row r="353" spans="1:17" x14ac:dyDescent="0.25">
      <c r="A353" s="811" t="s">
        <v>1649</v>
      </c>
      <c r="B353" s="811" t="s">
        <v>2078</v>
      </c>
      <c r="C353" s="812">
        <v>64000000</v>
      </c>
      <c r="D353" s="811" t="s">
        <v>1449</v>
      </c>
      <c r="E353" s="811" t="s">
        <v>1449</v>
      </c>
      <c r="F353" s="811" t="s">
        <v>1651</v>
      </c>
      <c r="G353" s="811" t="s">
        <v>1652</v>
      </c>
      <c r="H353" s="811" t="s">
        <v>1653</v>
      </c>
      <c r="I353" s="811" t="s">
        <v>1654</v>
      </c>
      <c r="J353" s="813">
        <v>64000000</v>
      </c>
      <c r="K353" s="811" t="s">
        <v>1655</v>
      </c>
      <c r="L353" s="811" t="s">
        <v>1212</v>
      </c>
      <c r="M353" s="811" t="s">
        <v>1635</v>
      </c>
      <c r="N353" s="811" t="s">
        <v>1635</v>
      </c>
      <c r="O353" s="811" t="s">
        <v>1729</v>
      </c>
      <c r="P353" s="811" t="s">
        <v>1657</v>
      </c>
      <c r="Q353" s="811" t="s">
        <v>1664</v>
      </c>
    </row>
    <row r="354" spans="1:17" x14ac:dyDescent="0.25">
      <c r="A354" s="811" t="s">
        <v>1649</v>
      </c>
      <c r="B354" s="811" t="s">
        <v>1687</v>
      </c>
      <c r="C354" s="812">
        <v>43780000</v>
      </c>
      <c r="D354" s="811" t="s">
        <v>1449</v>
      </c>
      <c r="E354" s="811" t="s">
        <v>1449</v>
      </c>
      <c r="F354" s="811" t="s">
        <v>1672</v>
      </c>
      <c r="G354" s="811" t="s">
        <v>1652</v>
      </c>
      <c r="H354" s="811" t="s">
        <v>1653</v>
      </c>
      <c r="I354" s="811" t="s">
        <v>1654</v>
      </c>
      <c r="J354" s="813">
        <v>43780000</v>
      </c>
      <c r="K354" s="811" t="s">
        <v>1655</v>
      </c>
      <c r="L354" s="811" t="s">
        <v>1212</v>
      </c>
      <c r="M354" s="811" t="s">
        <v>1635</v>
      </c>
      <c r="N354" s="811" t="s">
        <v>1635</v>
      </c>
      <c r="O354" s="811" t="s">
        <v>1759</v>
      </c>
      <c r="P354" s="811" t="s">
        <v>1760</v>
      </c>
      <c r="Q354" s="811" t="s">
        <v>1658</v>
      </c>
    </row>
    <row r="355" spans="1:17" x14ac:dyDescent="0.25">
      <c r="A355" s="811" t="s">
        <v>1649</v>
      </c>
      <c r="B355" s="811" t="s">
        <v>2079</v>
      </c>
      <c r="C355" s="812">
        <v>43780000</v>
      </c>
      <c r="D355" s="811" t="s">
        <v>1449</v>
      </c>
      <c r="E355" s="811" t="s">
        <v>1449</v>
      </c>
      <c r="F355" s="811" t="s">
        <v>1689</v>
      </c>
      <c r="G355" s="811" t="s">
        <v>1652</v>
      </c>
      <c r="H355" s="811" t="s">
        <v>1653</v>
      </c>
      <c r="I355" s="811" t="s">
        <v>1654</v>
      </c>
      <c r="J355" s="813">
        <v>43780000</v>
      </c>
      <c r="K355" s="811" t="s">
        <v>1655</v>
      </c>
      <c r="L355" s="811" t="s">
        <v>1212</v>
      </c>
      <c r="M355" s="811" t="s">
        <v>1635</v>
      </c>
      <c r="N355" s="811" t="s">
        <v>1635</v>
      </c>
      <c r="O355" s="811" t="s">
        <v>1759</v>
      </c>
      <c r="P355" s="811" t="s">
        <v>1760</v>
      </c>
      <c r="Q355" s="811" t="s">
        <v>1658</v>
      </c>
    </row>
    <row r="356" spans="1:17" x14ac:dyDescent="0.25">
      <c r="A356" s="811" t="s">
        <v>1649</v>
      </c>
      <c r="B356" s="811" t="s">
        <v>2080</v>
      </c>
      <c r="C356" s="812">
        <v>52800000</v>
      </c>
      <c r="D356" s="811" t="s">
        <v>1449</v>
      </c>
      <c r="E356" s="811" t="s">
        <v>1449</v>
      </c>
      <c r="F356" s="811" t="s">
        <v>1672</v>
      </c>
      <c r="G356" s="811" t="s">
        <v>1652</v>
      </c>
      <c r="H356" s="811" t="s">
        <v>1653</v>
      </c>
      <c r="I356" s="811" t="s">
        <v>1654</v>
      </c>
      <c r="J356" s="813">
        <v>52800000</v>
      </c>
      <c r="K356" s="811" t="s">
        <v>1655</v>
      </c>
      <c r="L356" s="811" t="s">
        <v>1212</v>
      </c>
      <c r="M356" s="811" t="s">
        <v>1635</v>
      </c>
      <c r="N356" s="811" t="s">
        <v>1635</v>
      </c>
      <c r="O356" s="811" t="s">
        <v>1759</v>
      </c>
      <c r="P356" s="811" t="s">
        <v>1760</v>
      </c>
      <c r="Q356" s="811" t="s">
        <v>1658</v>
      </c>
    </row>
    <row r="357" spans="1:17" x14ac:dyDescent="0.25">
      <c r="A357" s="811" t="s">
        <v>1649</v>
      </c>
      <c r="B357" s="811" t="s">
        <v>2081</v>
      </c>
      <c r="C357" s="812">
        <v>43780000</v>
      </c>
      <c r="D357" s="811" t="s">
        <v>1449</v>
      </c>
      <c r="E357" s="811" t="s">
        <v>1449</v>
      </c>
      <c r="F357" s="811" t="s">
        <v>1672</v>
      </c>
      <c r="G357" s="811" t="s">
        <v>1652</v>
      </c>
      <c r="H357" s="811" t="s">
        <v>1653</v>
      </c>
      <c r="I357" s="811" t="s">
        <v>1654</v>
      </c>
      <c r="J357" s="813">
        <v>43780000</v>
      </c>
      <c r="K357" s="811" t="s">
        <v>1655</v>
      </c>
      <c r="L357" s="811" t="s">
        <v>1212</v>
      </c>
      <c r="M357" s="811" t="s">
        <v>1635</v>
      </c>
      <c r="N357" s="811" t="s">
        <v>1635</v>
      </c>
      <c r="O357" s="811" t="s">
        <v>1759</v>
      </c>
      <c r="P357" s="811" t="s">
        <v>1760</v>
      </c>
      <c r="Q357" s="811" t="s">
        <v>1658</v>
      </c>
    </row>
    <row r="358" spans="1:17" x14ac:dyDescent="0.25">
      <c r="A358" s="811" t="s">
        <v>1649</v>
      </c>
      <c r="B358" s="811" t="s">
        <v>2082</v>
      </c>
      <c r="C358" s="812">
        <v>48400000</v>
      </c>
      <c r="D358" s="811" t="s">
        <v>1449</v>
      </c>
      <c r="E358" s="811" t="s">
        <v>1449</v>
      </c>
      <c r="F358" s="811" t="s">
        <v>1689</v>
      </c>
      <c r="G358" s="811" t="s">
        <v>1652</v>
      </c>
      <c r="H358" s="811" t="s">
        <v>1653</v>
      </c>
      <c r="I358" s="811" t="s">
        <v>1654</v>
      </c>
      <c r="J358" s="813">
        <v>48400000</v>
      </c>
      <c r="K358" s="811" t="s">
        <v>1655</v>
      </c>
      <c r="L358" s="811" t="s">
        <v>1212</v>
      </c>
      <c r="M358" s="811" t="s">
        <v>1635</v>
      </c>
      <c r="N358" s="811" t="s">
        <v>1635</v>
      </c>
      <c r="O358" s="811" t="s">
        <v>1759</v>
      </c>
      <c r="P358" s="811" t="s">
        <v>1760</v>
      </c>
      <c r="Q358" s="811" t="s">
        <v>1658</v>
      </c>
    </row>
    <row r="359" spans="1:17" x14ac:dyDescent="0.25">
      <c r="A359" s="811" t="s">
        <v>1649</v>
      </c>
      <c r="B359" s="811" t="s">
        <v>2083</v>
      </c>
      <c r="C359" s="812">
        <v>64900000</v>
      </c>
      <c r="D359" s="811" t="s">
        <v>1449</v>
      </c>
      <c r="E359" s="811" t="s">
        <v>1449</v>
      </c>
      <c r="F359" s="811" t="s">
        <v>1689</v>
      </c>
      <c r="G359" s="811" t="s">
        <v>1652</v>
      </c>
      <c r="H359" s="811" t="s">
        <v>1653</v>
      </c>
      <c r="I359" s="811" t="s">
        <v>1654</v>
      </c>
      <c r="J359" s="813">
        <v>64900000</v>
      </c>
      <c r="K359" s="811" t="s">
        <v>1655</v>
      </c>
      <c r="L359" s="811" t="s">
        <v>1212</v>
      </c>
      <c r="M359" s="811" t="s">
        <v>1635</v>
      </c>
      <c r="N359" s="811" t="s">
        <v>1635</v>
      </c>
      <c r="O359" s="811" t="s">
        <v>1759</v>
      </c>
      <c r="P359" s="811" t="s">
        <v>1760</v>
      </c>
      <c r="Q359" s="811" t="s">
        <v>1658</v>
      </c>
    </row>
    <row r="360" spans="1:17" x14ac:dyDescent="0.25">
      <c r="A360" s="811" t="s">
        <v>1649</v>
      </c>
      <c r="B360" s="811" t="s">
        <v>2084</v>
      </c>
      <c r="C360" s="812">
        <v>31600000</v>
      </c>
      <c r="D360" s="811" t="s">
        <v>1449</v>
      </c>
      <c r="E360" s="811" t="s">
        <v>1449</v>
      </c>
      <c r="F360" s="811" t="s">
        <v>1685</v>
      </c>
      <c r="G360" s="811" t="s">
        <v>1652</v>
      </c>
      <c r="H360" s="811" t="s">
        <v>1653</v>
      </c>
      <c r="I360" s="811" t="s">
        <v>1654</v>
      </c>
      <c r="J360" s="813">
        <v>31600000</v>
      </c>
      <c r="K360" s="811" t="s">
        <v>1655</v>
      </c>
      <c r="L360" s="811" t="s">
        <v>1212</v>
      </c>
      <c r="M360" s="811" t="s">
        <v>1635</v>
      </c>
      <c r="N360" s="811" t="s">
        <v>1635</v>
      </c>
      <c r="O360" s="811" t="s">
        <v>1769</v>
      </c>
      <c r="P360" s="811" t="s">
        <v>1657</v>
      </c>
      <c r="Q360" s="811" t="s">
        <v>1705</v>
      </c>
    </row>
    <row r="361" spans="1:17" x14ac:dyDescent="0.25">
      <c r="A361" s="811" t="s">
        <v>1649</v>
      </c>
      <c r="B361" s="811" t="s">
        <v>2085</v>
      </c>
      <c r="C361" s="812">
        <v>64900000</v>
      </c>
      <c r="D361" s="811" t="s">
        <v>1449</v>
      </c>
      <c r="E361" s="811" t="s">
        <v>1449</v>
      </c>
      <c r="F361" s="811" t="s">
        <v>1689</v>
      </c>
      <c r="G361" s="811" t="s">
        <v>1652</v>
      </c>
      <c r="H361" s="811" t="s">
        <v>1653</v>
      </c>
      <c r="I361" s="811" t="s">
        <v>1654</v>
      </c>
      <c r="J361" s="813">
        <v>64900000</v>
      </c>
      <c r="K361" s="811" t="s">
        <v>1655</v>
      </c>
      <c r="L361" s="811" t="s">
        <v>1212</v>
      </c>
      <c r="M361" s="811" t="s">
        <v>1635</v>
      </c>
      <c r="N361" s="811" t="s">
        <v>1635</v>
      </c>
      <c r="O361" s="811" t="s">
        <v>1686</v>
      </c>
      <c r="P361" s="811" t="s">
        <v>1657</v>
      </c>
      <c r="Q361" s="811" t="s">
        <v>1658</v>
      </c>
    </row>
    <row r="362" spans="1:17" x14ac:dyDescent="0.25">
      <c r="A362" s="811" t="s">
        <v>1649</v>
      </c>
      <c r="B362" s="811" t="s">
        <v>2086</v>
      </c>
      <c r="C362" s="812">
        <v>28800000</v>
      </c>
      <c r="D362" s="811" t="s">
        <v>1542</v>
      </c>
      <c r="E362" s="811" t="s">
        <v>1542</v>
      </c>
      <c r="F362" s="811" t="s">
        <v>1651</v>
      </c>
      <c r="G362" s="811" t="s">
        <v>1652</v>
      </c>
      <c r="H362" s="811" t="s">
        <v>1653</v>
      </c>
      <c r="I362" s="811" t="s">
        <v>1654</v>
      </c>
      <c r="J362" s="813">
        <v>28800000</v>
      </c>
      <c r="K362" s="811" t="s">
        <v>1655</v>
      </c>
      <c r="L362" s="811" t="s">
        <v>1212</v>
      </c>
      <c r="M362" s="811" t="s">
        <v>1635</v>
      </c>
      <c r="N362" s="811" t="s">
        <v>1635</v>
      </c>
      <c r="O362" s="811" t="s">
        <v>1686</v>
      </c>
      <c r="P362" s="811" t="s">
        <v>1657</v>
      </c>
      <c r="Q362" s="811" t="s">
        <v>1658</v>
      </c>
    </row>
    <row r="363" spans="1:17" x14ac:dyDescent="0.25">
      <c r="A363" s="811" t="s">
        <v>1649</v>
      </c>
      <c r="B363" s="811" t="s">
        <v>2087</v>
      </c>
      <c r="C363" s="812">
        <v>39600000</v>
      </c>
      <c r="D363" s="811" t="s">
        <v>1445</v>
      </c>
      <c r="E363" s="811" t="s">
        <v>1445</v>
      </c>
      <c r="F363" s="811" t="s">
        <v>1666</v>
      </c>
      <c r="G363" s="811" t="s">
        <v>1652</v>
      </c>
      <c r="H363" s="811" t="s">
        <v>1653</v>
      </c>
      <c r="I363" s="811" t="s">
        <v>1654</v>
      </c>
      <c r="J363" s="813">
        <v>39600000</v>
      </c>
      <c r="K363" s="811" t="s">
        <v>1655</v>
      </c>
      <c r="L363" s="811" t="s">
        <v>1212</v>
      </c>
      <c r="M363" s="811" t="s">
        <v>1635</v>
      </c>
      <c r="N363" s="811" t="s">
        <v>1635</v>
      </c>
      <c r="O363" s="811" t="s">
        <v>1686</v>
      </c>
      <c r="P363" s="811" t="s">
        <v>1657</v>
      </c>
      <c r="Q363" s="811" t="s">
        <v>1658</v>
      </c>
    </row>
    <row r="364" spans="1:17" x14ac:dyDescent="0.25">
      <c r="A364" s="811" t="s">
        <v>1649</v>
      </c>
      <c r="B364" s="811" t="s">
        <v>2088</v>
      </c>
      <c r="C364" s="812">
        <v>36000000</v>
      </c>
      <c r="D364" s="811" t="s">
        <v>1445</v>
      </c>
      <c r="E364" s="811" t="s">
        <v>1445</v>
      </c>
      <c r="F364" s="811" t="s">
        <v>1666</v>
      </c>
      <c r="G364" s="811" t="s">
        <v>1652</v>
      </c>
      <c r="H364" s="811" t="s">
        <v>1653</v>
      </c>
      <c r="I364" s="811" t="s">
        <v>1654</v>
      </c>
      <c r="J364" s="813">
        <v>36000000</v>
      </c>
      <c r="K364" s="811" t="s">
        <v>1655</v>
      </c>
      <c r="L364" s="811" t="s">
        <v>1212</v>
      </c>
      <c r="M364" s="811" t="s">
        <v>1635</v>
      </c>
      <c r="N364" s="811" t="s">
        <v>1635</v>
      </c>
      <c r="O364" s="811" t="s">
        <v>1686</v>
      </c>
      <c r="P364" s="811" t="s">
        <v>1657</v>
      </c>
      <c r="Q364" s="811" t="s">
        <v>1658</v>
      </c>
    </row>
    <row r="365" spans="1:17" x14ac:dyDescent="0.25">
      <c r="A365" s="811" t="s">
        <v>1649</v>
      </c>
      <c r="B365" s="811" t="s">
        <v>2089</v>
      </c>
      <c r="C365" s="812">
        <v>64900000</v>
      </c>
      <c r="D365" s="811" t="s">
        <v>1449</v>
      </c>
      <c r="E365" s="811" t="s">
        <v>1449</v>
      </c>
      <c r="F365" s="811" t="s">
        <v>1689</v>
      </c>
      <c r="G365" s="811" t="s">
        <v>1652</v>
      </c>
      <c r="H365" s="811" t="s">
        <v>1653</v>
      </c>
      <c r="I365" s="811" t="s">
        <v>1654</v>
      </c>
      <c r="J365" s="813">
        <v>64900000</v>
      </c>
      <c r="K365" s="811" t="s">
        <v>1655</v>
      </c>
      <c r="L365" s="811" t="s">
        <v>1212</v>
      </c>
      <c r="M365" s="811" t="s">
        <v>1635</v>
      </c>
      <c r="N365" s="811" t="s">
        <v>1635</v>
      </c>
      <c r="O365" s="811" t="s">
        <v>1686</v>
      </c>
      <c r="P365" s="811" t="s">
        <v>1657</v>
      </c>
      <c r="Q365" s="811" t="s">
        <v>1658</v>
      </c>
    </row>
    <row r="366" spans="1:17" x14ac:dyDescent="0.25">
      <c r="A366" s="811" t="s">
        <v>1649</v>
      </c>
      <c r="B366" s="811" t="s">
        <v>2090</v>
      </c>
      <c r="C366" s="812">
        <v>64900000</v>
      </c>
      <c r="D366" s="811" t="s">
        <v>1445</v>
      </c>
      <c r="E366" s="811" t="s">
        <v>1445</v>
      </c>
      <c r="F366" s="811" t="s">
        <v>1689</v>
      </c>
      <c r="G366" s="811" t="s">
        <v>1652</v>
      </c>
      <c r="H366" s="811" t="s">
        <v>1653</v>
      </c>
      <c r="I366" s="811" t="s">
        <v>1654</v>
      </c>
      <c r="J366" s="813">
        <v>64900000</v>
      </c>
      <c r="K366" s="811" t="s">
        <v>1655</v>
      </c>
      <c r="L366" s="811" t="s">
        <v>1212</v>
      </c>
      <c r="M366" s="811" t="s">
        <v>1635</v>
      </c>
      <c r="N366" s="811" t="s">
        <v>1635</v>
      </c>
      <c r="O366" s="811" t="s">
        <v>1686</v>
      </c>
      <c r="P366" s="811" t="s">
        <v>1657</v>
      </c>
      <c r="Q366" s="811" t="s">
        <v>1658</v>
      </c>
    </row>
    <row r="367" spans="1:17" x14ac:dyDescent="0.25">
      <c r="A367" s="811" t="s">
        <v>1649</v>
      </c>
      <c r="B367" s="811" t="s">
        <v>2091</v>
      </c>
      <c r="C367" s="812">
        <v>64900000</v>
      </c>
      <c r="D367" s="811" t="s">
        <v>1445</v>
      </c>
      <c r="E367" s="811" t="s">
        <v>1445</v>
      </c>
      <c r="F367" s="811" t="s">
        <v>1689</v>
      </c>
      <c r="G367" s="811" t="s">
        <v>1652</v>
      </c>
      <c r="H367" s="811" t="s">
        <v>1653</v>
      </c>
      <c r="I367" s="811" t="s">
        <v>1654</v>
      </c>
      <c r="J367" s="813">
        <v>64900000</v>
      </c>
      <c r="K367" s="811" t="s">
        <v>1655</v>
      </c>
      <c r="L367" s="811" t="s">
        <v>1212</v>
      </c>
      <c r="M367" s="811" t="s">
        <v>1635</v>
      </c>
      <c r="N367" s="811" t="s">
        <v>1635</v>
      </c>
      <c r="O367" s="811" t="s">
        <v>1686</v>
      </c>
      <c r="P367" s="811" t="s">
        <v>1657</v>
      </c>
      <c r="Q367" s="811" t="s">
        <v>1658</v>
      </c>
    </row>
    <row r="368" spans="1:17" x14ac:dyDescent="0.25">
      <c r="A368" s="811" t="s">
        <v>1649</v>
      </c>
      <c r="B368" s="811" t="s">
        <v>2092</v>
      </c>
      <c r="C368" s="812">
        <v>50150000</v>
      </c>
      <c r="D368" s="811" t="s">
        <v>1542</v>
      </c>
      <c r="E368" s="811" t="s">
        <v>1542</v>
      </c>
      <c r="F368" s="811" t="s">
        <v>1651</v>
      </c>
      <c r="G368" s="811" t="s">
        <v>1652</v>
      </c>
      <c r="H368" s="811" t="s">
        <v>1653</v>
      </c>
      <c r="I368" s="811" t="s">
        <v>1654</v>
      </c>
      <c r="J368" s="813">
        <v>50150000</v>
      </c>
      <c r="K368" s="811" t="s">
        <v>1655</v>
      </c>
      <c r="L368" s="811" t="s">
        <v>1212</v>
      </c>
      <c r="M368" s="811" t="s">
        <v>1635</v>
      </c>
      <c r="N368" s="811" t="s">
        <v>1635</v>
      </c>
      <c r="O368" s="811" t="s">
        <v>1686</v>
      </c>
      <c r="P368" s="811" t="s">
        <v>1657</v>
      </c>
      <c r="Q368" s="811" t="s">
        <v>1658</v>
      </c>
    </row>
    <row r="369" spans="1:17" x14ac:dyDescent="0.25">
      <c r="A369" s="811" t="s">
        <v>1649</v>
      </c>
      <c r="B369" s="811" t="s">
        <v>2093</v>
      </c>
      <c r="C369" s="812">
        <v>44000000</v>
      </c>
      <c r="D369" s="811" t="s">
        <v>1445</v>
      </c>
      <c r="E369" s="811" t="s">
        <v>1445</v>
      </c>
      <c r="F369" s="811" t="s">
        <v>1689</v>
      </c>
      <c r="G369" s="811" t="s">
        <v>1652</v>
      </c>
      <c r="H369" s="811" t="s">
        <v>1653</v>
      </c>
      <c r="I369" s="811" t="s">
        <v>1654</v>
      </c>
      <c r="J369" s="813">
        <v>44000000</v>
      </c>
      <c r="K369" s="811" t="s">
        <v>1655</v>
      </c>
      <c r="L369" s="811" t="s">
        <v>1212</v>
      </c>
      <c r="M369" s="811" t="s">
        <v>1635</v>
      </c>
      <c r="N369" s="811" t="s">
        <v>1635</v>
      </c>
      <c r="O369" s="811" t="s">
        <v>1686</v>
      </c>
      <c r="P369" s="811" t="s">
        <v>1657</v>
      </c>
      <c r="Q369" s="811" t="s">
        <v>1658</v>
      </c>
    </row>
    <row r="370" spans="1:17" x14ac:dyDescent="0.25">
      <c r="A370" s="811" t="s">
        <v>1649</v>
      </c>
      <c r="B370" s="811" t="s">
        <v>2094</v>
      </c>
      <c r="C370" s="812">
        <v>40700000</v>
      </c>
      <c r="D370" s="811" t="s">
        <v>1445</v>
      </c>
      <c r="E370" s="811" t="s">
        <v>1445</v>
      </c>
      <c r="F370" s="811" t="s">
        <v>1689</v>
      </c>
      <c r="G370" s="811" t="s">
        <v>1652</v>
      </c>
      <c r="H370" s="811" t="s">
        <v>1653</v>
      </c>
      <c r="I370" s="811" t="s">
        <v>1654</v>
      </c>
      <c r="J370" s="813">
        <v>40700000</v>
      </c>
      <c r="K370" s="811" t="s">
        <v>1655</v>
      </c>
      <c r="L370" s="811" t="s">
        <v>1212</v>
      </c>
      <c r="M370" s="811" t="s">
        <v>1635</v>
      </c>
      <c r="N370" s="811" t="s">
        <v>1635</v>
      </c>
      <c r="O370" s="811" t="s">
        <v>1686</v>
      </c>
      <c r="P370" s="811" t="s">
        <v>1657</v>
      </c>
      <c r="Q370" s="811" t="s">
        <v>1658</v>
      </c>
    </row>
    <row r="371" spans="1:17" x14ac:dyDescent="0.25">
      <c r="A371" s="811" t="s">
        <v>1649</v>
      </c>
      <c r="B371" s="811" t="s">
        <v>2095</v>
      </c>
      <c r="C371" s="812">
        <v>33000000</v>
      </c>
      <c r="D371" s="811" t="s">
        <v>1445</v>
      </c>
      <c r="E371" s="811" t="s">
        <v>1445</v>
      </c>
      <c r="F371" s="811" t="s">
        <v>1666</v>
      </c>
      <c r="G371" s="811" t="s">
        <v>1652</v>
      </c>
      <c r="H371" s="811" t="s">
        <v>1653</v>
      </c>
      <c r="I371" s="811" t="s">
        <v>1654</v>
      </c>
      <c r="J371" s="813">
        <v>33000000</v>
      </c>
      <c r="K371" s="811" t="s">
        <v>1655</v>
      </c>
      <c r="L371" s="811" t="s">
        <v>1212</v>
      </c>
      <c r="M371" s="811" t="s">
        <v>1635</v>
      </c>
      <c r="N371" s="811" t="s">
        <v>1635</v>
      </c>
      <c r="O371" s="811" t="s">
        <v>1686</v>
      </c>
      <c r="P371" s="811" t="s">
        <v>1657</v>
      </c>
      <c r="Q371" s="811" t="s">
        <v>1658</v>
      </c>
    </row>
    <row r="372" spans="1:17" x14ac:dyDescent="0.25">
      <c r="A372" s="811" t="s">
        <v>1649</v>
      </c>
      <c r="B372" s="811" t="s">
        <v>2096</v>
      </c>
      <c r="C372" s="812">
        <v>39600000</v>
      </c>
      <c r="D372" s="811" t="s">
        <v>1445</v>
      </c>
      <c r="E372" s="811" t="s">
        <v>1445</v>
      </c>
      <c r="F372" s="811" t="s">
        <v>1689</v>
      </c>
      <c r="G372" s="811" t="s">
        <v>1652</v>
      </c>
      <c r="H372" s="811" t="s">
        <v>1653</v>
      </c>
      <c r="I372" s="811" t="s">
        <v>1654</v>
      </c>
      <c r="J372" s="813">
        <v>39600000</v>
      </c>
      <c r="K372" s="811" t="s">
        <v>1655</v>
      </c>
      <c r="L372" s="811" t="s">
        <v>1212</v>
      </c>
      <c r="M372" s="811" t="s">
        <v>1635</v>
      </c>
      <c r="N372" s="811" t="s">
        <v>1635</v>
      </c>
      <c r="O372" s="811" t="s">
        <v>1686</v>
      </c>
      <c r="P372" s="811" t="s">
        <v>1657</v>
      </c>
      <c r="Q372" s="811" t="s">
        <v>1658</v>
      </c>
    </row>
    <row r="373" spans="1:17" x14ac:dyDescent="0.25">
      <c r="A373" s="811" t="s">
        <v>2097</v>
      </c>
      <c r="B373" s="811" t="s">
        <v>2098</v>
      </c>
      <c r="C373" s="812">
        <v>59000000</v>
      </c>
      <c r="D373" s="811" t="s">
        <v>1542</v>
      </c>
      <c r="E373" s="811" t="s">
        <v>1446</v>
      </c>
      <c r="F373" s="811" t="s">
        <v>1662</v>
      </c>
      <c r="G373" s="811" t="s">
        <v>1652</v>
      </c>
      <c r="H373" s="811" t="s">
        <v>1577</v>
      </c>
      <c r="I373" s="811" t="s">
        <v>1654</v>
      </c>
      <c r="J373" s="813">
        <v>59000000</v>
      </c>
      <c r="K373" s="811" t="s">
        <v>1655</v>
      </c>
      <c r="L373" s="811" t="s">
        <v>1212</v>
      </c>
      <c r="M373" s="811" t="s">
        <v>1635</v>
      </c>
      <c r="N373" s="811" t="s">
        <v>1635</v>
      </c>
      <c r="O373" s="811" t="s">
        <v>1686</v>
      </c>
      <c r="P373" s="811" t="s">
        <v>1657</v>
      </c>
      <c r="Q373" s="811" t="s">
        <v>1658</v>
      </c>
    </row>
    <row r="374" spans="1:17" x14ac:dyDescent="0.25">
      <c r="A374" s="811" t="s">
        <v>2099</v>
      </c>
      <c r="B374" s="811" t="s">
        <v>2100</v>
      </c>
      <c r="C374" s="812">
        <v>540000000</v>
      </c>
      <c r="D374" s="811" t="s">
        <v>1469</v>
      </c>
      <c r="E374" s="811" t="s">
        <v>1469</v>
      </c>
      <c r="F374" s="811" t="s">
        <v>1718</v>
      </c>
      <c r="G374" s="811" t="s">
        <v>1652</v>
      </c>
      <c r="H374" s="811" t="s">
        <v>1728</v>
      </c>
      <c r="I374" s="811" t="s">
        <v>1654</v>
      </c>
      <c r="J374" s="813">
        <v>540000000</v>
      </c>
      <c r="K374" s="811" t="s">
        <v>1655</v>
      </c>
      <c r="L374" s="811" t="s">
        <v>1212</v>
      </c>
      <c r="M374" s="811" t="s">
        <v>1635</v>
      </c>
      <c r="N374" s="811" t="s">
        <v>1635</v>
      </c>
      <c r="O374" s="811" t="s">
        <v>1686</v>
      </c>
      <c r="P374" s="811" t="s">
        <v>1657</v>
      </c>
      <c r="Q374" s="811" t="s">
        <v>1658</v>
      </c>
    </row>
    <row r="375" spans="1:17" x14ac:dyDescent="0.25">
      <c r="A375" s="811" t="s">
        <v>2101</v>
      </c>
      <c r="B375" s="811" t="s">
        <v>2102</v>
      </c>
      <c r="C375" s="812">
        <v>460700000</v>
      </c>
      <c r="D375" s="811" t="s">
        <v>1453</v>
      </c>
      <c r="E375" s="811" t="s">
        <v>1453</v>
      </c>
      <c r="F375" s="811" t="s">
        <v>1666</v>
      </c>
      <c r="G375" s="811" t="s">
        <v>1652</v>
      </c>
      <c r="H375" s="811" t="s">
        <v>1653</v>
      </c>
      <c r="I375" s="811" t="s">
        <v>1654</v>
      </c>
      <c r="J375" s="813">
        <v>460700000</v>
      </c>
      <c r="K375" s="811" t="s">
        <v>1655</v>
      </c>
      <c r="L375" s="811" t="s">
        <v>1212</v>
      </c>
      <c r="M375" s="811" t="s">
        <v>1635</v>
      </c>
      <c r="N375" s="811" t="s">
        <v>1635</v>
      </c>
      <c r="O375" s="811" t="s">
        <v>1686</v>
      </c>
      <c r="P375" s="811" t="s">
        <v>1657</v>
      </c>
      <c r="Q375" s="811" t="s">
        <v>1658</v>
      </c>
    </row>
    <row r="376" spans="1:17" x14ac:dyDescent="0.25">
      <c r="A376" s="811" t="s">
        <v>2103</v>
      </c>
      <c r="B376" s="811" t="s">
        <v>2104</v>
      </c>
      <c r="C376" s="812">
        <v>400000000</v>
      </c>
      <c r="D376" s="811" t="s">
        <v>1469</v>
      </c>
      <c r="E376" s="811" t="s">
        <v>1469</v>
      </c>
      <c r="F376" s="811" t="s">
        <v>1662</v>
      </c>
      <c r="G376" s="811" t="s">
        <v>1652</v>
      </c>
      <c r="H376" s="811" t="s">
        <v>1728</v>
      </c>
      <c r="I376" s="811" t="s">
        <v>1654</v>
      </c>
      <c r="J376" s="813">
        <v>400000000</v>
      </c>
      <c r="K376" s="811" t="s">
        <v>1655</v>
      </c>
      <c r="L376" s="811" t="s">
        <v>1212</v>
      </c>
      <c r="M376" s="811" t="s">
        <v>1635</v>
      </c>
      <c r="N376" s="811" t="s">
        <v>1635</v>
      </c>
      <c r="O376" s="811" t="s">
        <v>1686</v>
      </c>
      <c r="P376" s="811" t="s">
        <v>1657</v>
      </c>
      <c r="Q376" s="811" t="s">
        <v>1658</v>
      </c>
    </row>
    <row r="377" spans="1:17" x14ac:dyDescent="0.25">
      <c r="A377" s="811" t="s">
        <v>2105</v>
      </c>
      <c r="B377" s="811" t="s">
        <v>2106</v>
      </c>
      <c r="C377" s="812">
        <v>200000000</v>
      </c>
      <c r="D377" s="811" t="s">
        <v>1445</v>
      </c>
      <c r="E377" s="811" t="s">
        <v>1445</v>
      </c>
      <c r="F377" s="811" t="s">
        <v>1662</v>
      </c>
      <c r="G377" s="811" t="s">
        <v>1652</v>
      </c>
      <c r="H377" s="811" t="s">
        <v>1728</v>
      </c>
      <c r="I377" s="811" t="s">
        <v>1654</v>
      </c>
      <c r="J377" s="813">
        <v>200000000</v>
      </c>
      <c r="K377" s="811" t="s">
        <v>1655</v>
      </c>
      <c r="L377" s="811" t="s">
        <v>1212</v>
      </c>
      <c r="M377" s="811" t="s">
        <v>1635</v>
      </c>
      <c r="N377" s="811" t="s">
        <v>1635</v>
      </c>
      <c r="O377" s="811" t="s">
        <v>1686</v>
      </c>
      <c r="P377" s="811" t="s">
        <v>1657</v>
      </c>
      <c r="Q377" s="811" t="s">
        <v>1658</v>
      </c>
    </row>
    <row r="378" spans="1:17" x14ac:dyDescent="0.25">
      <c r="A378" s="811" t="s">
        <v>2107</v>
      </c>
      <c r="B378" s="811" t="s">
        <v>2108</v>
      </c>
      <c r="C378" s="812">
        <v>301405000</v>
      </c>
      <c r="D378" s="811" t="s">
        <v>1445</v>
      </c>
      <c r="E378" s="811" t="s">
        <v>1445</v>
      </c>
      <c r="F378" s="811" t="s">
        <v>1662</v>
      </c>
      <c r="G378" s="811" t="s">
        <v>1652</v>
      </c>
      <c r="H378" s="811" t="s">
        <v>1653</v>
      </c>
      <c r="I378" s="811" t="s">
        <v>1654</v>
      </c>
      <c r="J378" s="813">
        <v>301405000</v>
      </c>
      <c r="K378" s="811" t="s">
        <v>1655</v>
      </c>
      <c r="L378" s="811" t="s">
        <v>1212</v>
      </c>
      <c r="M378" s="811" t="s">
        <v>1635</v>
      </c>
      <c r="N378" s="811" t="s">
        <v>1635</v>
      </c>
      <c r="O378" s="811" t="s">
        <v>1686</v>
      </c>
      <c r="P378" s="811" t="s">
        <v>1657</v>
      </c>
      <c r="Q378" s="811" t="s">
        <v>1658</v>
      </c>
    </row>
    <row r="379" spans="1:17" x14ac:dyDescent="0.25">
      <c r="A379" s="811" t="s">
        <v>1649</v>
      </c>
      <c r="B379" s="811" t="s">
        <v>2109</v>
      </c>
      <c r="C379" s="812">
        <v>85500000</v>
      </c>
      <c r="D379" s="811" t="s">
        <v>1445</v>
      </c>
      <c r="E379" s="811" t="s">
        <v>1445</v>
      </c>
      <c r="F379" s="811" t="s">
        <v>1666</v>
      </c>
      <c r="G379" s="811" t="s">
        <v>1652</v>
      </c>
      <c r="H379" s="811" t="s">
        <v>1653</v>
      </c>
      <c r="I379" s="811" t="s">
        <v>1654</v>
      </c>
      <c r="J379" s="813">
        <v>85500000</v>
      </c>
      <c r="K379" s="811" t="s">
        <v>1655</v>
      </c>
      <c r="L379" s="811" t="s">
        <v>1212</v>
      </c>
      <c r="M379" s="811" t="s">
        <v>1635</v>
      </c>
      <c r="N379" s="811" t="s">
        <v>1635</v>
      </c>
      <c r="O379" s="811" t="s">
        <v>1681</v>
      </c>
      <c r="P379" s="811" t="s">
        <v>1657</v>
      </c>
      <c r="Q379" s="811" t="s">
        <v>1682</v>
      </c>
    </row>
    <row r="380" spans="1:17" x14ac:dyDescent="0.25">
      <c r="A380" s="811" t="s">
        <v>1649</v>
      </c>
      <c r="B380" s="811" t="s">
        <v>2110</v>
      </c>
      <c r="C380" s="812">
        <v>64900000</v>
      </c>
      <c r="D380" s="811" t="s">
        <v>1449</v>
      </c>
      <c r="E380" s="811" t="s">
        <v>1449</v>
      </c>
      <c r="F380" s="811" t="s">
        <v>1689</v>
      </c>
      <c r="G380" s="811" t="s">
        <v>1652</v>
      </c>
      <c r="H380" s="811" t="s">
        <v>1653</v>
      </c>
      <c r="I380" s="811" t="s">
        <v>1654</v>
      </c>
      <c r="J380" s="813">
        <v>64900000</v>
      </c>
      <c r="K380" s="811" t="s">
        <v>1655</v>
      </c>
      <c r="L380" s="811" t="s">
        <v>1212</v>
      </c>
      <c r="M380" s="811" t="s">
        <v>1635</v>
      </c>
      <c r="N380" s="811" t="s">
        <v>1635</v>
      </c>
      <c r="O380" s="811" t="s">
        <v>1686</v>
      </c>
      <c r="P380" s="811" t="s">
        <v>1657</v>
      </c>
      <c r="Q380" s="811" t="s">
        <v>1658</v>
      </c>
    </row>
    <row r="381" spans="1:17" x14ac:dyDescent="0.25">
      <c r="A381" s="811" t="s">
        <v>1649</v>
      </c>
      <c r="B381" s="811" t="s">
        <v>2111</v>
      </c>
      <c r="C381" s="812">
        <v>48144000</v>
      </c>
      <c r="D381" s="811" t="s">
        <v>1440</v>
      </c>
      <c r="E381" s="811" t="s">
        <v>1440</v>
      </c>
      <c r="F381" s="811" t="s">
        <v>1672</v>
      </c>
      <c r="G381" s="811" t="s">
        <v>1652</v>
      </c>
      <c r="H381" s="811" t="s">
        <v>1653</v>
      </c>
      <c r="I381" s="811" t="s">
        <v>1654</v>
      </c>
      <c r="J381" s="813">
        <v>48144000</v>
      </c>
      <c r="K381" s="811" t="s">
        <v>1655</v>
      </c>
      <c r="L381" s="811" t="s">
        <v>1212</v>
      </c>
      <c r="M381" s="811" t="s">
        <v>1635</v>
      </c>
      <c r="N381" s="811" t="s">
        <v>1635</v>
      </c>
      <c r="O381" s="811" t="s">
        <v>1667</v>
      </c>
      <c r="P381" s="811" t="s">
        <v>1657</v>
      </c>
      <c r="Q381" s="811" t="s">
        <v>1668</v>
      </c>
    </row>
    <row r="382" spans="1:17" x14ac:dyDescent="0.25">
      <c r="A382" s="811" t="s">
        <v>1649</v>
      </c>
      <c r="B382" s="811" t="s">
        <v>2112</v>
      </c>
      <c r="C382" s="812">
        <v>37311600</v>
      </c>
      <c r="D382" s="811" t="s">
        <v>1440</v>
      </c>
      <c r="E382" s="811" t="s">
        <v>1440</v>
      </c>
      <c r="F382" s="811" t="s">
        <v>1672</v>
      </c>
      <c r="G382" s="811" t="s">
        <v>1652</v>
      </c>
      <c r="H382" s="811" t="s">
        <v>1653</v>
      </c>
      <c r="I382" s="811" t="s">
        <v>1654</v>
      </c>
      <c r="J382" s="813">
        <v>37311600</v>
      </c>
      <c r="K382" s="811" t="s">
        <v>1655</v>
      </c>
      <c r="L382" s="811" t="s">
        <v>1212</v>
      </c>
      <c r="M382" s="811" t="s">
        <v>1635</v>
      </c>
      <c r="N382" s="811" t="s">
        <v>1635</v>
      </c>
      <c r="O382" s="811" t="s">
        <v>1667</v>
      </c>
      <c r="P382" s="811" t="s">
        <v>1657</v>
      </c>
      <c r="Q382" s="811" t="s">
        <v>1668</v>
      </c>
    </row>
    <row r="383" spans="1:17" x14ac:dyDescent="0.25">
      <c r="A383" s="811" t="s">
        <v>1649</v>
      </c>
      <c r="B383" s="811" t="s">
        <v>2113</v>
      </c>
      <c r="C383" s="812">
        <v>27255780</v>
      </c>
      <c r="D383" s="811" t="s">
        <v>1445</v>
      </c>
      <c r="E383" s="811" t="s">
        <v>1445</v>
      </c>
      <c r="F383" s="811" t="s">
        <v>1685</v>
      </c>
      <c r="G383" s="811" t="s">
        <v>1652</v>
      </c>
      <c r="H383" s="811" t="s">
        <v>1653</v>
      </c>
      <c r="I383" s="811" t="s">
        <v>1654</v>
      </c>
      <c r="J383" s="813">
        <v>27255780</v>
      </c>
      <c r="K383" s="811" t="s">
        <v>1655</v>
      </c>
      <c r="L383" s="811" t="s">
        <v>1212</v>
      </c>
      <c r="M383" s="811" t="s">
        <v>1635</v>
      </c>
      <c r="N383" s="811" t="s">
        <v>1635</v>
      </c>
      <c r="O383" s="811" t="s">
        <v>1845</v>
      </c>
      <c r="P383" s="811" t="s">
        <v>1657</v>
      </c>
      <c r="Q383" s="811" t="s">
        <v>1710</v>
      </c>
    </row>
    <row r="384" spans="1:17" x14ac:dyDescent="0.25">
      <c r="A384" s="811" t="s">
        <v>1649</v>
      </c>
      <c r="B384" s="811" t="s">
        <v>2114</v>
      </c>
      <c r="C384" s="812">
        <v>27255780</v>
      </c>
      <c r="D384" s="811" t="s">
        <v>1445</v>
      </c>
      <c r="E384" s="811" t="s">
        <v>1445</v>
      </c>
      <c r="F384" s="811" t="s">
        <v>1685</v>
      </c>
      <c r="G384" s="811" t="s">
        <v>1652</v>
      </c>
      <c r="H384" s="811" t="s">
        <v>1653</v>
      </c>
      <c r="I384" s="811" t="s">
        <v>1654</v>
      </c>
      <c r="J384" s="813">
        <v>27255780</v>
      </c>
      <c r="K384" s="811" t="s">
        <v>1655</v>
      </c>
      <c r="L384" s="811" t="s">
        <v>1212</v>
      </c>
      <c r="M384" s="811" t="s">
        <v>1635</v>
      </c>
      <c r="N384" s="811" t="s">
        <v>1635</v>
      </c>
      <c r="O384" s="811" t="s">
        <v>1845</v>
      </c>
      <c r="P384" s="811" t="s">
        <v>1657</v>
      </c>
      <c r="Q384" s="811" t="s">
        <v>1710</v>
      </c>
    </row>
    <row r="385" spans="1:17" x14ac:dyDescent="0.25">
      <c r="A385" s="811" t="s">
        <v>1649</v>
      </c>
      <c r="B385" s="811" t="s">
        <v>2115</v>
      </c>
      <c r="C385" s="812">
        <v>40000000</v>
      </c>
      <c r="D385" s="811" t="s">
        <v>1445</v>
      </c>
      <c r="E385" s="811" t="s">
        <v>1445</v>
      </c>
      <c r="F385" s="811" t="s">
        <v>1651</v>
      </c>
      <c r="G385" s="811" t="s">
        <v>1652</v>
      </c>
      <c r="H385" s="811" t="s">
        <v>1653</v>
      </c>
      <c r="I385" s="811" t="s">
        <v>1654</v>
      </c>
      <c r="J385" s="813">
        <v>40000000</v>
      </c>
      <c r="K385" s="811" t="s">
        <v>1655</v>
      </c>
      <c r="L385" s="811" t="s">
        <v>1212</v>
      </c>
      <c r="M385" s="811" t="s">
        <v>1635</v>
      </c>
      <c r="N385" s="811" t="s">
        <v>1635</v>
      </c>
      <c r="O385" s="811" t="s">
        <v>1729</v>
      </c>
      <c r="P385" s="811" t="s">
        <v>1657</v>
      </c>
      <c r="Q385" s="811" t="s">
        <v>1664</v>
      </c>
    </row>
    <row r="386" spans="1:17" x14ac:dyDescent="0.25">
      <c r="A386" s="811" t="s">
        <v>1649</v>
      </c>
      <c r="B386" s="811" t="s">
        <v>2116</v>
      </c>
      <c r="C386" s="812">
        <v>42000000</v>
      </c>
      <c r="D386" s="811" t="s">
        <v>1445</v>
      </c>
      <c r="E386" s="811" t="s">
        <v>1445</v>
      </c>
      <c r="F386" s="811" t="s">
        <v>1662</v>
      </c>
      <c r="G386" s="811" t="s">
        <v>1652</v>
      </c>
      <c r="H386" s="811" t="s">
        <v>1653</v>
      </c>
      <c r="I386" s="811" t="s">
        <v>1654</v>
      </c>
      <c r="J386" s="813">
        <v>42000000</v>
      </c>
      <c r="K386" s="811" t="s">
        <v>1655</v>
      </c>
      <c r="L386" s="811" t="s">
        <v>1212</v>
      </c>
      <c r="M386" s="811" t="s">
        <v>1635</v>
      </c>
      <c r="N386" s="811" t="s">
        <v>1635</v>
      </c>
      <c r="O386" s="811" t="s">
        <v>1729</v>
      </c>
      <c r="P386" s="811" t="s">
        <v>1657</v>
      </c>
      <c r="Q386" s="811" t="s">
        <v>1664</v>
      </c>
    </row>
    <row r="387" spans="1:17" x14ac:dyDescent="0.25">
      <c r="A387" s="811" t="s">
        <v>1649</v>
      </c>
      <c r="B387" s="811" t="s">
        <v>2117</v>
      </c>
      <c r="C387" s="812">
        <v>54162000</v>
      </c>
      <c r="D387" s="811" t="s">
        <v>1445</v>
      </c>
      <c r="E387" s="811" t="s">
        <v>1445</v>
      </c>
      <c r="F387" s="811" t="s">
        <v>1685</v>
      </c>
      <c r="G387" s="811" t="s">
        <v>1652</v>
      </c>
      <c r="H387" s="811" t="s">
        <v>1653</v>
      </c>
      <c r="I387" s="811" t="s">
        <v>1654</v>
      </c>
      <c r="J387" s="813">
        <v>54162000</v>
      </c>
      <c r="K387" s="811" t="s">
        <v>1655</v>
      </c>
      <c r="L387" s="811" t="s">
        <v>1212</v>
      </c>
      <c r="M387" s="811" t="s">
        <v>1635</v>
      </c>
      <c r="N387" s="811" t="s">
        <v>1635</v>
      </c>
      <c r="O387" s="811" t="s">
        <v>1667</v>
      </c>
      <c r="P387" s="811" t="s">
        <v>1657</v>
      </c>
      <c r="Q387" s="811" t="s">
        <v>1668</v>
      </c>
    </row>
    <row r="388" spans="1:17" x14ac:dyDescent="0.25">
      <c r="A388" s="811" t="s">
        <v>1649</v>
      </c>
      <c r="B388" s="811" t="s">
        <v>2118</v>
      </c>
      <c r="C388" s="812">
        <v>22500000</v>
      </c>
      <c r="D388" s="811" t="s">
        <v>1440</v>
      </c>
      <c r="E388" s="811" t="s">
        <v>1440</v>
      </c>
      <c r="F388" s="811" t="s">
        <v>1999</v>
      </c>
      <c r="G388" s="811" t="s">
        <v>1652</v>
      </c>
      <c r="H388" s="811" t="s">
        <v>1653</v>
      </c>
      <c r="I388" s="811" t="s">
        <v>1654</v>
      </c>
      <c r="J388" s="813">
        <v>22500000</v>
      </c>
      <c r="K388" s="811" t="s">
        <v>1655</v>
      </c>
      <c r="L388" s="811" t="s">
        <v>1212</v>
      </c>
      <c r="M388" s="811" t="s">
        <v>1635</v>
      </c>
      <c r="N388" s="811" t="s">
        <v>1635</v>
      </c>
      <c r="O388" s="811" t="s">
        <v>2119</v>
      </c>
      <c r="P388" s="811" t="s">
        <v>2120</v>
      </c>
      <c r="Q388" s="811" t="s">
        <v>2121</v>
      </c>
    </row>
    <row r="389" spans="1:17" x14ac:dyDescent="0.25">
      <c r="A389" s="811" t="s">
        <v>1649</v>
      </c>
      <c r="B389" s="811" t="s">
        <v>2122</v>
      </c>
      <c r="C389" s="812">
        <v>16500000</v>
      </c>
      <c r="D389" s="811" t="s">
        <v>1440</v>
      </c>
      <c r="E389" s="811" t="s">
        <v>1440</v>
      </c>
      <c r="F389" s="811" t="s">
        <v>1999</v>
      </c>
      <c r="G389" s="811" t="s">
        <v>1652</v>
      </c>
      <c r="H389" s="811" t="s">
        <v>1653</v>
      </c>
      <c r="I389" s="811" t="s">
        <v>1654</v>
      </c>
      <c r="J389" s="813">
        <v>16500000</v>
      </c>
      <c r="K389" s="811" t="s">
        <v>1655</v>
      </c>
      <c r="L389" s="811" t="s">
        <v>1212</v>
      </c>
      <c r="M389" s="811" t="s">
        <v>1635</v>
      </c>
      <c r="N389" s="811" t="s">
        <v>1635</v>
      </c>
      <c r="O389" s="811" t="s">
        <v>2119</v>
      </c>
      <c r="P389" s="811" t="s">
        <v>2120</v>
      </c>
      <c r="Q389" s="811" t="s">
        <v>2121</v>
      </c>
    </row>
    <row r="390" spans="1:17" x14ac:dyDescent="0.25">
      <c r="A390" s="811" t="s">
        <v>1649</v>
      </c>
      <c r="B390" s="811" t="s">
        <v>2123</v>
      </c>
      <c r="C390" s="812">
        <v>12000000</v>
      </c>
      <c r="D390" s="811" t="s">
        <v>1445</v>
      </c>
      <c r="E390" s="811" t="s">
        <v>1445</v>
      </c>
      <c r="F390" s="811" t="s">
        <v>1718</v>
      </c>
      <c r="G390" s="811" t="s">
        <v>1652</v>
      </c>
      <c r="H390" s="811" t="s">
        <v>1653</v>
      </c>
      <c r="I390" s="811" t="s">
        <v>1654</v>
      </c>
      <c r="J390" s="813">
        <v>12000000</v>
      </c>
      <c r="K390" s="811" t="s">
        <v>1655</v>
      </c>
      <c r="L390" s="811" t="s">
        <v>1212</v>
      </c>
      <c r="M390" s="811" t="s">
        <v>1635</v>
      </c>
      <c r="N390" s="811" t="s">
        <v>1635</v>
      </c>
      <c r="O390" s="811" t="s">
        <v>2119</v>
      </c>
      <c r="P390" s="811" t="s">
        <v>2120</v>
      </c>
      <c r="Q390" s="811" t="s">
        <v>2121</v>
      </c>
    </row>
    <row r="391" spans="1:17" x14ac:dyDescent="0.25">
      <c r="A391" s="811" t="s">
        <v>1649</v>
      </c>
      <c r="B391" s="811" t="s">
        <v>2124</v>
      </c>
      <c r="C391" s="812">
        <v>40000000</v>
      </c>
      <c r="D391" s="811" t="s">
        <v>1449</v>
      </c>
      <c r="E391" s="811" t="s">
        <v>1449</v>
      </c>
      <c r="F391" s="811" t="s">
        <v>1685</v>
      </c>
      <c r="G391" s="811" t="s">
        <v>1652</v>
      </c>
      <c r="H391" s="811" t="s">
        <v>1653</v>
      </c>
      <c r="I391" s="811" t="s">
        <v>1654</v>
      </c>
      <c r="J391" s="813">
        <v>40000000</v>
      </c>
      <c r="K391" s="811" t="s">
        <v>1655</v>
      </c>
      <c r="L391" s="811" t="s">
        <v>1212</v>
      </c>
      <c r="M391" s="811" t="s">
        <v>1635</v>
      </c>
      <c r="N391" s="811" t="s">
        <v>1635</v>
      </c>
      <c r="O391" s="811" t="s">
        <v>2119</v>
      </c>
      <c r="P391" s="811" t="s">
        <v>2120</v>
      </c>
      <c r="Q391" s="811" t="s">
        <v>2121</v>
      </c>
    </row>
    <row r="392" spans="1:17" x14ac:dyDescent="0.25">
      <c r="A392" s="811" t="s">
        <v>2125</v>
      </c>
      <c r="B392" s="811" t="s">
        <v>2126</v>
      </c>
      <c r="C392" s="812">
        <v>34000000</v>
      </c>
      <c r="D392" s="811" t="s">
        <v>1453</v>
      </c>
      <c r="E392" s="811" t="s">
        <v>1453</v>
      </c>
      <c r="F392" s="811" t="s">
        <v>1662</v>
      </c>
      <c r="G392" s="811" t="s">
        <v>1652</v>
      </c>
      <c r="H392" s="811" t="s">
        <v>1577</v>
      </c>
      <c r="I392" s="811" t="s">
        <v>1654</v>
      </c>
      <c r="J392" s="813">
        <v>34000000</v>
      </c>
      <c r="K392" s="811" t="s">
        <v>1655</v>
      </c>
      <c r="L392" s="811" t="s">
        <v>1212</v>
      </c>
      <c r="M392" s="811" t="s">
        <v>1635</v>
      </c>
      <c r="N392" s="811" t="s">
        <v>1635</v>
      </c>
      <c r="O392" s="811" t="s">
        <v>2119</v>
      </c>
      <c r="P392" s="811" t="s">
        <v>2120</v>
      </c>
      <c r="Q392" s="811" t="s">
        <v>2121</v>
      </c>
    </row>
    <row r="393" spans="1:17" x14ac:dyDescent="0.25">
      <c r="A393" s="811" t="s">
        <v>1649</v>
      </c>
      <c r="B393" s="811" t="s">
        <v>2127</v>
      </c>
      <c r="C393" s="812">
        <v>54000000</v>
      </c>
      <c r="D393" s="811" t="s">
        <v>1445</v>
      </c>
      <c r="E393" s="811" t="s">
        <v>1445</v>
      </c>
      <c r="F393" s="811" t="s">
        <v>1666</v>
      </c>
      <c r="G393" s="811" t="s">
        <v>1652</v>
      </c>
      <c r="H393" s="811" t="s">
        <v>1653</v>
      </c>
      <c r="I393" s="811" t="s">
        <v>1654</v>
      </c>
      <c r="J393" s="813">
        <v>54000000</v>
      </c>
      <c r="K393" s="811" t="s">
        <v>1655</v>
      </c>
      <c r="L393" s="811" t="s">
        <v>1212</v>
      </c>
      <c r="M393" s="811" t="s">
        <v>1635</v>
      </c>
      <c r="N393" s="811" t="s">
        <v>1635</v>
      </c>
      <c r="O393" s="811" t="s">
        <v>2119</v>
      </c>
      <c r="P393" s="811" t="s">
        <v>2120</v>
      </c>
      <c r="Q393" s="811" t="s">
        <v>2121</v>
      </c>
    </row>
    <row r="394" spans="1:17" x14ac:dyDescent="0.25">
      <c r="A394" s="811" t="s">
        <v>1649</v>
      </c>
      <c r="B394" s="811" t="s">
        <v>2128</v>
      </c>
      <c r="C394" s="812">
        <v>40000000</v>
      </c>
      <c r="D394" s="811" t="s">
        <v>1446</v>
      </c>
      <c r="E394" s="811" t="s">
        <v>1446</v>
      </c>
      <c r="F394" s="811" t="s">
        <v>1698</v>
      </c>
      <c r="G394" s="811" t="s">
        <v>1652</v>
      </c>
      <c r="H394" s="811" t="s">
        <v>1653</v>
      </c>
      <c r="I394" s="811" t="s">
        <v>1654</v>
      </c>
      <c r="J394" s="813">
        <v>40000000</v>
      </c>
      <c r="K394" s="811" t="s">
        <v>1655</v>
      </c>
      <c r="L394" s="811" t="s">
        <v>1212</v>
      </c>
      <c r="M394" s="811" t="s">
        <v>1635</v>
      </c>
      <c r="N394" s="811" t="s">
        <v>1635</v>
      </c>
      <c r="O394" s="811" t="s">
        <v>2119</v>
      </c>
      <c r="P394" s="811" t="s">
        <v>2120</v>
      </c>
      <c r="Q394" s="811" t="s">
        <v>2121</v>
      </c>
    </row>
    <row r="395" spans="1:17" x14ac:dyDescent="0.25">
      <c r="A395" s="811" t="s">
        <v>1649</v>
      </c>
      <c r="B395" s="811" t="s">
        <v>2129</v>
      </c>
      <c r="C395" s="812">
        <v>58500000</v>
      </c>
      <c r="D395" s="811" t="s">
        <v>1445</v>
      </c>
      <c r="E395" s="811" t="s">
        <v>1445</v>
      </c>
      <c r="F395" s="811" t="s">
        <v>1666</v>
      </c>
      <c r="G395" s="811" t="s">
        <v>1652</v>
      </c>
      <c r="H395" s="811" t="s">
        <v>1653</v>
      </c>
      <c r="I395" s="811" t="s">
        <v>1654</v>
      </c>
      <c r="J395" s="813">
        <v>58500000</v>
      </c>
      <c r="K395" s="811" t="s">
        <v>1655</v>
      </c>
      <c r="L395" s="811" t="s">
        <v>1212</v>
      </c>
      <c r="M395" s="811" t="s">
        <v>1635</v>
      </c>
      <c r="N395" s="811" t="s">
        <v>1635</v>
      </c>
      <c r="O395" s="811" t="s">
        <v>2119</v>
      </c>
      <c r="P395" s="811" t="s">
        <v>2120</v>
      </c>
      <c r="Q395" s="811" t="s">
        <v>2121</v>
      </c>
    </row>
    <row r="396" spans="1:17" x14ac:dyDescent="0.25">
      <c r="A396" s="811" t="s">
        <v>1649</v>
      </c>
      <c r="B396" s="811" t="s">
        <v>2130</v>
      </c>
      <c r="C396" s="812">
        <v>60000000</v>
      </c>
      <c r="D396" s="811" t="s">
        <v>1542</v>
      </c>
      <c r="E396" s="811" t="s">
        <v>1542</v>
      </c>
      <c r="F396" s="811" t="s">
        <v>1651</v>
      </c>
      <c r="G396" s="811" t="s">
        <v>1652</v>
      </c>
      <c r="H396" s="811" t="s">
        <v>1653</v>
      </c>
      <c r="I396" s="811" t="s">
        <v>1654</v>
      </c>
      <c r="J396" s="813">
        <v>60000000</v>
      </c>
      <c r="K396" s="811" t="s">
        <v>1655</v>
      </c>
      <c r="L396" s="811" t="s">
        <v>1212</v>
      </c>
      <c r="M396" s="811" t="s">
        <v>1635</v>
      </c>
      <c r="N396" s="811" t="s">
        <v>1635</v>
      </c>
      <c r="O396" s="811" t="s">
        <v>2119</v>
      </c>
      <c r="P396" s="811" t="s">
        <v>2120</v>
      </c>
      <c r="Q396" s="811" t="s">
        <v>2121</v>
      </c>
    </row>
    <row r="397" spans="1:17" x14ac:dyDescent="0.25">
      <c r="A397" s="811" t="s">
        <v>2131</v>
      </c>
      <c r="B397" s="811" t="s">
        <v>2132</v>
      </c>
      <c r="C397" s="812">
        <v>650000000</v>
      </c>
      <c r="D397" s="811" t="s">
        <v>1454</v>
      </c>
      <c r="E397" s="811" t="s">
        <v>1454</v>
      </c>
      <c r="F397" s="811" t="s">
        <v>1739</v>
      </c>
      <c r="G397" s="811" t="s">
        <v>1652</v>
      </c>
      <c r="H397" s="811" t="s">
        <v>1653</v>
      </c>
      <c r="I397" s="811" t="s">
        <v>1654</v>
      </c>
      <c r="J397" s="813">
        <v>650000000</v>
      </c>
      <c r="K397" s="811" t="s">
        <v>1655</v>
      </c>
      <c r="L397" s="811" t="s">
        <v>1212</v>
      </c>
      <c r="M397" s="811" t="s">
        <v>1635</v>
      </c>
      <c r="N397" s="811" t="s">
        <v>1635</v>
      </c>
      <c r="O397" s="811" t="s">
        <v>2119</v>
      </c>
      <c r="P397" s="811" t="s">
        <v>2120</v>
      </c>
      <c r="Q397" s="811" t="s">
        <v>2121</v>
      </c>
    </row>
    <row r="398" spans="1:17" x14ac:dyDescent="0.25">
      <c r="A398" s="811" t="s">
        <v>1649</v>
      </c>
      <c r="B398" s="811" t="s">
        <v>2133</v>
      </c>
      <c r="C398" s="812">
        <v>28619969</v>
      </c>
      <c r="D398" s="811" t="s">
        <v>1445</v>
      </c>
      <c r="E398" s="811" t="s">
        <v>1445</v>
      </c>
      <c r="F398" s="811" t="s">
        <v>1698</v>
      </c>
      <c r="G398" s="811" t="s">
        <v>1652</v>
      </c>
      <c r="H398" s="811" t="s">
        <v>1653</v>
      </c>
      <c r="I398" s="811" t="s">
        <v>1654</v>
      </c>
      <c r="J398" s="813">
        <v>28619969</v>
      </c>
      <c r="K398" s="811" t="s">
        <v>1655</v>
      </c>
      <c r="L398" s="811" t="s">
        <v>1212</v>
      </c>
      <c r="M398" s="811" t="s">
        <v>1635</v>
      </c>
      <c r="N398" s="811" t="s">
        <v>1635</v>
      </c>
      <c r="O398" s="811" t="s">
        <v>2134</v>
      </c>
      <c r="P398" s="811" t="s">
        <v>1657</v>
      </c>
      <c r="Q398" s="811" t="s">
        <v>1724</v>
      </c>
    </row>
    <row r="399" spans="1:17" x14ac:dyDescent="0.25">
      <c r="A399" s="811" t="s">
        <v>2135</v>
      </c>
      <c r="B399" s="811" t="s">
        <v>2136</v>
      </c>
      <c r="C399" s="812">
        <v>41337934</v>
      </c>
      <c r="D399" s="811" t="s">
        <v>1542</v>
      </c>
      <c r="E399" s="811" t="s">
        <v>1542</v>
      </c>
      <c r="F399" s="811" t="s">
        <v>1698</v>
      </c>
      <c r="G399" s="811" t="s">
        <v>1652</v>
      </c>
      <c r="H399" s="811" t="s">
        <v>1653</v>
      </c>
      <c r="I399" s="811" t="s">
        <v>1654</v>
      </c>
      <c r="J399" s="813">
        <v>41337934</v>
      </c>
      <c r="K399" s="811" t="s">
        <v>1655</v>
      </c>
      <c r="L399" s="811" t="s">
        <v>1212</v>
      </c>
      <c r="M399" s="811" t="s">
        <v>1635</v>
      </c>
      <c r="N399" s="811" t="s">
        <v>1635</v>
      </c>
      <c r="O399" s="811" t="s">
        <v>2134</v>
      </c>
      <c r="P399" s="811" t="s">
        <v>1657</v>
      </c>
      <c r="Q399" s="811" t="s">
        <v>1724</v>
      </c>
    </row>
    <row r="400" spans="1:17" x14ac:dyDescent="0.25">
      <c r="A400" s="811" t="s">
        <v>1649</v>
      </c>
      <c r="B400" s="811" t="s">
        <v>2137</v>
      </c>
      <c r="C400" s="812">
        <v>28619969</v>
      </c>
      <c r="D400" s="811" t="s">
        <v>1449</v>
      </c>
      <c r="E400" s="811" t="s">
        <v>1449</v>
      </c>
      <c r="F400" s="811" t="s">
        <v>1698</v>
      </c>
      <c r="G400" s="811" t="s">
        <v>1652</v>
      </c>
      <c r="H400" s="811" t="s">
        <v>1653</v>
      </c>
      <c r="I400" s="811" t="s">
        <v>1654</v>
      </c>
      <c r="J400" s="813">
        <v>28619969</v>
      </c>
      <c r="K400" s="811" t="s">
        <v>1655</v>
      </c>
      <c r="L400" s="811" t="s">
        <v>1212</v>
      </c>
      <c r="M400" s="811" t="s">
        <v>1635</v>
      </c>
      <c r="N400" s="811" t="s">
        <v>1635</v>
      </c>
      <c r="O400" s="811" t="s">
        <v>2134</v>
      </c>
      <c r="P400" s="811" t="s">
        <v>1657</v>
      </c>
      <c r="Q400" s="811" t="s">
        <v>1724</v>
      </c>
    </row>
    <row r="401" spans="1:17" x14ac:dyDescent="0.25">
      <c r="A401" s="811" t="s">
        <v>1649</v>
      </c>
      <c r="B401" s="811" t="s">
        <v>2138</v>
      </c>
      <c r="C401" s="812">
        <v>41337934</v>
      </c>
      <c r="D401" s="811" t="s">
        <v>1542</v>
      </c>
      <c r="E401" s="811" t="s">
        <v>1542</v>
      </c>
      <c r="F401" s="811" t="s">
        <v>1698</v>
      </c>
      <c r="G401" s="811" t="s">
        <v>1652</v>
      </c>
      <c r="H401" s="811" t="s">
        <v>1653</v>
      </c>
      <c r="I401" s="811" t="s">
        <v>1654</v>
      </c>
      <c r="J401" s="813">
        <v>41337934</v>
      </c>
      <c r="K401" s="811" t="s">
        <v>1655</v>
      </c>
      <c r="L401" s="811" t="s">
        <v>1212</v>
      </c>
      <c r="M401" s="811" t="s">
        <v>1635</v>
      </c>
      <c r="N401" s="811" t="s">
        <v>1635</v>
      </c>
      <c r="O401" s="811" t="s">
        <v>2134</v>
      </c>
      <c r="P401" s="811" t="s">
        <v>1657</v>
      </c>
      <c r="Q401" s="811" t="s">
        <v>1724</v>
      </c>
    </row>
    <row r="402" spans="1:17" x14ac:dyDescent="0.25">
      <c r="A402" s="811" t="s">
        <v>1649</v>
      </c>
      <c r="B402" s="811" t="s">
        <v>2139</v>
      </c>
      <c r="C402" s="812">
        <v>41337934</v>
      </c>
      <c r="D402" s="811" t="s">
        <v>1542</v>
      </c>
      <c r="E402" s="811" t="s">
        <v>1542</v>
      </c>
      <c r="F402" s="811" t="s">
        <v>1698</v>
      </c>
      <c r="G402" s="811" t="s">
        <v>1652</v>
      </c>
      <c r="H402" s="811" t="s">
        <v>1653</v>
      </c>
      <c r="I402" s="811" t="s">
        <v>1654</v>
      </c>
      <c r="J402" s="813">
        <v>41337934</v>
      </c>
      <c r="K402" s="811" t="s">
        <v>1655</v>
      </c>
      <c r="L402" s="811" t="s">
        <v>1212</v>
      </c>
      <c r="M402" s="811" t="s">
        <v>1635</v>
      </c>
      <c r="N402" s="811" t="s">
        <v>1635</v>
      </c>
      <c r="O402" s="811" t="s">
        <v>2134</v>
      </c>
      <c r="P402" s="811" t="s">
        <v>1657</v>
      </c>
      <c r="Q402" s="811" t="s">
        <v>1724</v>
      </c>
    </row>
    <row r="403" spans="1:17" x14ac:dyDescent="0.25">
      <c r="A403" s="811" t="s">
        <v>1649</v>
      </c>
      <c r="B403" s="811" t="s">
        <v>2140</v>
      </c>
      <c r="C403" s="812">
        <v>41337934</v>
      </c>
      <c r="D403" s="811" t="s">
        <v>1445</v>
      </c>
      <c r="E403" s="811" t="s">
        <v>1445</v>
      </c>
      <c r="F403" s="811" t="s">
        <v>1698</v>
      </c>
      <c r="G403" s="811" t="s">
        <v>1652</v>
      </c>
      <c r="H403" s="811" t="s">
        <v>1653</v>
      </c>
      <c r="I403" s="811" t="s">
        <v>1654</v>
      </c>
      <c r="J403" s="813">
        <v>41337934</v>
      </c>
      <c r="K403" s="811" t="s">
        <v>1655</v>
      </c>
      <c r="L403" s="811" t="s">
        <v>1212</v>
      </c>
      <c r="M403" s="811" t="s">
        <v>1635</v>
      </c>
      <c r="N403" s="811" t="s">
        <v>1635</v>
      </c>
      <c r="O403" s="811" t="s">
        <v>2134</v>
      </c>
      <c r="P403" s="811" t="s">
        <v>1657</v>
      </c>
      <c r="Q403" s="811" t="s">
        <v>1724</v>
      </c>
    </row>
    <row r="404" spans="1:17" x14ac:dyDescent="0.25">
      <c r="A404" s="811" t="s">
        <v>1649</v>
      </c>
      <c r="B404" s="811" t="s">
        <v>2141</v>
      </c>
      <c r="C404" s="812">
        <v>29072832</v>
      </c>
      <c r="D404" s="811" t="s">
        <v>1542</v>
      </c>
      <c r="E404" s="811" t="s">
        <v>1542</v>
      </c>
      <c r="F404" s="811" t="s">
        <v>1718</v>
      </c>
      <c r="G404" s="811" t="s">
        <v>1652</v>
      </c>
      <c r="H404" s="811" t="s">
        <v>1653</v>
      </c>
      <c r="I404" s="811" t="s">
        <v>1654</v>
      </c>
      <c r="J404" s="813">
        <v>29072832</v>
      </c>
      <c r="K404" s="811" t="s">
        <v>1655</v>
      </c>
      <c r="L404" s="811" t="s">
        <v>1212</v>
      </c>
      <c r="M404" s="811" t="s">
        <v>1635</v>
      </c>
      <c r="N404" s="811" t="s">
        <v>1635</v>
      </c>
      <c r="O404" s="811" t="s">
        <v>2134</v>
      </c>
      <c r="P404" s="811" t="s">
        <v>1657</v>
      </c>
      <c r="Q404" s="811" t="s">
        <v>1724</v>
      </c>
    </row>
    <row r="405" spans="1:17" x14ac:dyDescent="0.25">
      <c r="A405" s="811" t="s">
        <v>1649</v>
      </c>
      <c r="B405" s="811" t="s">
        <v>2142</v>
      </c>
      <c r="C405" s="812">
        <v>56838880</v>
      </c>
      <c r="D405" s="811" t="s">
        <v>1449</v>
      </c>
      <c r="E405" s="811" t="s">
        <v>1449</v>
      </c>
      <c r="F405" s="811" t="s">
        <v>1698</v>
      </c>
      <c r="G405" s="811" t="s">
        <v>1652</v>
      </c>
      <c r="H405" s="811" t="s">
        <v>1653</v>
      </c>
      <c r="I405" s="811" t="s">
        <v>1654</v>
      </c>
      <c r="J405" s="813">
        <v>56838880</v>
      </c>
      <c r="K405" s="811" t="s">
        <v>1655</v>
      </c>
      <c r="L405" s="811" t="s">
        <v>1212</v>
      </c>
      <c r="M405" s="811" t="s">
        <v>1635</v>
      </c>
      <c r="N405" s="811" t="s">
        <v>1635</v>
      </c>
      <c r="O405" s="811" t="s">
        <v>2134</v>
      </c>
      <c r="P405" s="811" t="s">
        <v>1657</v>
      </c>
      <c r="Q405" s="811" t="s">
        <v>1724</v>
      </c>
    </row>
    <row r="406" spans="1:17" x14ac:dyDescent="0.25">
      <c r="A406" s="811" t="s">
        <v>1649</v>
      </c>
      <c r="B406" s="811" t="s">
        <v>2143</v>
      </c>
      <c r="C406" s="812">
        <v>24530202</v>
      </c>
      <c r="D406" s="811" t="s">
        <v>1445</v>
      </c>
      <c r="E406" s="811" t="s">
        <v>1445</v>
      </c>
      <c r="F406" s="811" t="s">
        <v>1662</v>
      </c>
      <c r="G406" s="811" t="s">
        <v>1652</v>
      </c>
      <c r="H406" s="811" t="s">
        <v>1653</v>
      </c>
      <c r="I406" s="811" t="s">
        <v>1654</v>
      </c>
      <c r="J406" s="813">
        <v>24530202</v>
      </c>
      <c r="K406" s="811" t="s">
        <v>1655</v>
      </c>
      <c r="L406" s="811" t="s">
        <v>1212</v>
      </c>
      <c r="M406" s="811" t="s">
        <v>1635</v>
      </c>
      <c r="N406" s="811" t="s">
        <v>1635</v>
      </c>
      <c r="O406" s="811" t="s">
        <v>2134</v>
      </c>
      <c r="P406" s="811" t="s">
        <v>1657</v>
      </c>
      <c r="Q406" s="811" t="s">
        <v>1724</v>
      </c>
    </row>
    <row r="407" spans="1:17" x14ac:dyDescent="0.25">
      <c r="A407" s="811" t="s">
        <v>1649</v>
      </c>
      <c r="B407" s="811" t="s">
        <v>2144</v>
      </c>
      <c r="C407" s="812">
        <v>32704000</v>
      </c>
      <c r="D407" s="811" t="s">
        <v>1446</v>
      </c>
      <c r="E407" s="811" t="s">
        <v>1446</v>
      </c>
      <c r="F407" s="811" t="s">
        <v>1651</v>
      </c>
      <c r="G407" s="811" t="s">
        <v>1652</v>
      </c>
      <c r="H407" s="811" t="s">
        <v>1653</v>
      </c>
      <c r="I407" s="811" t="s">
        <v>1654</v>
      </c>
      <c r="J407" s="813">
        <v>32704000</v>
      </c>
      <c r="K407" s="811" t="s">
        <v>1655</v>
      </c>
      <c r="L407" s="811" t="s">
        <v>1212</v>
      </c>
      <c r="M407" s="811" t="s">
        <v>1635</v>
      </c>
      <c r="N407" s="811" t="s">
        <v>1635</v>
      </c>
      <c r="O407" s="811" t="s">
        <v>1769</v>
      </c>
      <c r="P407" s="811" t="s">
        <v>1657</v>
      </c>
      <c r="Q407" s="811" t="s">
        <v>1705</v>
      </c>
    </row>
    <row r="408" spans="1:17" x14ac:dyDescent="0.25">
      <c r="A408" s="811" t="s">
        <v>1649</v>
      </c>
      <c r="B408" s="811" t="s">
        <v>2145</v>
      </c>
      <c r="C408" s="812">
        <v>30000000</v>
      </c>
      <c r="D408" s="811" t="s">
        <v>1454</v>
      </c>
      <c r="E408" s="811" t="s">
        <v>1454</v>
      </c>
      <c r="F408" s="811" t="s">
        <v>1739</v>
      </c>
      <c r="G408" s="811" t="s">
        <v>1652</v>
      </c>
      <c r="H408" s="811" t="s">
        <v>1653</v>
      </c>
      <c r="I408" s="811" t="s">
        <v>1654</v>
      </c>
      <c r="J408" s="813">
        <v>30000000</v>
      </c>
      <c r="K408" s="811" t="s">
        <v>1655</v>
      </c>
      <c r="L408" s="811" t="s">
        <v>1212</v>
      </c>
      <c r="M408" s="811" t="s">
        <v>1635</v>
      </c>
      <c r="N408" s="811" t="s">
        <v>1635</v>
      </c>
      <c r="O408" s="811" t="s">
        <v>1769</v>
      </c>
      <c r="P408" s="811" t="s">
        <v>1657</v>
      </c>
      <c r="Q408" s="811" t="s">
        <v>1705</v>
      </c>
    </row>
    <row r="409" spans="1:17" x14ac:dyDescent="0.25">
      <c r="A409" s="811" t="s">
        <v>1649</v>
      </c>
      <c r="B409" s="811" t="s">
        <v>2146</v>
      </c>
      <c r="C409" s="812">
        <v>8000000</v>
      </c>
      <c r="D409" s="811" t="s">
        <v>1449</v>
      </c>
      <c r="E409" s="811" t="s">
        <v>1449</v>
      </c>
      <c r="F409" s="811" t="s">
        <v>1685</v>
      </c>
      <c r="G409" s="811" t="s">
        <v>1652</v>
      </c>
      <c r="H409" s="811" t="s">
        <v>1653</v>
      </c>
      <c r="I409" s="811" t="s">
        <v>1654</v>
      </c>
      <c r="J409" s="813">
        <v>8000000</v>
      </c>
      <c r="K409" s="811" t="s">
        <v>1655</v>
      </c>
      <c r="L409" s="811" t="s">
        <v>1212</v>
      </c>
      <c r="M409" s="811" t="s">
        <v>1635</v>
      </c>
      <c r="N409" s="811" t="s">
        <v>1635</v>
      </c>
      <c r="O409" s="811" t="s">
        <v>1704</v>
      </c>
      <c r="P409" s="811" t="s">
        <v>1657</v>
      </c>
      <c r="Q409" s="811" t="s">
        <v>1705</v>
      </c>
    </row>
    <row r="410" spans="1:17" x14ac:dyDescent="0.25">
      <c r="A410" s="811" t="s">
        <v>1649</v>
      </c>
      <c r="B410" s="811" t="s">
        <v>2147</v>
      </c>
      <c r="C410" s="812">
        <v>5940000</v>
      </c>
      <c r="D410" s="811" t="s">
        <v>1449</v>
      </c>
      <c r="E410" s="811" t="s">
        <v>1449</v>
      </c>
      <c r="F410" s="811" t="s">
        <v>1689</v>
      </c>
      <c r="G410" s="811" t="s">
        <v>1652</v>
      </c>
      <c r="H410" s="811" t="s">
        <v>1653</v>
      </c>
      <c r="I410" s="811" t="s">
        <v>1654</v>
      </c>
      <c r="J410" s="813">
        <v>5940000</v>
      </c>
      <c r="K410" s="811" t="s">
        <v>1655</v>
      </c>
      <c r="L410" s="811" t="s">
        <v>1212</v>
      </c>
      <c r="M410" s="811" t="s">
        <v>1635</v>
      </c>
      <c r="N410" s="811" t="s">
        <v>1635</v>
      </c>
      <c r="O410" s="811" t="s">
        <v>1704</v>
      </c>
      <c r="P410" s="811" t="s">
        <v>1657</v>
      </c>
      <c r="Q410" s="811" t="s">
        <v>1705</v>
      </c>
    </row>
    <row r="411" spans="1:17" x14ac:dyDescent="0.25">
      <c r="A411" s="811" t="s">
        <v>1649</v>
      </c>
      <c r="B411" s="811" t="s">
        <v>2148</v>
      </c>
      <c r="C411" s="812">
        <v>42000000</v>
      </c>
      <c r="D411" s="811" t="s">
        <v>1453</v>
      </c>
      <c r="E411" s="811" t="s">
        <v>1453</v>
      </c>
      <c r="F411" s="811" t="s">
        <v>1698</v>
      </c>
      <c r="G411" s="811" t="s">
        <v>1652</v>
      </c>
      <c r="H411" s="811" t="s">
        <v>1653</v>
      </c>
      <c r="I411" s="811" t="s">
        <v>1654</v>
      </c>
      <c r="J411" s="813">
        <v>42000000</v>
      </c>
      <c r="K411" s="811" t="s">
        <v>1655</v>
      </c>
      <c r="L411" s="811" t="s">
        <v>1212</v>
      </c>
      <c r="M411" s="811" t="s">
        <v>1635</v>
      </c>
      <c r="N411" s="811" t="s">
        <v>1635</v>
      </c>
      <c r="O411" s="811" t="s">
        <v>1704</v>
      </c>
      <c r="P411" s="811" t="s">
        <v>1657</v>
      </c>
      <c r="Q411" s="811" t="s">
        <v>1705</v>
      </c>
    </row>
    <row r="412" spans="1:17" x14ac:dyDescent="0.25">
      <c r="A412" s="811" t="s">
        <v>1649</v>
      </c>
      <c r="B412" s="811" t="s">
        <v>2149</v>
      </c>
      <c r="C412" s="812">
        <v>35000000</v>
      </c>
      <c r="D412" s="811" t="s">
        <v>1453</v>
      </c>
      <c r="E412" s="811" t="s">
        <v>1453</v>
      </c>
      <c r="F412" s="811" t="s">
        <v>1698</v>
      </c>
      <c r="G412" s="811" t="s">
        <v>1652</v>
      </c>
      <c r="H412" s="811" t="s">
        <v>1653</v>
      </c>
      <c r="I412" s="811" t="s">
        <v>1654</v>
      </c>
      <c r="J412" s="813">
        <v>35000000</v>
      </c>
      <c r="K412" s="811" t="s">
        <v>1655</v>
      </c>
      <c r="L412" s="811" t="s">
        <v>1212</v>
      </c>
      <c r="M412" s="811" t="s">
        <v>1635</v>
      </c>
      <c r="N412" s="811" t="s">
        <v>1635</v>
      </c>
      <c r="O412" s="811" t="s">
        <v>1704</v>
      </c>
      <c r="P412" s="811" t="s">
        <v>1657</v>
      </c>
      <c r="Q412" s="811" t="s">
        <v>1705</v>
      </c>
    </row>
    <row r="413" spans="1:17" x14ac:dyDescent="0.25">
      <c r="A413" s="811" t="s">
        <v>1649</v>
      </c>
      <c r="B413" s="811" t="s">
        <v>2150</v>
      </c>
      <c r="C413" s="812">
        <v>20440000</v>
      </c>
      <c r="D413" s="811" t="s">
        <v>1453</v>
      </c>
      <c r="E413" s="811" t="s">
        <v>1453</v>
      </c>
      <c r="F413" s="811" t="s">
        <v>1739</v>
      </c>
      <c r="G413" s="811" t="s">
        <v>1652</v>
      </c>
      <c r="H413" s="811" t="s">
        <v>1653</v>
      </c>
      <c r="I413" s="811" t="s">
        <v>1654</v>
      </c>
      <c r="J413" s="813">
        <v>20440000</v>
      </c>
      <c r="K413" s="811" t="s">
        <v>1655</v>
      </c>
      <c r="L413" s="811" t="s">
        <v>1212</v>
      </c>
      <c r="M413" s="811" t="s">
        <v>1635</v>
      </c>
      <c r="N413" s="811" t="s">
        <v>1635</v>
      </c>
      <c r="O413" s="811" t="s">
        <v>1704</v>
      </c>
      <c r="P413" s="811" t="s">
        <v>1657</v>
      </c>
      <c r="Q413" s="811" t="s">
        <v>1705</v>
      </c>
    </row>
    <row r="414" spans="1:17" x14ac:dyDescent="0.25">
      <c r="A414" s="811" t="s">
        <v>1649</v>
      </c>
      <c r="B414" s="811" t="s">
        <v>2151</v>
      </c>
      <c r="C414" s="812">
        <v>21000000</v>
      </c>
      <c r="D414" s="811" t="s">
        <v>1453</v>
      </c>
      <c r="E414" s="811" t="s">
        <v>1453</v>
      </c>
      <c r="F414" s="811" t="s">
        <v>1698</v>
      </c>
      <c r="G414" s="811" t="s">
        <v>1652</v>
      </c>
      <c r="H414" s="811" t="s">
        <v>1653</v>
      </c>
      <c r="I414" s="811" t="s">
        <v>1654</v>
      </c>
      <c r="J414" s="813">
        <v>21000000</v>
      </c>
      <c r="K414" s="811" t="s">
        <v>1655</v>
      </c>
      <c r="L414" s="811" t="s">
        <v>1212</v>
      </c>
      <c r="M414" s="811" t="s">
        <v>1635</v>
      </c>
      <c r="N414" s="811" t="s">
        <v>1635</v>
      </c>
      <c r="O414" s="811" t="s">
        <v>1704</v>
      </c>
      <c r="P414" s="811" t="s">
        <v>1657</v>
      </c>
      <c r="Q414" s="811" t="s">
        <v>1705</v>
      </c>
    </row>
    <row r="415" spans="1:17" x14ac:dyDescent="0.25">
      <c r="A415" s="811" t="s">
        <v>2152</v>
      </c>
      <c r="B415" s="811" t="s">
        <v>2153</v>
      </c>
      <c r="C415" s="812">
        <v>281078765</v>
      </c>
      <c r="D415" s="811" t="s">
        <v>1445</v>
      </c>
      <c r="E415" s="811" t="s">
        <v>1445</v>
      </c>
      <c r="F415" s="811" t="s">
        <v>1718</v>
      </c>
      <c r="G415" s="811" t="s">
        <v>1652</v>
      </c>
      <c r="H415" s="811" t="s">
        <v>1829</v>
      </c>
      <c r="I415" s="811" t="s">
        <v>1654</v>
      </c>
      <c r="J415" s="813">
        <v>281078765</v>
      </c>
      <c r="K415" s="811" t="s">
        <v>1655</v>
      </c>
      <c r="L415" s="811" t="s">
        <v>1212</v>
      </c>
      <c r="M415" s="811" t="s">
        <v>1635</v>
      </c>
      <c r="N415" s="811" t="s">
        <v>1635</v>
      </c>
      <c r="O415" s="811" t="s">
        <v>1704</v>
      </c>
      <c r="P415" s="811" t="s">
        <v>1657</v>
      </c>
      <c r="Q415" s="811" t="s">
        <v>1705</v>
      </c>
    </row>
    <row r="416" spans="1:17" x14ac:dyDescent="0.25">
      <c r="A416" s="811" t="s">
        <v>2154</v>
      </c>
      <c r="B416" s="811" t="s">
        <v>2155</v>
      </c>
      <c r="C416" s="812">
        <v>351000000</v>
      </c>
      <c r="D416" s="811" t="s">
        <v>1542</v>
      </c>
      <c r="E416" s="811" t="s">
        <v>1446</v>
      </c>
      <c r="F416" s="811" t="s">
        <v>1999</v>
      </c>
      <c r="G416" s="811" t="s">
        <v>1652</v>
      </c>
      <c r="H416" s="811" t="s">
        <v>1790</v>
      </c>
      <c r="I416" s="811" t="s">
        <v>1654</v>
      </c>
      <c r="J416" s="813">
        <v>351000000</v>
      </c>
      <c r="K416" s="811" t="s">
        <v>1655</v>
      </c>
      <c r="L416" s="811" t="s">
        <v>1212</v>
      </c>
      <c r="M416" s="811" t="s">
        <v>1635</v>
      </c>
      <c r="N416" s="811" t="s">
        <v>1635</v>
      </c>
      <c r="O416" s="811" t="s">
        <v>1704</v>
      </c>
      <c r="P416" s="811" t="s">
        <v>1657</v>
      </c>
      <c r="Q416" s="811" t="s">
        <v>1705</v>
      </c>
    </row>
    <row r="417" spans="1:17" x14ac:dyDescent="0.25">
      <c r="A417" s="811" t="s">
        <v>2156</v>
      </c>
      <c r="B417" s="811" t="s">
        <v>2157</v>
      </c>
      <c r="C417" s="812">
        <v>365849462</v>
      </c>
      <c r="D417" s="811" t="s">
        <v>1446</v>
      </c>
      <c r="E417" s="811" t="s">
        <v>1446</v>
      </c>
      <c r="F417" s="811" t="s">
        <v>1662</v>
      </c>
      <c r="G417" s="811" t="s">
        <v>1652</v>
      </c>
      <c r="H417" s="811" t="s">
        <v>1728</v>
      </c>
      <c r="I417" s="811" t="s">
        <v>1654</v>
      </c>
      <c r="J417" s="813">
        <v>368824461</v>
      </c>
      <c r="K417" s="811" t="s">
        <v>1655</v>
      </c>
      <c r="L417" s="811" t="s">
        <v>1212</v>
      </c>
      <c r="M417" s="811" t="s">
        <v>1635</v>
      </c>
      <c r="N417" s="811" t="s">
        <v>1635</v>
      </c>
      <c r="O417" s="811" t="s">
        <v>1704</v>
      </c>
      <c r="P417" s="811" t="s">
        <v>1657</v>
      </c>
      <c r="Q417" s="811" t="s">
        <v>1705</v>
      </c>
    </row>
    <row r="418" spans="1:17" x14ac:dyDescent="0.25">
      <c r="A418" s="811" t="s">
        <v>2154</v>
      </c>
      <c r="B418" s="811" t="s">
        <v>2158</v>
      </c>
      <c r="C418" s="812">
        <v>2425072235</v>
      </c>
      <c r="D418" s="811" t="s">
        <v>1469</v>
      </c>
      <c r="E418" s="811" t="s">
        <v>1458</v>
      </c>
      <c r="F418" s="811" t="s">
        <v>1662</v>
      </c>
      <c r="G418" s="811" t="s">
        <v>1652</v>
      </c>
      <c r="H418" s="811" t="s">
        <v>1784</v>
      </c>
      <c r="I418" s="811" t="s">
        <v>1654</v>
      </c>
      <c r="J418" s="813">
        <v>2425072235</v>
      </c>
      <c r="K418" s="811" t="s">
        <v>1655</v>
      </c>
      <c r="L418" s="811" t="s">
        <v>1212</v>
      </c>
      <c r="M418" s="811" t="s">
        <v>1635</v>
      </c>
      <c r="N418" s="811" t="s">
        <v>1635</v>
      </c>
      <c r="O418" s="811" t="s">
        <v>1704</v>
      </c>
      <c r="P418" s="811" t="s">
        <v>1657</v>
      </c>
      <c r="Q418" s="811" t="s">
        <v>1705</v>
      </c>
    </row>
    <row r="419" spans="1:17" x14ac:dyDescent="0.25">
      <c r="A419" s="811" t="s">
        <v>2159</v>
      </c>
      <c r="B419" s="811" t="s">
        <v>2160</v>
      </c>
      <c r="C419" s="812">
        <v>100000000</v>
      </c>
      <c r="D419" s="811" t="s">
        <v>2161</v>
      </c>
      <c r="E419" s="811" t="s">
        <v>2161</v>
      </c>
      <c r="F419" s="811" t="s">
        <v>1999</v>
      </c>
      <c r="G419" s="811" t="s">
        <v>1652</v>
      </c>
      <c r="H419" s="811" t="s">
        <v>1790</v>
      </c>
      <c r="I419" s="811" t="s">
        <v>1654</v>
      </c>
      <c r="J419" s="813">
        <v>100000000</v>
      </c>
      <c r="K419" s="811" t="s">
        <v>1655</v>
      </c>
      <c r="L419" s="811" t="s">
        <v>1212</v>
      </c>
      <c r="M419" s="811" t="s">
        <v>1635</v>
      </c>
      <c r="N419" s="811" t="s">
        <v>1635</v>
      </c>
      <c r="O419" s="811" t="s">
        <v>1704</v>
      </c>
      <c r="P419" s="811" t="s">
        <v>1657</v>
      </c>
      <c r="Q419" s="811" t="s">
        <v>1705</v>
      </c>
    </row>
    <row r="420" spans="1:17" x14ac:dyDescent="0.25">
      <c r="A420" s="811" t="s">
        <v>1830</v>
      </c>
      <c r="B420" s="811" t="s">
        <v>2162</v>
      </c>
      <c r="C420" s="812">
        <v>5000000000</v>
      </c>
      <c r="D420" s="811" t="s">
        <v>1449</v>
      </c>
      <c r="E420" s="811" t="s">
        <v>1445</v>
      </c>
      <c r="F420" s="811" t="s">
        <v>1685</v>
      </c>
      <c r="G420" s="811" t="s">
        <v>1652</v>
      </c>
      <c r="H420" s="811" t="s">
        <v>1740</v>
      </c>
      <c r="I420" s="811" t="s">
        <v>1654</v>
      </c>
      <c r="J420" s="813">
        <v>5000000000</v>
      </c>
      <c r="K420" s="811" t="s">
        <v>1655</v>
      </c>
      <c r="L420" s="811" t="s">
        <v>1212</v>
      </c>
      <c r="M420" s="811" t="s">
        <v>1635</v>
      </c>
      <c r="N420" s="811" t="s">
        <v>1635</v>
      </c>
      <c r="O420" s="811" t="s">
        <v>1769</v>
      </c>
      <c r="P420" s="811" t="s">
        <v>1657</v>
      </c>
      <c r="Q420" s="811" t="s">
        <v>1705</v>
      </c>
    </row>
    <row r="421" spans="1:17" x14ac:dyDescent="0.25">
      <c r="A421" s="811" t="s">
        <v>1649</v>
      </c>
      <c r="B421" s="811" t="s">
        <v>2163</v>
      </c>
      <c r="C421" s="812">
        <v>73039148</v>
      </c>
      <c r="D421" s="811" t="s">
        <v>1445</v>
      </c>
      <c r="E421" s="811" t="s">
        <v>1445</v>
      </c>
      <c r="F421" s="811" t="s">
        <v>1666</v>
      </c>
      <c r="G421" s="811" t="s">
        <v>1652</v>
      </c>
      <c r="H421" s="811" t="s">
        <v>1653</v>
      </c>
      <c r="I421" s="811" t="s">
        <v>1654</v>
      </c>
      <c r="J421" s="813">
        <v>73039148</v>
      </c>
      <c r="K421" s="811" t="s">
        <v>1655</v>
      </c>
      <c r="L421" s="811" t="s">
        <v>1212</v>
      </c>
      <c r="M421" s="811" t="s">
        <v>1635</v>
      </c>
      <c r="N421" s="811" t="s">
        <v>1635</v>
      </c>
      <c r="O421" s="811" t="s">
        <v>1769</v>
      </c>
      <c r="P421" s="811" t="s">
        <v>1657</v>
      </c>
      <c r="Q421" s="811" t="s">
        <v>1705</v>
      </c>
    </row>
    <row r="422" spans="1:17" x14ac:dyDescent="0.25">
      <c r="A422" s="811" t="s">
        <v>1649</v>
      </c>
      <c r="B422" s="811" t="s">
        <v>2164</v>
      </c>
      <c r="C422" s="812">
        <v>39000000</v>
      </c>
      <c r="D422" s="811" t="s">
        <v>1454</v>
      </c>
      <c r="E422" s="811" t="s">
        <v>1454</v>
      </c>
      <c r="F422" s="811" t="s">
        <v>1662</v>
      </c>
      <c r="G422" s="811" t="s">
        <v>1652</v>
      </c>
      <c r="H422" s="811" t="s">
        <v>1653</v>
      </c>
      <c r="I422" s="811" t="s">
        <v>1654</v>
      </c>
      <c r="J422" s="813">
        <v>39000000</v>
      </c>
      <c r="K422" s="811" t="s">
        <v>1655</v>
      </c>
      <c r="L422" s="811" t="s">
        <v>1212</v>
      </c>
      <c r="M422" s="811" t="s">
        <v>1635</v>
      </c>
      <c r="N422" s="811" t="s">
        <v>1635</v>
      </c>
      <c r="O422" s="811" t="s">
        <v>1769</v>
      </c>
      <c r="P422" s="811" t="s">
        <v>1657</v>
      </c>
      <c r="Q422" s="811" t="s">
        <v>1705</v>
      </c>
    </row>
    <row r="423" spans="1:17" x14ac:dyDescent="0.25">
      <c r="A423" s="811" t="s">
        <v>1649</v>
      </c>
      <c r="B423" s="811" t="s">
        <v>2165</v>
      </c>
      <c r="C423" s="812">
        <v>39900000</v>
      </c>
      <c r="D423" s="811" t="s">
        <v>1453</v>
      </c>
      <c r="E423" s="811" t="s">
        <v>1453</v>
      </c>
      <c r="F423" s="811" t="s">
        <v>1698</v>
      </c>
      <c r="G423" s="811" t="s">
        <v>1652</v>
      </c>
      <c r="H423" s="811" t="s">
        <v>1653</v>
      </c>
      <c r="I423" s="811" t="s">
        <v>1654</v>
      </c>
      <c r="J423" s="813">
        <v>39900000</v>
      </c>
      <c r="K423" s="811" t="s">
        <v>1655</v>
      </c>
      <c r="L423" s="811" t="s">
        <v>1212</v>
      </c>
      <c r="M423" s="811" t="s">
        <v>1635</v>
      </c>
      <c r="N423" s="811" t="s">
        <v>1635</v>
      </c>
      <c r="O423" s="811" t="s">
        <v>1769</v>
      </c>
      <c r="P423" s="811" t="s">
        <v>1657</v>
      </c>
      <c r="Q423" s="811" t="s">
        <v>1705</v>
      </c>
    </row>
    <row r="424" spans="1:17" x14ac:dyDescent="0.25">
      <c r="A424" s="811" t="s">
        <v>1649</v>
      </c>
      <c r="B424" s="811" t="s">
        <v>2166</v>
      </c>
      <c r="C424" s="812">
        <v>35550000</v>
      </c>
      <c r="D424" s="811" t="s">
        <v>1445</v>
      </c>
      <c r="E424" s="811" t="s">
        <v>1445</v>
      </c>
      <c r="F424" s="811" t="s">
        <v>1666</v>
      </c>
      <c r="G424" s="811" t="s">
        <v>1652</v>
      </c>
      <c r="H424" s="811" t="s">
        <v>1653</v>
      </c>
      <c r="I424" s="811" t="s">
        <v>1654</v>
      </c>
      <c r="J424" s="813">
        <v>35550000</v>
      </c>
      <c r="K424" s="811" t="s">
        <v>1655</v>
      </c>
      <c r="L424" s="811" t="s">
        <v>1212</v>
      </c>
      <c r="M424" s="811" t="s">
        <v>1635</v>
      </c>
      <c r="N424" s="811" t="s">
        <v>1635</v>
      </c>
      <c r="O424" s="811" t="s">
        <v>1769</v>
      </c>
      <c r="P424" s="811" t="s">
        <v>1657</v>
      </c>
      <c r="Q424" s="811" t="s">
        <v>1705</v>
      </c>
    </row>
    <row r="425" spans="1:17" x14ac:dyDescent="0.25">
      <c r="A425" s="811" t="s">
        <v>2167</v>
      </c>
      <c r="B425" s="811" t="s">
        <v>2168</v>
      </c>
      <c r="C425" s="812">
        <v>43000000000</v>
      </c>
      <c r="D425" s="811" t="s">
        <v>1449</v>
      </c>
      <c r="E425" s="811" t="s">
        <v>1445</v>
      </c>
      <c r="F425" s="811" t="s">
        <v>2169</v>
      </c>
      <c r="G425" s="811" t="s">
        <v>1652</v>
      </c>
      <c r="H425" s="811" t="s">
        <v>2170</v>
      </c>
      <c r="I425" s="811" t="s">
        <v>2171</v>
      </c>
      <c r="J425" s="813">
        <v>43000000000</v>
      </c>
      <c r="K425" s="811" t="s">
        <v>1655</v>
      </c>
      <c r="L425" s="811" t="s">
        <v>1212</v>
      </c>
      <c r="M425" s="811" t="s">
        <v>1635</v>
      </c>
      <c r="N425" s="811" t="s">
        <v>1635</v>
      </c>
      <c r="O425" s="811" t="s">
        <v>1704</v>
      </c>
      <c r="P425" s="811" t="s">
        <v>1657</v>
      </c>
      <c r="Q425" s="811" t="s">
        <v>1705</v>
      </c>
    </row>
    <row r="426" spans="1:17" x14ac:dyDescent="0.25">
      <c r="A426" s="811" t="s">
        <v>1830</v>
      </c>
      <c r="B426" s="811" t="s">
        <v>2172</v>
      </c>
      <c r="C426" s="812">
        <v>6474000000</v>
      </c>
      <c r="D426" s="811" t="s">
        <v>1449</v>
      </c>
      <c r="E426" s="811" t="s">
        <v>1445</v>
      </c>
      <c r="F426" s="811" t="s">
        <v>2169</v>
      </c>
      <c r="G426" s="811" t="s">
        <v>1652</v>
      </c>
      <c r="H426" s="811" t="s">
        <v>1829</v>
      </c>
      <c r="I426" s="811" t="s">
        <v>1654</v>
      </c>
      <c r="J426" s="813">
        <v>6474000000</v>
      </c>
      <c r="K426" s="811" t="s">
        <v>1655</v>
      </c>
      <c r="L426" s="811" t="s">
        <v>1212</v>
      </c>
      <c r="M426" s="811" t="s">
        <v>1635</v>
      </c>
      <c r="N426" s="811" t="s">
        <v>1635</v>
      </c>
      <c r="O426" s="811" t="s">
        <v>1704</v>
      </c>
      <c r="P426" s="811" t="s">
        <v>1657</v>
      </c>
      <c r="Q426" s="811" t="s">
        <v>1705</v>
      </c>
    </row>
    <row r="427" spans="1:17" x14ac:dyDescent="0.25">
      <c r="A427" s="811" t="s">
        <v>1649</v>
      </c>
      <c r="B427" s="811" t="s">
        <v>2173</v>
      </c>
      <c r="C427" s="812">
        <v>27000000</v>
      </c>
      <c r="D427" s="811" t="s">
        <v>1445</v>
      </c>
      <c r="E427" s="811" t="s">
        <v>1445</v>
      </c>
      <c r="F427" s="811" t="s">
        <v>1666</v>
      </c>
      <c r="G427" s="811" t="s">
        <v>1652</v>
      </c>
      <c r="H427" s="811" t="s">
        <v>1653</v>
      </c>
      <c r="I427" s="811" t="s">
        <v>1654</v>
      </c>
      <c r="J427" s="813">
        <v>27000000</v>
      </c>
      <c r="K427" s="811" t="s">
        <v>1655</v>
      </c>
      <c r="L427" s="811" t="s">
        <v>1212</v>
      </c>
      <c r="M427" s="811" t="s">
        <v>1635</v>
      </c>
      <c r="N427" s="811"/>
      <c r="O427" s="811" t="s">
        <v>1769</v>
      </c>
      <c r="P427" s="811" t="s">
        <v>1657</v>
      </c>
      <c r="Q427" s="811" t="s">
        <v>1705</v>
      </c>
    </row>
    <row r="428" spans="1:17" x14ac:dyDescent="0.25">
      <c r="A428" s="811" t="s">
        <v>1649</v>
      </c>
      <c r="B428" s="811" t="s">
        <v>2174</v>
      </c>
      <c r="C428" s="812">
        <v>39900000</v>
      </c>
      <c r="D428" s="811" t="s">
        <v>1453</v>
      </c>
      <c r="E428" s="811" t="s">
        <v>1453</v>
      </c>
      <c r="F428" s="811" t="s">
        <v>1698</v>
      </c>
      <c r="G428" s="811" t="s">
        <v>1652</v>
      </c>
      <c r="H428" s="811" t="s">
        <v>1653</v>
      </c>
      <c r="I428" s="811" t="s">
        <v>1654</v>
      </c>
      <c r="J428" s="813">
        <v>39900000</v>
      </c>
      <c r="K428" s="811" t="s">
        <v>1655</v>
      </c>
      <c r="L428" s="811" t="s">
        <v>1212</v>
      </c>
      <c r="M428" s="811" t="s">
        <v>1635</v>
      </c>
      <c r="N428" s="811" t="s">
        <v>1635</v>
      </c>
      <c r="O428" s="811" t="s">
        <v>1769</v>
      </c>
      <c r="P428" s="811" t="s">
        <v>1657</v>
      </c>
      <c r="Q428" s="811" t="s">
        <v>1705</v>
      </c>
    </row>
    <row r="429" spans="1:17" x14ac:dyDescent="0.25">
      <c r="A429" s="811" t="s">
        <v>1649</v>
      </c>
      <c r="B429" s="811" t="s">
        <v>2175</v>
      </c>
      <c r="C429" s="812">
        <v>58128384</v>
      </c>
      <c r="D429" s="811" t="s">
        <v>1449</v>
      </c>
      <c r="E429" s="811" t="s">
        <v>1449</v>
      </c>
      <c r="F429" s="811" t="s">
        <v>1651</v>
      </c>
      <c r="G429" s="811" t="s">
        <v>1652</v>
      </c>
      <c r="H429" s="811" t="s">
        <v>1653</v>
      </c>
      <c r="I429" s="811" t="s">
        <v>1654</v>
      </c>
      <c r="J429" s="813">
        <v>58128384</v>
      </c>
      <c r="K429" s="811" t="s">
        <v>1655</v>
      </c>
      <c r="L429" s="811" t="s">
        <v>1212</v>
      </c>
      <c r="M429" s="811" t="s">
        <v>1635</v>
      </c>
      <c r="N429" s="811" t="s">
        <v>1635</v>
      </c>
      <c r="O429" s="811" t="s">
        <v>1845</v>
      </c>
      <c r="P429" s="811" t="s">
        <v>1657</v>
      </c>
      <c r="Q429" s="811" t="s">
        <v>1710</v>
      </c>
    </row>
    <row r="430" spans="1:17" x14ac:dyDescent="0.25">
      <c r="A430" s="811" t="s">
        <v>1649</v>
      </c>
      <c r="B430" s="811" t="s">
        <v>2176</v>
      </c>
      <c r="C430" s="812">
        <v>55000000</v>
      </c>
      <c r="D430" s="811" t="s">
        <v>1445</v>
      </c>
      <c r="E430" s="811" t="s">
        <v>1445</v>
      </c>
      <c r="F430" s="811" t="s">
        <v>1685</v>
      </c>
      <c r="G430" s="811" t="s">
        <v>1652</v>
      </c>
      <c r="H430" s="811" t="s">
        <v>1653</v>
      </c>
      <c r="I430" s="811" t="s">
        <v>1654</v>
      </c>
      <c r="J430" s="813">
        <v>55000000</v>
      </c>
      <c r="K430" s="811" t="s">
        <v>1655</v>
      </c>
      <c r="L430" s="811" t="s">
        <v>1212</v>
      </c>
      <c r="M430" s="811" t="s">
        <v>1635</v>
      </c>
      <c r="N430" s="811" t="s">
        <v>1635</v>
      </c>
      <c r="O430" s="811" t="s">
        <v>1845</v>
      </c>
      <c r="P430" s="811" t="s">
        <v>1657</v>
      </c>
      <c r="Q430" s="811" t="s">
        <v>1710</v>
      </c>
    </row>
    <row r="431" spans="1:17" x14ac:dyDescent="0.25">
      <c r="A431" s="811" t="s">
        <v>1649</v>
      </c>
      <c r="B431" s="811" t="s">
        <v>2177</v>
      </c>
      <c r="C431" s="812">
        <v>59054190</v>
      </c>
      <c r="D431" s="811" t="s">
        <v>1445</v>
      </c>
      <c r="E431" s="811" t="s">
        <v>1445</v>
      </c>
      <c r="F431" s="811" t="s">
        <v>1685</v>
      </c>
      <c r="G431" s="811" t="s">
        <v>1652</v>
      </c>
      <c r="H431" s="811" t="s">
        <v>1653</v>
      </c>
      <c r="I431" s="811" t="s">
        <v>1654</v>
      </c>
      <c r="J431" s="813">
        <v>59054190</v>
      </c>
      <c r="K431" s="811" t="s">
        <v>1655</v>
      </c>
      <c r="L431" s="811" t="s">
        <v>1212</v>
      </c>
      <c r="M431" s="811" t="s">
        <v>1635</v>
      </c>
      <c r="N431" s="811" t="s">
        <v>1635</v>
      </c>
      <c r="O431" s="811" t="s">
        <v>1845</v>
      </c>
      <c r="P431" s="811" t="s">
        <v>1657</v>
      </c>
      <c r="Q431" s="811" t="s">
        <v>1710</v>
      </c>
    </row>
    <row r="432" spans="1:17" x14ac:dyDescent="0.25">
      <c r="A432" s="811" t="s">
        <v>1649</v>
      </c>
      <c r="B432" s="811" t="s">
        <v>2178</v>
      </c>
      <c r="C432" s="812">
        <v>32979493</v>
      </c>
      <c r="D432" s="811" t="s">
        <v>1542</v>
      </c>
      <c r="E432" s="811" t="s">
        <v>1542</v>
      </c>
      <c r="F432" s="811" t="s">
        <v>1666</v>
      </c>
      <c r="G432" s="811" t="s">
        <v>1652</v>
      </c>
      <c r="H432" s="811" t="s">
        <v>1653</v>
      </c>
      <c r="I432" s="811" t="s">
        <v>1654</v>
      </c>
      <c r="J432" s="813">
        <v>32979493</v>
      </c>
      <c r="K432" s="811" t="s">
        <v>1655</v>
      </c>
      <c r="L432" s="811" t="s">
        <v>1212</v>
      </c>
      <c r="M432" s="811" t="s">
        <v>1635</v>
      </c>
      <c r="N432" s="811" t="s">
        <v>1635</v>
      </c>
      <c r="O432" s="811" t="s">
        <v>1845</v>
      </c>
      <c r="P432" s="811" t="s">
        <v>1657</v>
      </c>
      <c r="Q432" s="811" t="s">
        <v>1710</v>
      </c>
    </row>
    <row r="433" spans="1:17" x14ac:dyDescent="0.25">
      <c r="A433" s="811" t="s">
        <v>1649</v>
      </c>
      <c r="B433" s="811" t="s">
        <v>2179</v>
      </c>
      <c r="C433" s="812">
        <v>29972448</v>
      </c>
      <c r="D433" s="811" t="s">
        <v>1445</v>
      </c>
      <c r="E433" s="811" t="s">
        <v>1445</v>
      </c>
      <c r="F433" s="811" t="s">
        <v>1685</v>
      </c>
      <c r="G433" s="811" t="s">
        <v>1652</v>
      </c>
      <c r="H433" s="811" t="s">
        <v>1653</v>
      </c>
      <c r="I433" s="811" t="s">
        <v>1654</v>
      </c>
      <c r="J433" s="813">
        <v>29972448</v>
      </c>
      <c r="K433" s="811" t="s">
        <v>1655</v>
      </c>
      <c r="L433" s="811" t="s">
        <v>1212</v>
      </c>
      <c r="M433" s="811" t="s">
        <v>1635</v>
      </c>
      <c r="N433" s="811" t="s">
        <v>1635</v>
      </c>
      <c r="O433" s="811" t="s">
        <v>1845</v>
      </c>
      <c r="P433" s="811" t="s">
        <v>1657</v>
      </c>
      <c r="Q433" s="811" t="s">
        <v>1710</v>
      </c>
    </row>
    <row r="434" spans="1:17" x14ac:dyDescent="0.25">
      <c r="A434" s="811" t="s">
        <v>1649</v>
      </c>
      <c r="B434" s="811" t="s">
        <v>2180</v>
      </c>
      <c r="C434" s="812">
        <v>34967856</v>
      </c>
      <c r="D434" s="811" t="s">
        <v>1449</v>
      </c>
      <c r="E434" s="811" t="s">
        <v>1449</v>
      </c>
      <c r="F434" s="811" t="s">
        <v>1689</v>
      </c>
      <c r="G434" s="811" t="s">
        <v>1652</v>
      </c>
      <c r="H434" s="811" t="s">
        <v>1653</v>
      </c>
      <c r="I434" s="811" t="s">
        <v>1654</v>
      </c>
      <c r="J434" s="813">
        <v>34967856</v>
      </c>
      <c r="K434" s="811" t="s">
        <v>1655</v>
      </c>
      <c r="L434" s="811" t="s">
        <v>1212</v>
      </c>
      <c r="M434" s="811" t="s">
        <v>1635</v>
      </c>
      <c r="N434" s="811" t="s">
        <v>1635</v>
      </c>
      <c r="O434" s="811" t="s">
        <v>1845</v>
      </c>
      <c r="P434" s="811" t="s">
        <v>1657</v>
      </c>
      <c r="Q434" s="811" t="s">
        <v>1710</v>
      </c>
    </row>
    <row r="435" spans="1:17" x14ac:dyDescent="0.25">
      <c r="A435" s="811" t="s">
        <v>1649</v>
      </c>
      <c r="B435" s="811" t="s">
        <v>2181</v>
      </c>
      <c r="C435" s="812">
        <v>29972448</v>
      </c>
      <c r="D435" s="811" t="s">
        <v>1449</v>
      </c>
      <c r="E435" s="811" t="s">
        <v>1449</v>
      </c>
      <c r="F435" s="811" t="s">
        <v>1689</v>
      </c>
      <c r="G435" s="811" t="s">
        <v>1652</v>
      </c>
      <c r="H435" s="811" t="s">
        <v>1653</v>
      </c>
      <c r="I435" s="811" t="s">
        <v>1654</v>
      </c>
      <c r="J435" s="813">
        <v>29972448</v>
      </c>
      <c r="K435" s="811" t="s">
        <v>1655</v>
      </c>
      <c r="L435" s="811" t="s">
        <v>1212</v>
      </c>
      <c r="M435" s="811" t="s">
        <v>1635</v>
      </c>
      <c r="N435" s="811" t="s">
        <v>1635</v>
      </c>
      <c r="O435" s="811" t="s">
        <v>1845</v>
      </c>
      <c r="P435" s="811" t="s">
        <v>1657</v>
      </c>
      <c r="Q435" s="811" t="s">
        <v>1710</v>
      </c>
    </row>
    <row r="436" spans="1:17" x14ac:dyDescent="0.25">
      <c r="A436" s="811" t="s">
        <v>1649</v>
      </c>
      <c r="B436" s="811" t="s">
        <v>2182</v>
      </c>
      <c r="C436" s="812">
        <v>60000000</v>
      </c>
      <c r="D436" s="811" t="s">
        <v>1449</v>
      </c>
      <c r="E436" s="811" t="s">
        <v>1449</v>
      </c>
      <c r="F436" s="811" t="s">
        <v>1666</v>
      </c>
      <c r="G436" s="811" t="s">
        <v>1652</v>
      </c>
      <c r="H436" s="811" t="s">
        <v>1653</v>
      </c>
      <c r="I436" s="811" t="s">
        <v>1654</v>
      </c>
      <c r="J436" s="813">
        <v>60000000</v>
      </c>
      <c r="K436" s="811" t="s">
        <v>1655</v>
      </c>
      <c r="L436" s="811" t="s">
        <v>1212</v>
      </c>
      <c r="M436" s="811" t="s">
        <v>1635</v>
      </c>
      <c r="N436" s="811" t="s">
        <v>1635</v>
      </c>
      <c r="O436" s="811" t="s">
        <v>1845</v>
      </c>
      <c r="P436" s="811" t="s">
        <v>1657</v>
      </c>
      <c r="Q436" s="811" t="s">
        <v>1710</v>
      </c>
    </row>
    <row r="437" spans="1:17" x14ac:dyDescent="0.25">
      <c r="A437" s="811" t="s">
        <v>2183</v>
      </c>
      <c r="B437" s="811" t="s">
        <v>2184</v>
      </c>
      <c r="C437" s="812">
        <v>350000000</v>
      </c>
      <c r="D437" s="811" t="s">
        <v>1454</v>
      </c>
      <c r="E437" s="811" t="s">
        <v>1454</v>
      </c>
      <c r="F437" s="811" t="s">
        <v>1662</v>
      </c>
      <c r="G437" s="811" t="s">
        <v>1652</v>
      </c>
      <c r="H437" s="811" t="s">
        <v>1653</v>
      </c>
      <c r="I437" s="811" t="s">
        <v>1654</v>
      </c>
      <c r="J437" s="813">
        <v>350000000</v>
      </c>
      <c r="K437" s="811" t="s">
        <v>1655</v>
      </c>
      <c r="L437" s="811" t="s">
        <v>1212</v>
      </c>
      <c r="M437" s="811" t="s">
        <v>1635</v>
      </c>
      <c r="N437" s="811" t="s">
        <v>1635</v>
      </c>
      <c r="O437" s="811" t="s">
        <v>1686</v>
      </c>
      <c r="P437" s="811" t="s">
        <v>1657</v>
      </c>
      <c r="Q437" s="811" t="s">
        <v>1658</v>
      </c>
    </row>
    <row r="438" spans="1:17" x14ac:dyDescent="0.25">
      <c r="A438" s="811" t="s">
        <v>2185</v>
      </c>
      <c r="B438" s="811" t="s">
        <v>2186</v>
      </c>
      <c r="C438" s="812">
        <v>150000000</v>
      </c>
      <c r="D438" s="811" t="s">
        <v>1454</v>
      </c>
      <c r="E438" s="811" t="s">
        <v>1454</v>
      </c>
      <c r="F438" s="811" t="s">
        <v>1662</v>
      </c>
      <c r="G438" s="811" t="s">
        <v>1652</v>
      </c>
      <c r="H438" s="811" t="s">
        <v>1653</v>
      </c>
      <c r="I438" s="811" t="s">
        <v>1654</v>
      </c>
      <c r="J438" s="813">
        <v>150000000</v>
      </c>
      <c r="K438" s="811" t="s">
        <v>1655</v>
      </c>
      <c r="L438" s="811" t="s">
        <v>1212</v>
      </c>
      <c r="M438" s="811" t="s">
        <v>1635</v>
      </c>
      <c r="N438" s="811" t="s">
        <v>1635</v>
      </c>
      <c r="O438" s="811" t="s">
        <v>1686</v>
      </c>
      <c r="P438" s="811" t="s">
        <v>1657</v>
      </c>
      <c r="Q438" s="811" t="s">
        <v>1658</v>
      </c>
    </row>
    <row r="439" spans="1:17" x14ac:dyDescent="0.25">
      <c r="A439" s="811" t="s">
        <v>1692</v>
      </c>
      <c r="B439" s="811" t="s">
        <v>2187</v>
      </c>
      <c r="C439" s="812">
        <v>1200000000</v>
      </c>
      <c r="D439" s="811" t="s">
        <v>1446</v>
      </c>
      <c r="E439" s="811" t="s">
        <v>1446</v>
      </c>
      <c r="F439" s="811" t="s">
        <v>1662</v>
      </c>
      <c r="G439" s="811" t="s">
        <v>1652</v>
      </c>
      <c r="H439" s="811" t="s">
        <v>1653</v>
      </c>
      <c r="I439" s="811" t="s">
        <v>1654</v>
      </c>
      <c r="J439" s="813">
        <v>1200000000</v>
      </c>
      <c r="K439" s="811" t="s">
        <v>1655</v>
      </c>
      <c r="L439" s="811" t="s">
        <v>1212</v>
      </c>
      <c r="M439" s="811" t="s">
        <v>1635</v>
      </c>
      <c r="N439" s="811" t="s">
        <v>1635</v>
      </c>
      <c r="O439" s="811" t="s">
        <v>1686</v>
      </c>
      <c r="P439" s="811" t="s">
        <v>1657</v>
      </c>
      <c r="Q439" s="811" t="s">
        <v>1658</v>
      </c>
    </row>
    <row r="440" spans="1:17" x14ac:dyDescent="0.25">
      <c r="A440" s="811" t="s">
        <v>1967</v>
      </c>
      <c r="B440" s="811" t="s">
        <v>2188</v>
      </c>
      <c r="C440" s="812">
        <v>1400000000</v>
      </c>
      <c r="D440" s="811" t="s">
        <v>1453</v>
      </c>
      <c r="E440" s="811" t="s">
        <v>1454</v>
      </c>
      <c r="F440" s="811" t="s">
        <v>1662</v>
      </c>
      <c r="G440" s="811" t="s">
        <v>1652</v>
      </c>
      <c r="H440" s="811" t="s">
        <v>1784</v>
      </c>
      <c r="I440" s="811" t="s">
        <v>1654</v>
      </c>
      <c r="J440" s="813">
        <v>1400000000</v>
      </c>
      <c r="K440" s="811" t="s">
        <v>1655</v>
      </c>
      <c r="L440" s="811" t="s">
        <v>1212</v>
      </c>
      <c r="M440" s="811" t="s">
        <v>1635</v>
      </c>
      <c r="N440" s="811" t="s">
        <v>1635</v>
      </c>
      <c r="O440" s="811" t="s">
        <v>1686</v>
      </c>
      <c r="P440" s="811" t="s">
        <v>1657</v>
      </c>
      <c r="Q440" s="811" t="s">
        <v>1658</v>
      </c>
    </row>
    <row r="441" spans="1:17" x14ac:dyDescent="0.25">
      <c r="A441" s="811" t="s">
        <v>2189</v>
      </c>
      <c r="B441" s="811" t="s">
        <v>2190</v>
      </c>
      <c r="C441" s="812">
        <v>1400000000</v>
      </c>
      <c r="D441" s="811" t="s">
        <v>1454</v>
      </c>
      <c r="E441" s="811" t="s">
        <v>1469</v>
      </c>
      <c r="F441" s="811" t="s">
        <v>1718</v>
      </c>
      <c r="G441" s="811" t="s">
        <v>1652</v>
      </c>
      <c r="H441" s="811" t="s">
        <v>1784</v>
      </c>
      <c r="I441" s="811" t="s">
        <v>1654</v>
      </c>
      <c r="J441" s="813">
        <v>1400000000</v>
      </c>
      <c r="K441" s="811" t="s">
        <v>1655</v>
      </c>
      <c r="L441" s="811" t="s">
        <v>1212</v>
      </c>
      <c r="M441" s="811" t="s">
        <v>1635</v>
      </c>
      <c r="N441" s="811" t="s">
        <v>1635</v>
      </c>
      <c r="O441" s="811" t="s">
        <v>1686</v>
      </c>
      <c r="P441" s="811" t="s">
        <v>1657</v>
      </c>
      <c r="Q441" s="811" t="s">
        <v>1658</v>
      </c>
    </row>
    <row r="442" spans="1:17" x14ac:dyDescent="0.25">
      <c r="A442" s="811" t="s">
        <v>2189</v>
      </c>
      <c r="B442" s="811" t="s">
        <v>2191</v>
      </c>
      <c r="C442" s="812">
        <v>3500000000</v>
      </c>
      <c r="D442" s="811" t="s">
        <v>1454</v>
      </c>
      <c r="E442" s="811" t="s">
        <v>1469</v>
      </c>
      <c r="F442" s="811" t="s">
        <v>1718</v>
      </c>
      <c r="G442" s="811" t="s">
        <v>1652</v>
      </c>
      <c r="H442" s="811" t="s">
        <v>1784</v>
      </c>
      <c r="I442" s="811" t="s">
        <v>1654</v>
      </c>
      <c r="J442" s="813">
        <v>3500000000</v>
      </c>
      <c r="K442" s="811" t="s">
        <v>1655</v>
      </c>
      <c r="L442" s="811" t="s">
        <v>1212</v>
      </c>
      <c r="M442" s="811" t="s">
        <v>1635</v>
      </c>
      <c r="N442" s="811" t="s">
        <v>1635</v>
      </c>
      <c r="O442" s="811" t="s">
        <v>1686</v>
      </c>
      <c r="P442" s="811" t="s">
        <v>1657</v>
      </c>
      <c r="Q442" s="811" t="s">
        <v>1658</v>
      </c>
    </row>
    <row r="443" spans="1:17" x14ac:dyDescent="0.25">
      <c r="A443" s="811" t="s">
        <v>2192</v>
      </c>
      <c r="B443" s="811" t="s">
        <v>2193</v>
      </c>
      <c r="C443" s="812">
        <v>590000000</v>
      </c>
      <c r="D443" s="811" t="s">
        <v>1469</v>
      </c>
      <c r="E443" s="811" t="s">
        <v>1469</v>
      </c>
      <c r="F443" s="811" t="s">
        <v>1662</v>
      </c>
      <c r="G443" s="811" t="s">
        <v>1652</v>
      </c>
      <c r="H443" s="811" t="s">
        <v>1728</v>
      </c>
      <c r="I443" s="811" t="s">
        <v>1654</v>
      </c>
      <c r="J443" s="813">
        <v>590000000</v>
      </c>
      <c r="K443" s="811" t="s">
        <v>1655</v>
      </c>
      <c r="L443" s="811" t="s">
        <v>1212</v>
      </c>
      <c r="M443" s="811" t="s">
        <v>1635</v>
      </c>
      <c r="N443" s="811" t="s">
        <v>1635</v>
      </c>
      <c r="O443" s="811" t="s">
        <v>1686</v>
      </c>
      <c r="P443" s="811" t="s">
        <v>1657</v>
      </c>
      <c r="Q443" s="811" t="s">
        <v>1658</v>
      </c>
    </row>
    <row r="444" spans="1:17" x14ac:dyDescent="0.25">
      <c r="A444" s="811" t="s">
        <v>2194</v>
      </c>
      <c r="B444" s="811" t="s">
        <v>2195</v>
      </c>
      <c r="C444" s="812">
        <v>2500000000</v>
      </c>
      <c r="D444" s="811" t="s">
        <v>1454</v>
      </c>
      <c r="E444" s="811" t="s">
        <v>1454</v>
      </c>
      <c r="F444" s="811" t="s">
        <v>1672</v>
      </c>
      <c r="G444" s="811" t="s">
        <v>1652</v>
      </c>
      <c r="H444" s="811" t="s">
        <v>1740</v>
      </c>
      <c r="I444" s="811" t="s">
        <v>1654</v>
      </c>
      <c r="J444" s="813">
        <v>2500000000</v>
      </c>
      <c r="K444" s="811" t="s">
        <v>1655</v>
      </c>
      <c r="L444" s="811" t="s">
        <v>1212</v>
      </c>
      <c r="M444" s="811" t="s">
        <v>1635</v>
      </c>
      <c r="N444" s="811" t="s">
        <v>1635</v>
      </c>
      <c r="O444" s="811" t="s">
        <v>1686</v>
      </c>
      <c r="P444" s="811" t="s">
        <v>1657</v>
      </c>
      <c r="Q444" s="811" t="s">
        <v>1658</v>
      </c>
    </row>
    <row r="445" spans="1:17" x14ac:dyDescent="0.25">
      <c r="A445" s="811" t="s">
        <v>2107</v>
      </c>
      <c r="B445" s="811" t="s">
        <v>2196</v>
      </c>
      <c r="C445" s="812">
        <v>100000000</v>
      </c>
      <c r="D445" s="811" t="s">
        <v>1445</v>
      </c>
      <c r="E445" s="811" t="s">
        <v>1445</v>
      </c>
      <c r="F445" s="811" t="s">
        <v>1685</v>
      </c>
      <c r="G445" s="811" t="s">
        <v>1652</v>
      </c>
      <c r="H445" s="811" t="s">
        <v>1653</v>
      </c>
      <c r="I445" s="811" t="s">
        <v>1654</v>
      </c>
      <c r="J445" s="813">
        <v>100000000</v>
      </c>
      <c r="K445" s="811" t="s">
        <v>1655</v>
      </c>
      <c r="L445" s="811" t="s">
        <v>1212</v>
      </c>
      <c r="M445" s="811" t="s">
        <v>1635</v>
      </c>
      <c r="N445" s="811" t="s">
        <v>1635</v>
      </c>
      <c r="O445" s="811" t="s">
        <v>1686</v>
      </c>
      <c r="P445" s="811" t="s">
        <v>1657</v>
      </c>
      <c r="Q445" s="811" t="s">
        <v>1658</v>
      </c>
    </row>
    <row r="446" spans="1:17" x14ac:dyDescent="0.25">
      <c r="A446" s="811" t="s">
        <v>2197</v>
      </c>
      <c r="B446" s="811" t="s">
        <v>2198</v>
      </c>
      <c r="C446" s="812">
        <v>50000000</v>
      </c>
      <c r="D446" s="811" t="s">
        <v>1453</v>
      </c>
      <c r="E446" s="811" t="s">
        <v>1454</v>
      </c>
      <c r="F446" s="811" t="s">
        <v>1999</v>
      </c>
      <c r="G446" s="811" t="s">
        <v>1652</v>
      </c>
      <c r="H446" s="811" t="s">
        <v>1577</v>
      </c>
      <c r="I446" s="811" t="s">
        <v>1654</v>
      </c>
      <c r="J446" s="813">
        <v>50000000</v>
      </c>
      <c r="K446" s="811" t="s">
        <v>1655</v>
      </c>
      <c r="L446" s="811" t="s">
        <v>1212</v>
      </c>
      <c r="M446" s="811" t="s">
        <v>1635</v>
      </c>
      <c r="N446" s="811" t="s">
        <v>1635</v>
      </c>
      <c r="O446" s="811" t="s">
        <v>1729</v>
      </c>
      <c r="P446" s="811" t="s">
        <v>1657</v>
      </c>
      <c r="Q446" s="811" t="s">
        <v>1664</v>
      </c>
    </row>
    <row r="447" spans="1:17" x14ac:dyDescent="0.25">
      <c r="A447" s="811" t="s">
        <v>2199</v>
      </c>
      <c r="B447" s="811" t="s">
        <v>2200</v>
      </c>
      <c r="C447" s="812">
        <v>100000000</v>
      </c>
      <c r="D447" s="811" t="s">
        <v>1453</v>
      </c>
      <c r="E447" s="811" t="s">
        <v>1453</v>
      </c>
      <c r="F447" s="811" t="s">
        <v>1718</v>
      </c>
      <c r="G447" s="811" t="s">
        <v>1652</v>
      </c>
      <c r="H447" s="811" t="s">
        <v>1790</v>
      </c>
      <c r="I447" s="811" t="s">
        <v>1654</v>
      </c>
      <c r="J447" s="813">
        <v>100000000</v>
      </c>
      <c r="K447" s="811" t="s">
        <v>1655</v>
      </c>
      <c r="L447" s="811" t="s">
        <v>1212</v>
      </c>
      <c r="M447" s="811" t="s">
        <v>1635</v>
      </c>
      <c r="N447" s="811" t="s">
        <v>1635</v>
      </c>
      <c r="O447" s="811" t="s">
        <v>1729</v>
      </c>
      <c r="P447" s="811" t="s">
        <v>1657</v>
      </c>
      <c r="Q447" s="811" t="s">
        <v>1664</v>
      </c>
    </row>
    <row r="448" spans="1:17" x14ac:dyDescent="0.25">
      <c r="A448" s="811" t="s">
        <v>2201</v>
      </c>
      <c r="B448" s="811" t="s">
        <v>2202</v>
      </c>
      <c r="C448" s="812">
        <v>20000000</v>
      </c>
      <c r="D448" s="811" t="s">
        <v>1454</v>
      </c>
      <c r="E448" s="811" t="s">
        <v>1469</v>
      </c>
      <c r="F448" s="811" t="s">
        <v>1716</v>
      </c>
      <c r="G448" s="811" t="s">
        <v>1652</v>
      </c>
      <c r="H448" s="811" t="s">
        <v>1577</v>
      </c>
      <c r="I448" s="811" t="s">
        <v>1654</v>
      </c>
      <c r="J448" s="813">
        <v>20000000</v>
      </c>
      <c r="K448" s="811" t="s">
        <v>1655</v>
      </c>
      <c r="L448" s="811" t="s">
        <v>1212</v>
      </c>
      <c r="M448" s="811" t="s">
        <v>1635</v>
      </c>
      <c r="N448" s="811" t="s">
        <v>1635</v>
      </c>
      <c r="O448" s="811" t="s">
        <v>1729</v>
      </c>
      <c r="P448" s="811" t="s">
        <v>1657</v>
      </c>
      <c r="Q448" s="811" t="s">
        <v>1664</v>
      </c>
    </row>
    <row r="449" spans="1:17" x14ac:dyDescent="0.25">
      <c r="A449" s="811" t="s">
        <v>2203</v>
      </c>
      <c r="B449" s="811" t="s">
        <v>2204</v>
      </c>
      <c r="C449" s="812">
        <v>50000000</v>
      </c>
      <c r="D449" s="811" t="s">
        <v>1446</v>
      </c>
      <c r="E449" s="811" t="s">
        <v>1453</v>
      </c>
      <c r="F449" s="811" t="s">
        <v>1716</v>
      </c>
      <c r="G449" s="811" t="s">
        <v>1652</v>
      </c>
      <c r="H449" s="811" t="s">
        <v>1577</v>
      </c>
      <c r="I449" s="811" t="s">
        <v>1654</v>
      </c>
      <c r="J449" s="813">
        <v>50000000</v>
      </c>
      <c r="K449" s="811" t="s">
        <v>1655</v>
      </c>
      <c r="L449" s="811" t="s">
        <v>1212</v>
      </c>
      <c r="M449" s="811" t="s">
        <v>1635</v>
      </c>
      <c r="N449" s="811" t="s">
        <v>1635</v>
      </c>
      <c r="O449" s="811" t="s">
        <v>1729</v>
      </c>
      <c r="P449" s="811" t="s">
        <v>1657</v>
      </c>
      <c r="Q449" s="811" t="s">
        <v>1664</v>
      </c>
    </row>
    <row r="450" spans="1:17" x14ac:dyDescent="0.25">
      <c r="A450" s="811" t="s">
        <v>2205</v>
      </c>
      <c r="B450" s="811" t="s">
        <v>2206</v>
      </c>
      <c r="C450" s="812">
        <v>563008205</v>
      </c>
      <c r="D450" s="811" t="s">
        <v>1440</v>
      </c>
      <c r="E450" s="811" t="s">
        <v>1440</v>
      </c>
      <c r="F450" s="811" t="s">
        <v>1999</v>
      </c>
      <c r="G450" s="811" t="s">
        <v>1652</v>
      </c>
      <c r="H450" s="811" t="s">
        <v>1790</v>
      </c>
      <c r="I450" s="811" t="s">
        <v>1654</v>
      </c>
      <c r="J450" s="813">
        <v>563008205</v>
      </c>
      <c r="K450" s="811" t="s">
        <v>1655</v>
      </c>
      <c r="L450" s="811" t="s">
        <v>1212</v>
      </c>
      <c r="M450" s="811" t="s">
        <v>1635</v>
      </c>
      <c r="N450" s="811" t="s">
        <v>1635</v>
      </c>
      <c r="O450" s="811" t="s">
        <v>1729</v>
      </c>
      <c r="P450" s="811" t="s">
        <v>1657</v>
      </c>
      <c r="Q450" s="811" t="s">
        <v>1664</v>
      </c>
    </row>
    <row r="451" spans="1:17" x14ac:dyDescent="0.25">
      <c r="A451" s="811" t="s">
        <v>2207</v>
      </c>
      <c r="B451" s="811" t="s">
        <v>2208</v>
      </c>
      <c r="C451" s="812">
        <v>125000000</v>
      </c>
      <c r="D451" s="811" t="s">
        <v>1453</v>
      </c>
      <c r="E451" s="811" t="s">
        <v>1454</v>
      </c>
      <c r="F451" s="811" t="s">
        <v>1718</v>
      </c>
      <c r="G451" s="811" t="s">
        <v>1652</v>
      </c>
      <c r="H451" s="811" t="s">
        <v>1653</v>
      </c>
      <c r="I451" s="811" t="s">
        <v>1654</v>
      </c>
      <c r="J451" s="813">
        <v>125000000</v>
      </c>
      <c r="K451" s="811" t="s">
        <v>1655</v>
      </c>
      <c r="L451" s="811" t="s">
        <v>1212</v>
      </c>
      <c r="M451" s="811" t="s">
        <v>1635</v>
      </c>
      <c r="N451" s="811" t="s">
        <v>1635</v>
      </c>
      <c r="O451" s="811" t="s">
        <v>1729</v>
      </c>
      <c r="P451" s="811" t="s">
        <v>1657</v>
      </c>
      <c r="Q451" s="811" t="s">
        <v>1664</v>
      </c>
    </row>
    <row r="452" spans="1:17" x14ac:dyDescent="0.25">
      <c r="A452" s="811" t="s">
        <v>2207</v>
      </c>
      <c r="B452" s="811" t="s">
        <v>2209</v>
      </c>
      <c r="C452" s="812">
        <v>125000000</v>
      </c>
      <c r="D452" s="811" t="s">
        <v>1453</v>
      </c>
      <c r="E452" s="811" t="s">
        <v>1454</v>
      </c>
      <c r="F452" s="811" t="s">
        <v>1718</v>
      </c>
      <c r="G452" s="811" t="s">
        <v>1652</v>
      </c>
      <c r="H452" s="811" t="s">
        <v>1653</v>
      </c>
      <c r="I452" s="811" t="s">
        <v>1654</v>
      </c>
      <c r="J452" s="813">
        <v>125000000</v>
      </c>
      <c r="K452" s="811" t="s">
        <v>1655</v>
      </c>
      <c r="L452" s="811" t="s">
        <v>1212</v>
      </c>
      <c r="M452" s="811" t="s">
        <v>1635</v>
      </c>
      <c r="N452" s="811" t="s">
        <v>1635</v>
      </c>
      <c r="O452" s="811" t="s">
        <v>1729</v>
      </c>
      <c r="P452" s="811" t="s">
        <v>1657</v>
      </c>
      <c r="Q452" s="811" t="s">
        <v>1664</v>
      </c>
    </row>
    <row r="453" spans="1:17" x14ac:dyDescent="0.25">
      <c r="A453" s="811" t="s">
        <v>1649</v>
      </c>
      <c r="B453" s="811" t="s">
        <v>2210</v>
      </c>
      <c r="C453" s="812">
        <v>51408000</v>
      </c>
      <c r="D453" s="811" t="s">
        <v>1445</v>
      </c>
      <c r="E453" s="811" t="s">
        <v>1445</v>
      </c>
      <c r="F453" s="811" t="s">
        <v>1685</v>
      </c>
      <c r="G453" s="811" t="s">
        <v>1652</v>
      </c>
      <c r="H453" s="811" t="s">
        <v>1653</v>
      </c>
      <c r="I453" s="811" t="s">
        <v>1654</v>
      </c>
      <c r="J453" s="813">
        <v>51408000</v>
      </c>
      <c r="K453" s="811" t="s">
        <v>1655</v>
      </c>
      <c r="L453" s="811" t="s">
        <v>1212</v>
      </c>
      <c r="M453" s="811" t="s">
        <v>1635</v>
      </c>
      <c r="N453" s="811" t="s">
        <v>1635</v>
      </c>
      <c r="O453" s="811" t="s">
        <v>1667</v>
      </c>
      <c r="P453" s="811" t="s">
        <v>1657</v>
      </c>
      <c r="Q453" s="811" t="s">
        <v>1668</v>
      </c>
    </row>
    <row r="454" spans="1:17" x14ac:dyDescent="0.25">
      <c r="A454" s="811" t="s">
        <v>1649</v>
      </c>
      <c r="B454" s="811" t="s">
        <v>2211</v>
      </c>
      <c r="C454" s="812">
        <v>62832000</v>
      </c>
      <c r="D454" s="811" t="s">
        <v>1445</v>
      </c>
      <c r="E454" s="811" t="s">
        <v>1445</v>
      </c>
      <c r="F454" s="811" t="s">
        <v>1685</v>
      </c>
      <c r="G454" s="811" t="s">
        <v>1652</v>
      </c>
      <c r="H454" s="811" t="s">
        <v>1653</v>
      </c>
      <c r="I454" s="811" t="s">
        <v>1654</v>
      </c>
      <c r="J454" s="813">
        <v>62832000</v>
      </c>
      <c r="K454" s="811" t="s">
        <v>1655</v>
      </c>
      <c r="L454" s="811" t="s">
        <v>1212</v>
      </c>
      <c r="M454" s="811" t="s">
        <v>1635</v>
      </c>
      <c r="N454" s="811" t="s">
        <v>1635</v>
      </c>
      <c r="O454" s="811" t="s">
        <v>1667</v>
      </c>
      <c r="P454" s="811" t="s">
        <v>1657</v>
      </c>
      <c r="Q454" s="811" t="s">
        <v>1668</v>
      </c>
    </row>
    <row r="455" spans="1:17" x14ac:dyDescent="0.25">
      <c r="A455" s="811" t="s">
        <v>1649</v>
      </c>
      <c r="B455" s="811" t="s">
        <v>2212</v>
      </c>
      <c r="C455" s="812">
        <v>29981361</v>
      </c>
      <c r="D455" s="811" t="s">
        <v>1445</v>
      </c>
      <c r="E455" s="811" t="s">
        <v>1445</v>
      </c>
      <c r="F455" s="811" t="s">
        <v>1662</v>
      </c>
      <c r="G455" s="811" t="s">
        <v>1652</v>
      </c>
      <c r="H455" s="811" t="s">
        <v>1653</v>
      </c>
      <c r="I455" s="811" t="s">
        <v>1654</v>
      </c>
      <c r="J455" s="813">
        <v>29981361</v>
      </c>
      <c r="K455" s="811" t="s">
        <v>1655</v>
      </c>
      <c r="L455" s="811" t="s">
        <v>1212</v>
      </c>
      <c r="M455" s="811" t="s">
        <v>1635</v>
      </c>
      <c r="N455" s="811" t="s">
        <v>1635</v>
      </c>
      <c r="O455" s="811" t="s">
        <v>2134</v>
      </c>
      <c r="P455" s="811" t="s">
        <v>1657</v>
      </c>
      <c r="Q455" s="811" t="s">
        <v>1724</v>
      </c>
    </row>
    <row r="456" spans="1:17" x14ac:dyDescent="0.25">
      <c r="A456" s="811" t="s">
        <v>1649</v>
      </c>
      <c r="B456" s="811" t="s">
        <v>2213</v>
      </c>
      <c r="C456" s="812">
        <v>23621677</v>
      </c>
      <c r="D456" s="811" t="s">
        <v>1440</v>
      </c>
      <c r="E456" s="811" t="s">
        <v>1440</v>
      </c>
      <c r="F456" s="811" t="s">
        <v>1718</v>
      </c>
      <c r="G456" s="811" t="s">
        <v>1652</v>
      </c>
      <c r="H456" s="811" t="s">
        <v>1653</v>
      </c>
      <c r="I456" s="811" t="s">
        <v>1654</v>
      </c>
      <c r="J456" s="813">
        <v>23621677</v>
      </c>
      <c r="K456" s="811" t="s">
        <v>1655</v>
      </c>
      <c r="L456" s="811" t="s">
        <v>1212</v>
      </c>
      <c r="M456" s="811" t="s">
        <v>1635</v>
      </c>
      <c r="N456" s="811" t="s">
        <v>1635</v>
      </c>
      <c r="O456" s="811" t="s">
        <v>2134</v>
      </c>
      <c r="P456" s="811" t="s">
        <v>1657</v>
      </c>
      <c r="Q456" s="811" t="s">
        <v>1724</v>
      </c>
    </row>
    <row r="457" spans="1:17" x14ac:dyDescent="0.25">
      <c r="A457" s="811" t="s">
        <v>1649</v>
      </c>
      <c r="B457" s="811" t="s">
        <v>2214</v>
      </c>
      <c r="C457" s="812">
        <v>29072832</v>
      </c>
      <c r="D457" s="811" t="s">
        <v>1440</v>
      </c>
      <c r="E457" s="811" t="s">
        <v>1440</v>
      </c>
      <c r="F457" s="811" t="s">
        <v>1718</v>
      </c>
      <c r="G457" s="811" t="s">
        <v>1652</v>
      </c>
      <c r="H457" s="811" t="s">
        <v>1653</v>
      </c>
      <c r="I457" s="811" t="s">
        <v>1654</v>
      </c>
      <c r="J457" s="813">
        <v>29072832</v>
      </c>
      <c r="K457" s="811" t="s">
        <v>1655</v>
      </c>
      <c r="L457" s="811" t="s">
        <v>1212</v>
      </c>
      <c r="M457" s="811" t="s">
        <v>1635</v>
      </c>
      <c r="N457" s="811" t="s">
        <v>1635</v>
      </c>
      <c r="O457" s="811" t="s">
        <v>2134</v>
      </c>
      <c r="P457" s="811" t="s">
        <v>1657</v>
      </c>
      <c r="Q457" s="811" t="s">
        <v>1724</v>
      </c>
    </row>
    <row r="458" spans="1:17" x14ac:dyDescent="0.25">
      <c r="A458" s="811" t="s">
        <v>2215</v>
      </c>
      <c r="B458" s="811" t="s">
        <v>2216</v>
      </c>
      <c r="C458" s="812">
        <v>8000000</v>
      </c>
      <c r="D458" s="811" t="s">
        <v>1440</v>
      </c>
      <c r="E458" s="811" t="s">
        <v>1440</v>
      </c>
      <c r="F458" s="811" t="s">
        <v>1662</v>
      </c>
      <c r="G458" s="811" t="s">
        <v>1652</v>
      </c>
      <c r="H458" s="811" t="s">
        <v>1653</v>
      </c>
      <c r="I458" s="811" t="s">
        <v>1654</v>
      </c>
      <c r="J458" s="813">
        <v>8000000</v>
      </c>
      <c r="K458" s="811" t="s">
        <v>1655</v>
      </c>
      <c r="L458" s="811" t="s">
        <v>1212</v>
      </c>
      <c r="M458" s="811" t="s">
        <v>1635</v>
      </c>
      <c r="N458" s="811" t="s">
        <v>1635</v>
      </c>
      <c r="O458" s="811" t="s">
        <v>2134</v>
      </c>
      <c r="P458" s="811" t="s">
        <v>1657</v>
      </c>
      <c r="Q458" s="811" t="s">
        <v>1724</v>
      </c>
    </row>
    <row r="459" spans="1:17" x14ac:dyDescent="0.25">
      <c r="A459" s="811" t="s">
        <v>1649</v>
      </c>
      <c r="B459" s="811" t="s">
        <v>2217</v>
      </c>
      <c r="C459" s="812">
        <v>73590615</v>
      </c>
      <c r="D459" s="811" t="s">
        <v>1445</v>
      </c>
      <c r="E459" s="811" t="s">
        <v>1445</v>
      </c>
      <c r="F459" s="811" t="s">
        <v>1666</v>
      </c>
      <c r="G459" s="811" t="s">
        <v>1652</v>
      </c>
      <c r="H459" s="811" t="s">
        <v>1653</v>
      </c>
      <c r="I459" s="811" t="s">
        <v>1654</v>
      </c>
      <c r="J459" s="813">
        <v>73590615</v>
      </c>
      <c r="K459" s="811" t="s">
        <v>1655</v>
      </c>
      <c r="L459" s="811" t="s">
        <v>1212</v>
      </c>
      <c r="M459" s="811" t="s">
        <v>1635</v>
      </c>
      <c r="N459" s="811" t="s">
        <v>1635</v>
      </c>
      <c r="O459" s="811" t="s">
        <v>2134</v>
      </c>
      <c r="P459" s="811" t="s">
        <v>1657</v>
      </c>
      <c r="Q459" s="811" t="s">
        <v>1724</v>
      </c>
    </row>
    <row r="460" spans="1:17" x14ac:dyDescent="0.25">
      <c r="A460" s="811" t="s">
        <v>1649</v>
      </c>
      <c r="B460" s="811" t="s">
        <v>2218</v>
      </c>
      <c r="C460" s="812">
        <v>32500000</v>
      </c>
      <c r="D460" s="811" t="s">
        <v>1446</v>
      </c>
      <c r="E460" s="811" t="s">
        <v>1446</v>
      </c>
      <c r="F460" s="811" t="s">
        <v>1739</v>
      </c>
      <c r="G460" s="811" t="s">
        <v>1652</v>
      </c>
      <c r="H460" s="811" t="s">
        <v>1653</v>
      </c>
      <c r="I460" s="811" t="s">
        <v>1654</v>
      </c>
      <c r="J460" s="813">
        <v>32500000</v>
      </c>
      <c r="K460" s="811" t="s">
        <v>1655</v>
      </c>
      <c r="L460" s="811" t="s">
        <v>1212</v>
      </c>
      <c r="M460" s="811" t="s">
        <v>1635</v>
      </c>
      <c r="N460" s="811" t="s">
        <v>1635</v>
      </c>
      <c r="O460" s="811" t="s">
        <v>2219</v>
      </c>
      <c r="P460" s="811" t="s">
        <v>1657</v>
      </c>
      <c r="Q460" s="811" t="s">
        <v>2220</v>
      </c>
    </row>
    <row r="461" spans="1:17" x14ac:dyDescent="0.25">
      <c r="A461" s="811" t="s">
        <v>1649</v>
      </c>
      <c r="B461" s="811" t="s">
        <v>2221</v>
      </c>
      <c r="C461" s="812">
        <v>32500000</v>
      </c>
      <c r="D461" s="811" t="s">
        <v>1445</v>
      </c>
      <c r="E461" s="811" t="s">
        <v>1445</v>
      </c>
      <c r="F461" s="811" t="s">
        <v>1739</v>
      </c>
      <c r="G461" s="811" t="s">
        <v>1652</v>
      </c>
      <c r="H461" s="811" t="s">
        <v>1653</v>
      </c>
      <c r="I461" s="811" t="s">
        <v>1654</v>
      </c>
      <c r="J461" s="813">
        <v>32500000</v>
      </c>
      <c r="K461" s="811" t="s">
        <v>1655</v>
      </c>
      <c r="L461" s="811" t="s">
        <v>1212</v>
      </c>
      <c r="M461" s="811" t="s">
        <v>1635</v>
      </c>
      <c r="N461" s="811" t="s">
        <v>1635</v>
      </c>
      <c r="O461" s="811" t="s">
        <v>2219</v>
      </c>
      <c r="P461" s="811" t="s">
        <v>1657</v>
      </c>
      <c r="Q461" s="811" t="s">
        <v>2220</v>
      </c>
    </row>
    <row r="462" spans="1:17" x14ac:dyDescent="0.25">
      <c r="A462" s="811" t="s">
        <v>1649</v>
      </c>
      <c r="B462" s="811" t="s">
        <v>2222</v>
      </c>
      <c r="C462" s="812">
        <v>32500000</v>
      </c>
      <c r="D462" s="811" t="s">
        <v>1542</v>
      </c>
      <c r="E462" s="811" t="s">
        <v>1542</v>
      </c>
      <c r="F462" s="811" t="s">
        <v>1739</v>
      </c>
      <c r="G462" s="811" t="s">
        <v>1652</v>
      </c>
      <c r="H462" s="811" t="s">
        <v>1653</v>
      </c>
      <c r="I462" s="811" t="s">
        <v>1654</v>
      </c>
      <c r="J462" s="813">
        <v>32500000</v>
      </c>
      <c r="K462" s="811" t="s">
        <v>1655</v>
      </c>
      <c r="L462" s="811" t="s">
        <v>1212</v>
      </c>
      <c r="M462" s="811" t="s">
        <v>1635</v>
      </c>
      <c r="N462" s="811" t="s">
        <v>1635</v>
      </c>
      <c r="O462" s="811" t="s">
        <v>2219</v>
      </c>
      <c r="P462" s="811" t="s">
        <v>1657</v>
      </c>
      <c r="Q462" s="811" t="s">
        <v>2220</v>
      </c>
    </row>
    <row r="463" spans="1:17" x14ac:dyDescent="0.25">
      <c r="A463" s="811" t="s">
        <v>1649</v>
      </c>
      <c r="B463" s="811" t="s">
        <v>2223</v>
      </c>
      <c r="C463" s="812">
        <v>27500000</v>
      </c>
      <c r="D463" s="811" t="s">
        <v>1445</v>
      </c>
      <c r="E463" s="811" t="s">
        <v>1445</v>
      </c>
      <c r="F463" s="811" t="s">
        <v>1718</v>
      </c>
      <c r="G463" s="811" t="s">
        <v>1652</v>
      </c>
      <c r="H463" s="811" t="s">
        <v>1653</v>
      </c>
      <c r="I463" s="811" t="s">
        <v>1654</v>
      </c>
      <c r="J463" s="813">
        <v>27500000</v>
      </c>
      <c r="K463" s="811" t="s">
        <v>1655</v>
      </c>
      <c r="L463" s="811" t="s">
        <v>1212</v>
      </c>
      <c r="M463" s="811" t="s">
        <v>1635</v>
      </c>
      <c r="N463" s="811" t="s">
        <v>1635</v>
      </c>
      <c r="O463" s="811" t="s">
        <v>2219</v>
      </c>
      <c r="P463" s="811" t="s">
        <v>1657</v>
      </c>
      <c r="Q463" s="811" t="s">
        <v>2220</v>
      </c>
    </row>
    <row r="464" spans="1:17" x14ac:dyDescent="0.25">
      <c r="A464" s="811" t="s">
        <v>2224</v>
      </c>
      <c r="B464" s="811" t="s">
        <v>2225</v>
      </c>
      <c r="C464" s="812">
        <v>59000000</v>
      </c>
      <c r="D464" s="811" t="s">
        <v>1446</v>
      </c>
      <c r="E464" s="811" t="s">
        <v>1453</v>
      </c>
      <c r="F464" s="811" t="s">
        <v>1651</v>
      </c>
      <c r="G464" s="811" t="s">
        <v>1652</v>
      </c>
      <c r="H464" s="811" t="s">
        <v>1577</v>
      </c>
      <c r="I464" s="811" t="s">
        <v>1654</v>
      </c>
      <c r="J464" s="813">
        <v>59000000</v>
      </c>
      <c r="K464" s="811" t="s">
        <v>1655</v>
      </c>
      <c r="L464" s="811" t="s">
        <v>1212</v>
      </c>
      <c r="M464" s="811" t="s">
        <v>1635</v>
      </c>
      <c r="N464" s="811" t="s">
        <v>1635</v>
      </c>
      <c r="O464" s="811" t="s">
        <v>1699</v>
      </c>
      <c r="P464" s="811" t="s">
        <v>1657</v>
      </c>
      <c r="Q464" s="811" t="s">
        <v>1700</v>
      </c>
    </row>
    <row r="465" spans="1:17" x14ac:dyDescent="0.25">
      <c r="A465" s="811" t="s">
        <v>2226</v>
      </c>
      <c r="B465" s="811" t="s">
        <v>2227</v>
      </c>
      <c r="C465" s="812">
        <v>32697000</v>
      </c>
      <c r="D465" s="811" t="s">
        <v>1449</v>
      </c>
      <c r="E465" s="811" t="s">
        <v>1445</v>
      </c>
      <c r="F465" s="811" t="s">
        <v>1666</v>
      </c>
      <c r="G465" s="811" t="s">
        <v>1652</v>
      </c>
      <c r="H465" s="811" t="s">
        <v>1577</v>
      </c>
      <c r="I465" s="811" t="s">
        <v>1654</v>
      </c>
      <c r="J465" s="813">
        <v>32697000</v>
      </c>
      <c r="K465" s="811" t="s">
        <v>1655</v>
      </c>
      <c r="L465" s="811" t="s">
        <v>1212</v>
      </c>
      <c r="M465" s="811" t="s">
        <v>1635</v>
      </c>
      <c r="N465" s="811" t="s">
        <v>1635</v>
      </c>
      <c r="O465" s="811" t="s">
        <v>1699</v>
      </c>
      <c r="P465" s="811" t="s">
        <v>1657</v>
      </c>
      <c r="Q465" s="811" t="s">
        <v>1700</v>
      </c>
    </row>
    <row r="466" spans="1:17" x14ac:dyDescent="0.25">
      <c r="A466" s="811" t="s">
        <v>2228</v>
      </c>
      <c r="B466" s="811" t="s">
        <v>2229</v>
      </c>
      <c r="C466" s="812">
        <v>90825000</v>
      </c>
      <c r="D466" s="811" t="s">
        <v>1445</v>
      </c>
      <c r="E466" s="811" t="s">
        <v>1542</v>
      </c>
      <c r="F466" s="811" t="s">
        <v>1672</v>
      </c>
      <c r="G466" s="811" t="s">
        <v>1652</v>
      </c>
      <c r="H466" s="811" t="s">
        <v>1663</v>
      </c>
      <c r="I466" s="811" t="s">
        <v>1654</v>
      </c>
      <c r="J466" s="813">
        <v>90825000</v>
      </c>
      <c r="K466" s="811" t="s">
        <v>1655</v>
      </c>
      <c r="L466" s="811" t="s">
        <v>1212</v>
      </c>
      <c r="M466" s="811" t="s">
        <v>1635</v>
      </c>
      <c r="N466" s="811" t="s">
        <v>1635</v>
      </c>
      <c r="O466" s="811" t="s">
        <v>1699</v>
      </c>
      <c r="P466" s="811" t="s">
        <v>1657</v>
      </c>
      <c r="Q466" s="811" t="s">
        <v>1700</v>
      </c>
    </row>
    <row r="467" spans="1:17" x14ac:dyDescent="0.25">
      <c r="A467" s="811" t="s">
        <v>2230</v>
      </c>
      <c r="B467" s="811" t="s">
        <v>2231</v>
      </c>
      <c r="C467" s="812">
        <v>12000000</v>
      </c>
      <c r="D467" s="811" t="s">
        <v>2161</v>
      </c>
      <c r="E467" s="811" t="s">
        <v>1464</v>
      </c>
      <c r="F467" s="811" t="s">
        <v>1672</v>
      </c>
      <c r="G467" s="811" t="s">
        <v>1652</v>
      </c>
      <c r="H467" s="811" t="s">
        <v>1663</v>
      </c>
      <c r="I467" s="811" t="s">
        <v>1654</v>
      </c>
      <c r="J467" s="813">
        <v>12000000</v>
      </c>
      <c r="K467" s="811" t="s">
        <v>1655</v>
      </c>
      <c r="L467" s="811" t="s">
        <v>1212</v>
      </c>
      <c r="M467" s="811" t="s">
        <v>1635</v>
      </c>
      <c r="N467" s="811" t="s">
        <v>1635</v>
      </c>
      <c r="O467" s="811" t="s">
        <v>1699</v>
      </c>
      <c r="P467" s="811" t="s">
        <v>1657</v>
      </c>
      <c r="Q467" s="811" t="s">
        <v>1700</v>
      </c>
    </row>
    <row r="468" spans="1:17" x14ac:dyDescent="0.25">
      <c r="A468" s="811" t="s">
        <v>2232</v>
      </c>
      <c r="B468" s="811" t="s">
        <v>2233</v>
      </c>
      <c r="C468" s="812">
        <v>250000000</v>
      </c>
      <c r="D468" s="811" t="s">
        <v>1449</v>
      </c>
      <c r="E468" s="811" t="s">
        <v>1445</v>
      </c>
      <c r="F468" s="811" t="s">
        <v>1672</v>
      </c>
      <c r="G468" s="811" t="s">
        <v>1652</v>
      </c>
      <c r="H468" s="811" t="s">
        <v>1653</v>
      </c>
      <c r="I468" s="811" t="s">
        <v>1654</v>
      </c>
      <c r="J468" s="813">
        <v>250000000</v>
      </c>
      <c r="K468" s="811" t="s">
        <v>1655</v>
      </c>
      <c r="L468" s="811" t="s">
        <v>1212</v>
      </c>
      <c r="M468" s="811" t="s">
        <v>1635</v>
      </c>
      <c r="N468" s="811" t="s">
        <v>1635</v>
      </c>
      <c r="O468" s="811" t="s">
        <v>1699</v>
      </c>
      <c r="P468" s="811" t="s">
        <v>1657</v>
      </c>
      <c r="Q468" s="811" t="s">
        <v>1700</v>
      </c>
    </row>
    <row r="469" spans="1:17" x14ac:dyDescent="0.25">
      <c r="A469" s="811" t="s">
        <v>2234</v>
      </c>
      <c r="B469" s="811" t="s">
        <v>2235</v>
      </c>
      <c r="C469" s="812">
        <v>170000000</v>
      </c>
      <c r="D469" s="811" t="s">
        <v>1458</v>
      </c>
      <c r="E469" s="811" t="s">
        <v>2161</v>
      </c>
      <c r="F469" s="811" t="s">
        <v>1672</v>
      </c>
      <c r="G469" s="811" t="s">
        <v>1652</v>
      </c>
      <c r="H469" s="811" t="s">
        <v>1663</v>
      </c>
      <c r="I469" s="811" t="s">
        <v>1654</v>
      </c>
      <c r="J469" s="813">
        <v>170000000</v>
      </c>
      <c r="K469" s="811" t="s">
        <v>1655</v>
      </c>
      <c r="L469" s="811" t="s">
        <v>1212</v>
      </c>
      <c r="M469" s="811" t="s">
        <v>1635</v>
      </c>
      <c r="N469" s="811" t="s">
        <v>1635</v>
      </c>
      <c r="O469" s="811" t="s">
        <v>1699</v>
      </c>
      <c r="P469" s="811" t="s">
        <v>1657</v>
      </c>
      <c r="Q469" s="811" t="s">
        <v>1700</v>
      </c>
    </row>
    <row r="470" spans="1:17" x14ac:dyDescent="0.25">
      <c r="A470" s="811" t="s">
        <v>2236</v>
      </c>
      <c r="B470" s="811" t="s">
        <v>2237</v>
      </c>
      <c r="C470" s="812">
        <v>59000000</v>
      </c>
      <c r="D470" s="811" t="s">
        <v>1469</v>
      </c>
      <c r="E470" s="811" t="s">
        <v>1458</v>
      </c>
      <c r="F470" s="811" t="s">
        <v>1716</v>
      </c>
      <c r="G470" s="811" t="s">
        <v>1652</v>
      </c>
      <c r="H470" s="811" t="s">
        <v>1577</v>
      </c>
      <c r="I470" s="811" t="s">
        <v>1654</v>
      </c>
      <c r="J470" s="813">
        <v>59000000</v>
      </c>
      <c r="K470" s="811" t="s">
        <v>1655</v>
      </c>
      <c r="L470" s="811" t="s">
        <v>1212</v>
      </c>
      <c r="M470" s="811" t="s">
        <v>1635</v>
      </c>
      <c r="N470" s="811" t="s">
        <v>1635</v>
      </c>
      <c r="O470" s="811" t="s">
        <v>1699</v>
      </c>
      <c r="P470" s="811" t="s">
        <v>1657</v>
      </c>
      <c r="Q470" s="811" t="s">
        <v>1700</v>
      </c>
    </row>
    <row r="471" spans="1:17" x14ac:dyDescent="0.25">
      <c r="A471" s="811" t="s">
        <v>2234</v>
      </c>
      <c r="B471" s="811" t="s">
        <v>2238</v>
      </c>
      <c r="C471" s="812">
        <v>650000000</v>
      </c>
      <c r="D471" s="811" t="s">
        <v>1454</v>
      </c>
      <c r="E471" s="811" t="s">
        <v>1454</v>
      </c>
      <c r="F471" s="811" t="s">
        <v>1672</v>
      </c>
      <c r="G471" s="811" t="s">
        <v>1652</v>
      </c>
      <c r="H471" s="811" t="s">
        <v>1663</v>
      </c>
      <c r="I471" s="811" t="s">
        <v>1654</v>
      </c>
      <c r="J471" s="813">
        <v>650000000</v>
      </c>
      <c r="K471" s="811" t="s">
        <v>1655</v>
      </c>
      <c r="L471" s="811" t="s">
        <v>1212</v>
      </c>
      <c r="M471" s="811" t="s">
        <v>1635</v>
      </c>
      <c r="N471" s="811" t="s">
        <v>1635</v>
      </c>
      <c r="O471" s="811" t="s">
        <v>1699</v>
      </c>
      <c r="P471" s="811" t="s">
        <v>1657</v>
      </c>
      <c r="Q471" s="811" t="s">
        <v>1700</v>
      </c>
    </row>
    <row r="472" spans="1:17" x14ac:dyDescent="0.25">
      <c r="A472" s="811" t="s">
        <v>2239</v>
      </c>
      <c r="B472" s="811" t="s">
        <v>2240</v>
      </c>
      <c r="C472" s="812">
        <v>54000000</v>
      </c>
      <c r="D472" s="811" t="s">
        <v>1464</v>
      </c>
      <c r="E472" s="811" t="s">
        <v>2241</v>
      </c>
      <c r="F472" s="811" t="s">
        <v>1672</v>
      </c>
      <c r="G472" s="811" t="s">
        <v>1652</v>
      </c>
      <c r="H472" s="811" t="s">
        <v>1663</v>
      </c>
      <c r="I472" s="811" t="s">
        <v>1654</v>
      </c>
      <c r="J472" s="813">
        <v>54000000</v>
      </c>
      <c r="K472" s="811" t="s">
        <v>1655</v>
      </c>
      <c r="L472" s="811" t="s">
        <v>1212</v>
      </c>
      <c r="M472" s="811" t="s">
        <v>1635</v>
      </c>
      <c r="N472" s="811" t="s">
        <v>1635</v>
      </c>
      <c r="O472" s="811" t="s">
        <v>1699</v>
      </c>
      <c r="P472" s="811" t="s">
        <v>1657</v>
      </c>
      <c r="Q472" s="811" t="s">
        <v>1700</v>
      </c>
    </row>
    <row r="473" spans="1:17" x14ac:dyDescent="0.25">
      <c r="A473" s="811" t="s">
        <v>2097</v>
      </c>
      <c r="B473" s="811" t="s">
        <v>2242</v>
      </c>
      <c r="C473" s="812">
        <v>70000000</v>
      </c>
      <c r="D473" s="811" t="s">
        <v>1453</v>
      </c>
      <c r="E473" s="811" t="s">
        <v>1454</v>
      </c>
      <c r="F473" s="811" t="s">
        <v>1999</v>
      </c>
      <c r="G473" s="811" t="s">
        <v>1652</v>
      </c>
      <c r="H473" s="811" t="s">
        <v>1663</v>
      </c>
      <c r="I473" s="811" t="s">
        <v>1654</v>
      </c>
      <c r="J473" s="813">
        <v>70000000</v>
      </c>
      <c r="K473" s="811" t="s">
        <v>1655</v>
      </c>
      <c r="L473" s="811" t="s">
        <v>1212</v>
      </c>
      <c r="M473" s="811" t="s">
        <v>1635</v>
      </c>
      <c r="N473" s="811" t="s">
        <v>1635</v>
      </c>
      <c r="O473" s="811" t="s">
        <v>1699</v>
      </c>
      <c r="P473" s="811" t="s">
        <v>1657</v>
      </c>
      <c r="Q473" s="811" t="s">
        <v>1700</v>
      </c>
    </row>
    <row r="474" spans="1:17" x14ac:dyDescent="0.25">
      <c r="A474" s="811" t="s">
        <v>2243</v>
      </c>
      <c r="B474" s="811" t="s">
        <v>2244</v>
      </c>
      <c r="C474" s="812">
        <v>245000000</v>
      </c>
      <c r="D474" s="811" t="s">
        <v>2161</v>
      </c>
      <c r="E474" s="811" t="s">
        <v>1464</v>
      </c>
      <c r="F474" s="811" t="s">
        <v>1672</v>
      </c>
      <c r="G474" s="811" t="s">
        <v>1652</v>
      </c>
      <c r="H474" s="811" t="s">
        <v>1728</v>
      </c>
      <c r="I474" s="811" t="s">
        <v>1654</v>
      </c>
      <c r="J474" s="813">
        <v>245000000</v>
      </c>
      <c r="K474" s="811" t="s">
        <v>1655</v>
      </c>
      <c r="L474" s="811" t="s">
        <v>1212</v>
      </c>
      <c r="M474" s="811" t="s">
        <v>1635</v>
      </c>
      <c r="N474" s="811" t="s">
        <v>1635</v>
      </c>
      <c r="O474" s="811" t="s">
        <v>1699</v>
      </c>
      <c r="P474" s="811" t="s">
        <v>1657</v>
      </c>
      <c r="Q474" s="811" t="s">
        <v>1700</v>
      </c>
    </row>
    <row r="475" spans="1:17" x14ac:dyDescent="0.25">
      <c r="A475" s="811" t="s">
        <v>2245</v>
      </c>
      <c r="B475" s="811" t="s">
        <v>2246</v>
      </c>
      <c r="C475" s="812">
        <v>78000000</v>
      </c>
      <c r="D475" s="811" t="s">
        <v>1458</v>
      </c>
      <c r="E475" s="811" t="s">
        <v>2161</v>
      </c>
      <c r="F475" s="811" t="s">
        <v>1672</v>
      </c>
      <c r="G475" s="811" t="s">
        <v>1652</v>
      </c>
      <c r="H475" s="811" t="s">
        <v>1728</v>
      </c>
      <c r="I475" s="811" t="s">
        <v>1654</v>
      </c>
      <c r="J475" s="813">
        <v>78000000</v>
      </c>
      <c r="K475" s="811" t="s">
        <v>1655</v>
      </c>
      <c r="L475" s="811" t="s">
        <v>1212</v>
      </c>
      <c r="M475" s="811" t="s">
        <v>1635</v>
      </c>
      <c r="N475" s="811" t="s">
        <v>1635</v>
      </c>
      <c r="O475" s="811" t="s">
        <v>1699</v>
      </c>
      <c r="P475" s="811" t="s">
        <v>1657</v>
      </c>
      <c r="Q475" s="811" t="s">
        <v>1700</v>
      </c>
    </row>
    <row r="476" spans="1:17" x14ac:dyDescent="0.25">
      <c r="A476" s="811" t="s">
        <v>2247</v>
      </c>
      <c r="B476" s="811" t="s">
        <v>2248</v>
      </c>
      <c r="C476" s="812">
        <v>35000000</v>
      </c>
      <c r="D476" s="811" t="s">
        <v>1453</v>
      </c>
      <c r="E476" s="811" t="s">
        <v>1454</v>
      </c>
      <c r="F476" s="811" t="s">
        <v>1672</v>
      </c>
      <c r="G476" s="811" t="s">
        <v>1652</v>
      </c>
      <c r="H476" s="811" t="s">
        <v>1653</v>
      </c>
      <c r="I476" s="811" t="s">
        <v>1654</v>
      </c>
      <c r="J476" s="813">
        <v>35000000</v>
      </c>
      <c r="K476" s="811" t="s">
        <v>1655</v>
      </c>
      <c r="L476" s="811" t="s">
        <v>1212</v>
      </c>
      <c r="M476" s="811" t="s">
        <v>1635</v>
      </c>
      <c r="N476" s="811" t="s">
        <v>1635</v>
      </c>
      <c r="O476" s="811" t="s">
        <v>1699</v>
      </c>
      <c r="P476" s="811" t="s">
        <v>1657</v>
      </c>
      <c r="Q476" s="811" t="s">
        <v>1700</v>
      </c>
    </row>
    <row r="477" spans="1:17" x14ac:dyDescent="0.25">
      <c r="A477" s="811" t="s">
        <v>2249</v>
      </c>
      <c r="B477" s="811" t="s">
        <v>2250</v>
      </c>
      <c r="C477" s="812">
        <v>31000000</v>
      </c>
      <c r="D477" s="811" t="s">
        <v>1454</v>
      </c>
      <c r="E477" s="811" t="s">
        <v>1469</v>
      </c>
      <c r="F477" s="811" t="s">
        <v>1999</v>
      </c>
      <c r="G477" s="811" t="s">
        <v>1652</v>
      </c>
      <c r="H477" s="811" t="s">
        <v>1577</v>
      </c>
      <c r="I477" s="811" t="s">
        <v>1654</v>
      </c>
      <c r="J477" s="813">
        <v>31000000</v>
      </c>
      <c r="K477" s="811" t="s">
        <v>1655</v>
      </c>
      <c r="L477" s="811" t="s">
        <v>1212</v>
      </c>
      <c r="M477" s="811" t="s">
        <v>1635</v>
      </c>
      <c r="N477" s="811" t="s">
        <v>1635</v>
      </c>
      <c r="O477" s="811" t="s">
        <v>1699</v>
      </c>
      <c r="P477" s="811" t="s">
        <v>1657</v>
      </c>
      <c r="Q477" s="811" t="s">
        <v>1700</v>
      </c>
    </row>
    <row r="478" spans="1:17" x14ac:dyDescent="0.25">
      <c r="A478" s="811" t="s">
        <v>1649</v>
      </c>
      <c r="B478" s="811" t="s">
        <v>2251</v>
      </c>
      <c r="C478" s="812">
        <v>42745500</v>
      </c>
      <c r="D478" s="811" t="s">
        <v>1449</v>
      </c>
      <c r="E478" s="811" t="s">
        <v>1449</v>
      </c>
      <c r="F478" s="811" t="s">
        <v>1698</v>
      </c>
      <c r="G478" s="811" t="s">
        <v>1652</v>
      </c>
      <c r="H478" s="811" t="s">
        <v>1653</v>
      </c>
      <c r="I478" s="811" t="s">
        <v>1654</v>
      </c>
      <c r="J478" s="813">
        <v>42745500</v>
      </c>
      <c r="K478" s="811" t="s">
        <v>1655</v>
      </c>
      <c r="L478" s="811" t="s">
        <v>1212</v>
      </c>
      <c r="M478" s="811" t="s">
        <v>1635</v>
      </c>
      <c r="N478" s="811" t="s">
        <v>1635</v>
      </c>
      <c r="O478" s="811" t="s">
        <v>1699</v>
      </c>
      <c r="P478" s="811" t="s">
        <v>1657</v>
      </c>
      <c r="Q478" s="811" t="s">
        <v>1700</v>
      </c>
    </row>
    <row r="479" spans="1:17" x14ac:dyDescent="0.25">
      <c r="A479" s="811" t="s">
        <v>1649</v>
      </c>
      <c r="B479" s="811" t="s">
        <v>2252</v>
      </c>
      <c r="C479" s="812">
        <v>26400000</v>
      </c>
      <c r="D479" s="811" t="s">
        <v>1449</v>
      </c>
      <c r="E479" s="811" t="s">
        <v>1449</v>
      </c>
      <c r="F479" s="811" t="s">
        <v>1651</v>
      </c>
      <c r="G479" s="811" t="s">
        <v>1652</v>
      </c>
      <c r="H479" s="811" t="s">
        <v>1653</v>
      </c>
      <c r="I479" s="811" t="s">
        <v>1654</v>
      </c>
      <c r="J479" s="813">
        <v>26400000</v>
      </c>
      <c r="K479" s="811" t="s">
        <v>1655</v>
      </c>
      <c r="L479" s="811" t="s">
        <v>1212</v>
      </c>
      <c r="M479" s="811" t="s">
        <v>1635</v>
      </c>
      <c r="N479" s="811" t="s">
        <v>1635</v>
      </c>
      <c r="O479" s="811" t="s">
        <v>1699</v>
      </c>
      <c r="P479" s="811" t="s">
        <v>1657</v>
      </c>
      <c r="Q479" s="811" t="s">
        <v>1700</v>
      </c>
    </row>
    <row r="480" spans="1:17" x14ac:dyDescent="0.25">
      <c r="A480" s="811" t="s">
        <v>1649</v>
      </c>
      <c r="B480" s="811" t="s">
        <v>2253</v>
      </c>
      <c r="C480" s="812">
        <v>37260000</v>
      </c>
      <c r="D480" s="811" t="s">
        <v>1445</v>
      </c>
      <c r="E480" s="811" t="s">
        <v>1445</v>
      </c>
      <c r="F480" s="811" t="s">
        <v>1651</v>
      </c>
      <c r="G480" s="811" t="s">
        <v>1652</v>
      </c>
      <c r="H480" s="811" t="s">
        <v>1653</v>
      </c>
      <c r="I480" s="811" t="s">
        <v>1654</v>
      </c>
      <c r="J480" s="813">
        <v>37260000</v>
      </c>
      <c r="K480" s="811" t="s">
        <v>1655</v>
      </c>
      <c r="L480" s="811" t="s">
        <v>1212</v>
      </c>
      <c r="M480" s="811" t="s">
        <v>1635</v>
      </c>
      <c r="N480" s="811" t="s">
        <v>1635</v>
      </c>
      <c r="O480" s="811" t="s">
        <v>1699</v>
      </c>
      <c r="P480" s="811" t="s">
        <v>1657</v>
      </c>
      <c r="Q480" s="811" t="s">
        <v>1700</v>
      </c>
    </row>
    <row r="481" spans="1:17" x14ac:dyDescent="0.25">
      <c r="A481" s="811" t="s">
        <v>1649</v>
      </c>
      <c r="B481" s="811" t="s">
        <v>2254</v>
      </c>
      <c r="C481" s="812">
        <v>23287500</v>
      </c>
      <c r="D481" s="811" t="s">
        <v>1440</v>
      </c>
      <c r="E481" s="811" t="s">
        <v>1440</v>
      </c>
      <c r="F481" s="811" t="s">
        <v>1666</v>
      </c>
      <c r="G481" s="811" t="s">
        <v>1652</v>
      </c>
      <c r="H481" s="811" t="s">
        <v>1653</v>
      </c>
      <c r="I481" s="811" t="s">
        <v>1654</v>
      </c>
      <c r="J481" s="813">
        <v>23287500</v>
      </c>
      <c r="K481" s="811" t="s">
        <v>1655</v>
      </c>
      <c r="L481" s="811" t="s">
        <v>1212</v>
      </c>
      <c r="M481" s="811" t="s">
        <v>1635</v>
      </c>
      <c r="N481" s="811" t="s">
        <v>1635</v>
      </c>
      <c r="O481" s="811" t="s">
        <v>1699</v>
      </c>
      <c r="P481" s="811" t="s">
        <v>1657</v>
      </c>
      <c r="Q481" s="811" t="s">
        <v>1700</v>
      </c>
    </row>
    <row r="482" spans="1:17" x14ac:dyDescent="0.25">
      <c r="A482" s="811" t="s">
        <v>1649</v>
      </c>
      <c r="B482" s="811" t="s">
        <v>2255</v>
      </c>
      <c r="C482" s="812">
        <v>72000000</v>
      </c>
      <c r="D482" s="811" t="s">
        <v>1445</v>
      </c>
      <c r="E482" s="811" t="s">
        <v>1445</v>
      </c>
      <c r="F482" s="811" t="s">
        <v>1666</v>
      </c>
      <c r="G482" s="811" t="s">
        <v>1652</v>
      </c>
      <c r="H482" s="811" t="s">
        <v>1653</v>
      </c>
      <c r="I482" s="811" t="s">
        <v>1654</v>
      </c>
      <c r="J482" s="813">
        <v>72000000</v>
      </c>
      <c r="K482" s="811" t="s">
        <v>1655</v>
      </c>
      <c r="L482" s="811" t="s">
        <v>1212</v>
      </c>
      <c r="M482" s="811" t="s">
        <v>1635</v>
      </c>
      <c r="N482" s="811" t="s">
        <v>1635</v>
      </c>
      <c r="O482" s="811" t="s">
        <v>1681</v>
      </c>
      <c r="P482" s="811" t="s">
        <v>1657</v>
      </c>
      <c r="Q482" s="811" t="s">
        <v>1682</v>
      </c>
    </row>
    <row r="483" spans="1:17" x14ac:dyDescent="0.25">
      <c r="A483" s="811" t="s">
        <v>1649</v>
      </c>
      <c r="B483" s="811" t="s">
        <v>2256</v>
      </c>
      <c r="C483" s="812">
        <v>78750000</v>
      </c>
      <c r="D483" s="811" t="s">
        <v>1445</v>
      </c>
      <c r="E483" s="811" t="s">
        <v>1445</v>
      </c>
      <c r="F483" s="811" t="s">
        <v>1666</v>
      </c>
      <c r="G483" s="811" t="s">
        <v>1652</v>
      </c>
      <c r="H483" s="811" t="s">
        <v>1653</v>
      </c>
      <c r="I483" s="811" t="s">
        <v>1654</v>
      </c>
      <c r="J483" s="813">
        <v>78750000</v>
      </c>
      <c r="K483" s="811" t="s">
        <v>1655</v>
      </c>
      <c r="L483" s="811" t="s">
        <v>1212</v>
      </c>
      <c r="M483" s="811" t="s">
        <v>1635</v>
      </c>
      <c r="N483" s="811" t="s">
        <v>1635</v>
      </c>
      <c r="O483" s="811" t="s">
        <v>1681</v>
      </c>
      <c r="P483" s="811" t="s">
        <v>1657</v>
      </c>
      <c r="Q483" s="811" t="s">
        <v>1682</v>
      </c>
    </row>
    <row r="484" spans="1:17" x14ac:dyDescent="0.25">
      <c r="A484" s="811" t="s">
        <v>1649</v>
      </c>
      <c r="B484" s="811" t="s">
        <v>2257</v>
      </c>
      <c r="C484" s="812">
        <v>36000000</v>
      </c>
      <c r="D484" s="811" t="s">
        <v>1445</v>
      </c>
      <c r="E484" s="811" t="s">
        <v>1445</v>
      </c>
      <c r="F484" s="811" t="s">
        <v>1666</v>
      </c>
      <c r="G484" s="811" t="s">
        <v>1652</v>
      </c>
      <c r="H484" s="811" t="s">
        <v>1653</v>
      </c>
      <c r="I484" s="811" t="s">
        <v>1654</v>
      </c>
      <c r="J484" s="813">
        <v>36000000</v>
      </c>
      <c r="K484" s="811" t="s">
        <v>1655</v>
      </c>
      <c r="L484" s="811" t="s">
        <v>1212</v>
      </c>
      <c r="M484" s="811" t="s">
        <v>1635</v>
      </c>
      <c r="N484" s="811" t="s">
        <v>1635</v>
      </c>
      <c r="O484" s="811" t="s">
        <v>1681</v>
      </c>
      <c r="P484" s="811" t="s">
        <v>1657</v>
      </c>
      <c r="Q484" s="811" t="s">
        <v>1682</v>
      </c>
    </row>
    <row r="485" spans="1:17" x14ac:dyDescent="0.25">
      <c r="A485" s="811" t="s">
        <v>1649</v>
      </c>
      <c r="B485" s="811" t="s">
        <v>2258</v>
      </c>
      <c r="C485" s="812">
        <v>31706748</v>
      </c>
      <c r="D485" s="811" t="s">
        <v>1445</v>
      </c>
      <c r="E485" s="811" t="s">
        <v>1445</v>
      </c>
      <c r="F485" s="811" t="s">
        <v>1666</v>
      </c>
      <c r="G485" s="811" t="s">
        <v>1652</v>
      </c>
      <c r="H485" s="811" t="s">
        <v>1653</v>
      </c>
      <c r="I485" s="811" t="s">
        <v>1654</v>
      </c>
      <c r="J485" s="813">
        <v>31706748</v>
      </c>
      <c r="K485" s="811" t="s">
        <v>1655</v>
      </c>
      <c r="L485" s="811" t="s">
        <v>1212</v>
      </c>
      <c r="M485" s="811" t="s">
        <v>1635</v>
      </c>
      <c r="N485" s="811" t="s">
        <v>1635</v>
      </c>
      <c r="O485" s="811" t="s">
        <v>1681</v>
      </c>
      <c r="P485" s="811" t="s">
        <v>1657</v>
      </c>
      <c r="Q485" s="811" t="s">
        <v>1682</v>
      </c>
    </row>
    <row r="486" spans="1:17" x14ac:dyDescent="0.25">
      <c r="A486" s="811" t="s">
        <v>1649</v>
      </c>
      <c r="B486" s="811" t="s">
        <v>2259</v>
      </c>
      <c r="C486" s="812">
        <v>45000000</v>
      </c>
      <c r="D486" s="811" t="s">
        <v>1445</v>
      </c>
      <c r="E486" s="811" t="s">
        <v>1445</v>
      </c>
      <c r="F486" s="811" t="s">
        <v>1666</v>
      </c>
      <c r="G486" s="811" t="s">
        <v>1652</v>
      </c>
      <c r="H486" s="811" t="s">
        <v>1653</v>
      </c>
      <c r="I486" s="811" t="s">
        <v>1654</v>
      </c>
      <c r="J486" s="813">
        <v>45000000</v>
      </c>
      <c r="K486" s="811" t="s">
        <v>1655</v>
      </c>
      <c r="L486" s="811" t="s">
        <v>1212</v>
      </c>
      <c r="M486" s="811" t="s">
        <v>1635</v>
      </c>
      <c r="N486" s="811" t="s">
        <v>1635</v>
      </c>
      <c r="O486" s="811" t="s">
        <v>1681</v>
      </c>
      <c r="P486" s="811" t="s">
        <v>1657</v>
      </c>
      <c r="Q486" s="811" t="s">
        <v>1682</v>
      </c>
    </row>
    <row r="487" spans="1:17" x14ac:dyDescent="0.25">
      <c r="A487" s="811" t="s">
        <v>1649</v>
      </c>
      <c r="B487" s="811" t="s">
        <v>2260</v>
      </c>
      <c r="C487" s="812">
        <v>55000000</v>
      </c>
      <c r="D487" s="811" t="s">
        <v>1440</v>
      </c>
      <c r="E487" s="811" t="s">
        <v>1440</v>
      </c>
      <c r="F487" s="811" t="s">
        <v>1689</v>
      </c>
      <c r="G487" s="811" t="s">
        <v>1652</v>
      </c>
      <c r="H487" s="811" t="s">
        <v>1653</v>
      </c>
      <c r="I487" s="811" t="s">
        <v>1654</v>
      </c>
      <c r="J487" s="813">
        <v>55000000</v>
      </c>
      <c r="K487" s="811" t="s">
        <v>1655</v>
      </c>
      <c r="L487" s="811" t="s">
        <v>1212</v>
      </c>
      <c r="M487" s="811" t="s">
        <v>1635</v>
      </c>
      <c r="N487" s="811" t="s">
        <v>1635</v>
      </c>
      <c r="O487" s="811" t="s">
        <v>1681</v>
      </c>
      <c r="P487" s="811" t="s">
        <v>1657</v>
      </c>
      <c r="Q487" s="811" t="s">
        <v>1682</v>
      </c>
    </row>
    <row r="488" spans="1:17" x14ac:dyDescent="0.25">
      <c r="A488" s="811" t="s">
        <v>1649</v>
      </c>
      <c r="B488" s="811" t="s">
        <v>2261</v>
      </c>
      <c r="C488" s="812">
        <v>36000000</v>
      </c>
      <c r="D488" s="811" t="s">
        <v>1445</v>
      </c>
      <c r="E488" s="811" t="s">
        <v>1445</v>
      </c>
      <c r="F488" s="811" t="s">
        <v>1666</v>
      </c>
      <c r="G488" s="811" t="s">
        <v>1652</v>
      </c>
      <c r="H488" s="811" t="s">
        <v>1653</v>
      </c>
      <c r="I488" s="811" t="s">
        <v>1654</v>
      </c>
      <c r="J488" s="813">
        <v>36000000</v>
      </c>
      <c r="K488" s="811" t="s">
        <v>1655</v>
      </c>
      <c r="L488" s="811" t="s">
        <v>1212</v>
      </c>
      <c r="M488" s="811" t="s">
        <v>1635</v>
      </c>
      <c r="N488" s="811" t="s">
        <v>1635</v>
      </c>
      <c r="O488" s="811" t="s">
        <v>1681</v>
      </c>
      <c r="P488" s="811" t="s">
        <v>1657</v>
      </c>
      <c r="Q488" s="811" t="s">
        <v>1682</v>
      </c>
    </row>
    <row r="489" spans="1:17" x14ac:dyDescent="0.25">
      <c r="A489" s="811" t="s">
        <v>1649</v>
      </c>
      <c r="B489" s="811" t="s">
        <v>2262</v>
      </c>
      <c r="C489" s="812">
        <v>55800000</v>
      </c>
      <c r="D489" s="811" t="s">
        <v>1445</v>
      </c>
      <c r="E489" s="811" t="s">
        <v>1445</v>
      </c>
      <c r="F489" s="811" t="s">
        <v>1666</v>
      </c>
      <c r="G489" s="811" t="s">
        <v>1652</v>
      </c>
      <c r="H489" s="811" t="s">
        <v>1653</v>
      </c>
      <c r="I489" s="811" t="s">
        <v>1654</v>
      </c>
      <c r="J489" s="813">
        <v>55800000</v>
      </c>
      <c r="K489" s="811" t="s">
        <v>1655</v>
      </c>
      <c r="L489" s="811" t="s">
        <v>1212</v>
      </c>
      <c r="M489" s="811" t="s">
        <v>1635</v>
      </c>
      <c r="N489" s="811" t="s">
        <v>1635</v>
      </c>
      <c r="O489" s="811" t="s">
        <v>1681</v>
      </c>
      <c r="P489" s="811" t="s">
        <v>1657</v>
      </c>
      <c r="Q489" s="811" t="s">
        <v>1682</v>
      </c>
    </row>
    <row r="490" spans="1:17" x14ac:dyDescent="0.25">
      <c r="A490" s="811" t="s">
        <v>1649</v>
      </c>
      <c r="B490" s="811" t="s">
        <v>2263</v>
      </c>
      <c r="C490" s="812">
        <v>82500000</v>
      </c>
      <c r="D490" s="811" t="s">
        <v>1440</v>
      </c>
      <c r="E490" s="811" t="s">
        <v>1440</v>
      </c>
      <c r="F490" s="811" t="s">
        <v>1689</v>
      </c>
      <c r="G490" s="811" t="s">
        <v>1652</v>
      </c>
      <c r="H490" s="811" t="s">
        <v>1653</v>
      </c>
      <c r="I490" s="811" t="s">
        <v>1654</v>
      </c>
      <c r="J490" s="813">
        <v>82500000</v>
      </c>
      <c r="K490" s="811" t="s">
        <v>1655</v>
      </c>
      <c r="L490" s="811" t="s">
        <v>1212</v>
      </c>
      <c r="M490" s="811" t="s">
        <v>1635</v>
      </c>
      <c r="N490" s="811" t="s">
        <v>1635</v>
      </c>
      <c r="O490" s="811" t="s">
        <v>1681</v>
      </c>
      <c r="P490" s="811" t="s">
        <v>1657</v>
      </c>
      <c r="Q490" s="811" t="s">
        <v>1682</v>
      </c>
    </row>
    <row r="491" spans="1:17" x14ac:dyDescent="0.25">
      <c r="A491" s="811" t="s">
        <v>1649</v>
      </c>
      <c r="B491" s="811" t="s">
        <v>2264</v>
      </c>
      <c r="C491" s="812">
        <v>85500000</v>
      </c>
      <c r="D491" s="811" t="s">
        <v>1445</v>
      </c>
      <c r="E491" s="811" t="s">
        <v>1445</v>
      </c>
      <c r="F491" s="811" t="s">
        <v>1666</v>
      </c>
      <c r="G491" s="811" t="s">
        <v>1652</v>
      </c>
      <c r="H491" s="811" t="s">
        <v>1653</v>
      </c>
      <c r="I491" s="811" t="s">
        <v>1654</v>
      </c>
      <c r="J491" s="813">
        <v>85500000</v>
      </c>
      <c r="K491" s="811" t="s">
        <v>1655</v>
      </c>
      <c r="L491" s="811" t="s">
        <v>1212</v>
      </c>
      <c r="M491" s="811" t="s">
        <v>1635</v>
      </c>
      <c r="N491" s="811" t="s">
        <v>1635</v>
      </c>
      <c r="O491" s="811" t="s">
        <v>1681</v>
      </c>
      <c r="P491" s="811" t="s">
        <v>1657</v>
      </c>
      <c r="Q491" s="811" t="s">
        <v>1682</v>
      </c>
    </row>
    <row r="492" spans="1:17" x14ac:dyDescent="0.25">
      <c r="A492" s="811" t="s">
        <v>1649</v>
      </c>
      <c r="B492" s="811" t="s">
        <v>2265</v>
      </c>
      <c r="C492" s="812">
        <v>24300000</v>
      </c>
      <c r="D492" s="811" t="s">
        <v>1445</v>
      </c>
      <c r="E492" s="811" t="s">
        <v>1445</v>
      </c>
      <c r="F492" s="811" t="s">
        <v>1666</v>
      </c>
      <c r="G492" s="811" t="s">
        <v>1652</v>
      </c>
      <c r="H492" s="811" t="s">
        <v>1653</v>
      </c>
      <c r="I492" s="811" t="s">
        <v>1654</v>
      </c>
      <c r="J492" s="813">
        <v>24300000</v>
      </c>
      <c r="K492" s="811" t="s">
        <v>1655</v>
      </c>
      <c r="L492" s="811" t="s">
        <v>1212</v>
      </c>
      <c r="M492" s="811" t="s">
        <v>1635</v>
      </c>
      <c r="N492" s="811" t="s">
        <v>1635</v>
      </c>
      <c r="O492" s="811" t="s">
        <v>1681</v>
      </c>
      <c r="P492" s="811" t="s">
        <v>1657</v>
      </c>
      <c r="Q492" s="811" t="s">
        <v>1682</v>
      </c>
    </row>
    <row r="493" spans="1:17" x14ac:dyDescent="0.25">
      <c r="A493" s="811" t="s">
        <v>1649</v>
      </c>
      <c r="B493" s="811" t="s">
        <v>2266</v>
      </c>
      <c r="C493" s="812">
        <v>73800000</v>
      </c>
      <c r="D493" s="811" t="s">
        <v>1445</v>
      </c>
      <c r="E493" s="811" t="s">
        <v>1445</v>
      </c>
      <c r="F493" s="811" t="s">
        <v>1666</v>
      </c>
      <c r="G493" s="811" t="s">
        <v>1652</v>
      </c>
      <c r="H493" s="811" t="s">
        <v>1653</v>
      </c>
      <c r="I493" s="811" t="s">
        <v>1654</v>
      </c>
      <c r="J493" s="813">
        <v>73800000</v>
      </c>
      <c r="K493" s="811" t="s">
        <v>1655</v>
      </c>
      <c r="L493" s="811" t="s">
        <v>1212</v>
      </c>
      <c r="M493" s="811" t="s">
        <v>1635</v>
      </c>
      <c r="N493" s="811" t="s">
        <v>1635</v>
      </c>
      <c r="O493" s="811" t="s">
        <v>1681</v>
      </c>
      <c r="P493" s="811" t="s">
        <v>1657</v>
      </c>
      <c r="Q493" s="811" t="s">
        <v>1682</v>
      </c>
    </row>
    <row r="494" spans="1:17" x14ac:dyDescent="0.25">
      <c r="A494" s="811" t="s">
        <v>1649</v>
      </c>
      <c r="B494" s="811" t="s">
        <v>2267</v>
      </c>
      <c r="C494" s="812">
        <v>81000000</v>
      </c>
      <c r="D494" s="811" t="s">
        <v>1445</v>
      </c>
      <c r="E494" s="811" t="s">
        <v>1445</v>
      </c>
      <c r="F494" s="811" t="s">
        <v>1666</v>
      </c>
      <c r="G494" s="811" t="s">
        <v>1652</v>
      </c>
      <c r="H494" s="811" t="s">
        <v>1653</v>
      </c>
      <c r="I494" s="811" t="s">
        <v>1654</v>
      </c>
      <c r="J494" s="813">
        <v>81000000</v>
      </c>
      <c r="K494" s="811" t="s">
        <v>1655</v>
      </c>
      <c r="L494" s="811" t="s">
        <v>1212</v>
      </c>
      <c r="M494" s="811" t="s">
        <v>1635</v>
      </c>
      <c r="N494" s="811" t="s">
        <v>1635</v>
      </c>
      <c r="O494" s="811" t="s">
        <v>1681</v>
      </c>
      <c r="P494" s="811" t="s">
        <v>1657</v>
      </c>
      <c r="Q494" s="811" t="s">
        <v>1682</v>
      </c>
    </row>
    <row r="495" spans="1:17" x14ac:dyDescent="0.25">
      <c r="A495" s="811" t="s">
        <v>1649</v>
      </c>
      <c r="B495" s="811" t="s">
        <v>2268</v>
      </c>
      <c r="C495" s="812">
        <v>64800000</v>
      </c>
      <c r="D495" s="811" t="s">
        <v>1445</v>
      </c>
      <c r="E495" s="811" t="s">
        <v>1445</v>
      </c>
      <c r="F495" s="811" t="s">
        <v>1666</v>
      </c>
      <c r="G495" s="811" t="s">
        <v>1652</v>
      </c>
      <c r="H495" s="811" t="s">
        <v>1653</v>
      </c>
      <c r="I495" s="811" t="s">
        <v>1654</v>
      </c>
      <c r="J495" s="813">
        <v>64800000</v>
      </c>
      <c r="K495" s="811" t="s">
        <v>1655</v>
      </c>
      <c r="L495" s="811" t="s">
        <v>1212</v>
      </c>
      <c r="M495" s="811" t="s">
        <v>1635</v>
      </c>
      <c r="N495" s="811" t="s">
        <v>1635</v>
      </c>
      <c r="O495" s="811" t="s">
        <v>1681</v>
      </c>
      <c r="P495" s="811" t="s">
        <v>1657</v>
      </c>
      <c r="Q495" s="811" t="s">
        <v>1682</v>
      </c>
    </row>
    <row r="496" spans="1:17" x14ac:dyDescent="0.25">
      <c r="A496" s="811" t="s">
        <v>1649</v>
      </c>
      <c r="B496" s="811" t="s">
        <v>2269</v>
      </c>
      <c r="C496" s="812">
        <v>46350000</v>
      </c>
      <c r="D496" s="811" t="s">
        <v>1445</v>
      </c>
      <c r="E496" s="811" t="s">
        <v>1445</v>
      </c>
      <c r="F496" s="811" t="s">
        <v>1666</v>
      </c>
      <c r="G496" s="811" t="s">
        <v>1652</v>
      </c>
      <c r="H496" s="811" t="s">
        <v>1653</v>
      </c>
      <c r="I496" s="811" t="s">
        <v>1654</v>
      </c>
      <c r="J496" s="813">
        <v>46350000</v>
      </c>
      <c r="K496" s="811" t="s">
        <v>1655</v>
      </c>
      <c r="L496" s="811" t="s">
        <v>1212</v>
      </c>
      <c r="M496" s="811" t="s">
        <v>1635</v>
      </c>
      <c r="N496" s="811" t="s">
        <v>1635</v>
      </c>
      <c r="O496" s="811" t="s">
        <v>1681</v>
      </c>
      <c r="P496" s="811" t="s">
        <v>1657</v>
      </c>
      <c r="Q496" s="811" t="s">
        <v>1682</v>
      </c>
    </row>
    <row r="497" spans="1:17" x14ac:dyDescent="0.25">
      <c r="A497" s="811" t="s">
        <v>1649</v>
      </c>
      <c r="B497" s="811" t="s">
        <v>2270</v>
      </c>
      <c r="C497" s="812">
        <v>64800000</v>
      </c>
      <c r="D497" s="811" t="s">
        <v>1445</v>
      </c>
      <c r="E497" s="811" t="s">
        <v>1445</v>
      </c>
      <c r="F497" s="811" t="s">
        <v>1666</v>
      </c>
      <c r="G497" s="811" t="s">
        <v>1652</v>
      </c>
      <c r="H497" s="811" t="s">
        <v>1653</v>
      </c>
      <c r="I497" s="811" t="s">
        <v>1654</v>
      </c>
      <c r="J497" s="813">
        <v>64800000</v>
      </c>
      <c r="K497" s="811" t="s">
        <v>1655</v>
      </c>
      <c r="L497" s="811" t="s">
        <v>1212</v>
      </c>
      <c r="M497" s="811" t="s">
        <v>1635</v>
      </c>
      <c r="N497" s="811" t="s">
        <v>1635</v>
      </c>
      <c r="O497" s="811" t="s">
        <v>1681</v>
      </c>
      <c r="P497" s="811" t="s">
        <v>1657</v>
      </c>
      <c r="Q497" s="811" t="s">
        <v>1682</v>
      </c>
    </row>
    <row r="498" spans="1:17" x14ac:dyDescent="0.25">
      <c r="A498" s="811" t="s">
        <v>1649</v>
      </c>
      <c r="B498" s="811" t="s">
        <v>2271</v>
      </c>
      <c r="C498" s="812">
        <v>96000000</v>
      </c>
      <c r="D498" s="811" t="s">
        <v>1542</v>
      </c>
      <c r="E498" s="811" t="s">
        <v>1542</v>
      </c>
      <c r="F498" s="811" t="s">
        <v>1651</v>
      </c>
      <c r="G498" s="811" t="s">
        <v>1652</v>
      </c>
      <c r="H498" s="811" t="s">
        <v>1653</v>
      </c>
      <c r="I498" s="811" t="s">
        <v>1654</v>
      </c>
      <c r="J498" s="813">
        <v>96000000</v>
      </c>
      <c r="K498" s="811" t="s">
        <v>1655</v>
      </c>
      <c r="L498" s="811" t="s">
        <v>1212</v>
      </c>
      <c r="M498" s="811" t="s">
        <v>1635</v>
      </c>
      <c r="N498" s="811" t="s">
        <v>1635</v>
      </c>
      <c r="O498" s="811" t="s">
        <v>1681</v>
      </c>
      <c r="P498" s="811" t="s">
        <v>1657</v>
      </c>
      <c r="Q498" s="811" t="s">
        <v>1682</v>
      </c>
    </row>
    <row r="499" spans="1:17" x14ac:dyDescent="0.25">
      <c r="A499" s="811" t="s">
        <v>1649</v>
      </c>
      <c r="B499" s="811" t="s">
        <v>2272</v>
      </c>
      <c r="C499" s="812">
        <v>36000000</v>
      </c>
      <c r="D499" s="811" t="s">
        <v>1445</v>
      </c>
      <c r="E499" s="811" t="s">
        <v>1445</v>
      </c>
      <c r="F499" s="811" t="s">
        <v>1666</v>
      </c>
      <c r="G499" s="811" t="s">
        <v>1652</v>
      </c>
      <c r="H499" s="811" t="s">
        <v>1653</v>
      </c>
      <c r="I499" s="811" t="s">
        <v>1654</v>
      </c>
      <c r="J499" s="813">
        <v>36000000</v>
      </c>
      <c r="K499" s="811" t="s">
        <v>1655</v>
      </c>
      <c r="L499" s="811" t="s">
        <v>1212</v>
      </c>
      <c r="M499" s="811" t="s">
        <v>1635</v>
      </c>
      <c r="N499" s="811" t="s">
        <v>1635</v>
      </c>
      <c r="O499" s="811" t="s">
        <v>1681</v>
      </c>
      <c r="P499" s="811" t="s">
        <v>1657</v>
      </c>
      <c r="Q499" s="811" t="s">
        <v>1682</v>
      </c>
    </row>
    <row r="500" spans="1:17" x14ac:dyDescent="0.25">
      <c r="A500" s="811" t="s">
        <v>2273</v>
      </c>
      <c r="B500" s="811" t="s">
        <v>2274</v>
      </c>
      <c r="C500" s="812">
        <v>100000000</v>
      </c>
      <c r="D500" s="811" t="s">
        <v>1453</v>
      </c>
      <c r="E500" s="811" t="s">
        <v>1453</v>
      </c>
      <c r="F500" s="811" t="s">
        <v>1662</v>
      </c>
      <c r="G500" s="811" t="s">
        <v>1652</v>
      </c>
      <c r="H500" s="811" t="s">
        <v>1740</v>
      </c>
      <c r="I500" s="811" t="s">
        <v>1654</v>
      </c>
      <c r="J500" s="813">
        <v>100000000</v>
      </c>
      <c r="K500" s="811" t="s">
        <v>1655</v>
      </c>
      <c r="L500" s="811" t="s">
        <v>1212</v>
      </c>
      <c r="M500" s="811" t="s">
        <v>1635</v>
      </c>
      <c r="N500" s="811" t="s">
        <v>1635</v>
      </c>
      <c r="O500" s="811" t="s">
        <v>432</v>
      </c>
      <c r="P500" s="811" t="s">
        <v>1657</v>
      </c>
      <c r="Q500" s="811" t="s">
        <v>1664</v>
      </c>
    </row>
    <row r="501" spans="1:17" x14ac:dyDescent="0.25">
      <c r="A501" s="811" t="s">
        <v>2275</v>
      </c>
      <c r="B501" s="811" t="s">
        <v>2276</v>
      </c>
      <c r="C501" s="812">
        <v>59000000</v>
      </c>
      <c r="D501" s="811" t="s">
        <v>1454</v>
      </c>
      <c r="E501" s="811" t="s">
        <v>1454</v>
      </c>
      <c r="F501" s="811" t="s">
        <v>1999</v>
      </c>
      <c r="G501" s="811" t="s">
        <v>1652</v>
      </c>
      <c r="H501" s="811" t="s">
        <v>1577</v>
      </c>
      <c r="I501" s="811" t="s">
        <v>1654</v>
      </c>
      <c r="J501" s="813">
        <v>59000000</v>
      </c>
      <c r="K501" s="811" t="s">
        <v>1655</v>
      </c>
      <c r="L501" s="811" t="s">
        <v>1212</v>
      </c>
      <c r="M501" s="811" t="s">
        <v>1635</v>
      </c>
      <c r="N501" s="811" t="s">
        <v>1635</v>
      </c>
      <c r="O501" s="811" t="s">
        <v>432</v>
      </c>
      <c r="P501" s="811" t="s">
        <v>1657</v>
      </c>
      <c r="Q501" s="811" t="s">
        <v>1664</v>
      </c>
    </row>
    <row r="502" spans="1:17" x14ac:dyDescent="0.25">
      <c r="A502" s="811" t="s">
        <v>1649</v>
      </c>
      <c r="B502" s="811" t="s">
        <v>2277</v>
      </c>
      <c r="C502" s="812">
        <v>15000000</v>
      </c>
      <c r="D502" s="811" t="s">
        <v>1469</v>
      </c>
      <c r="E502" s="811" t="s">
        <v>1469</v>
      </c>
      <c r="F502" s="811" t="s">
        <v>1739</v>
      </c>
      <c r="G502" s="811" t="s">
        <v>1652</v>
      </c>
      <c r="H502" s="811" t="s">
        <v>1653</v>
      </c>
      <c r="I502" s="811" t="s">
        <v>1654</v>
      </c>
      <c r="J502" s="813">
        <v>15000000</v>
      </c>
      <c r="K502" s="811" t="s">
        <v>1655</v>
      </c>
      <c r="L502" s="811" t="s">
        <v>1212</v>
      </c>
      <c r="M502" s="811" t="s">
        <v>1635</v>
      </c>
      <c r="N502" s="811" t="s">
        <v>1635</v>
      </c>
      <c r="O502" s="811" t="s">
        <v>2278</v>
      </c>
      <c r="P502" s="811" t="s">
        <v>1657</v>
      </c>
      <c r="Q502" s="811" t="s">
        <v>2121</v>
      </c>
    </row>
    <row r="503" spans="1:17" x14ac:dyDescent="0.25">
      <c r="A503" s="811" t="s">
        <v>1649</v>
      </c>
      <c r="B503" s="811" t="s">
        <v>2279</v>
      </c>
      <c r="C503" s="812">
        <v>22500000</v>
      </c>
      <c r="D503" s="811" t="s">
        <v>1454</v>
      </c>
      <c r="E503" s="811" t="s">
        <v>1454</v>
      </c>
      <c r="F503" s="811" t="s">
        <v>1739</v>
      </c>
      <c r="G503" s="811" t="s">
        <v>1652</v>
      </c>
      <c r="H503" s="811" t="s">
        <v>1653</v>
      </c>
      <c r="I503" s="811" t="s">
        <v>1654</v>
      </c>
      <c r="J503" s="813">
        <v>22500000</v>
      </c>
      <c r="K503" s="811" t="s">
        <v>1655</v>
      </c>
      <c r="L503" s="811" t="s">
        <v>1212</v>
      </c>
      <c r="M503" s="811" t="s">
        <v>1635</v>
      </c>
      <c r="N503" s="811" t="s">
        <v>1635</v>
      </c>
      <c r="O503" s="811" t="s">
        <v>2278</v>
      </c>
      <c r="P503" s="811" t="s">
        <v>1657</v>
      </c>
      <c r="Q503" s="811" t="s">
        <v>2121</v>
      </c>
    </row>
    <row r="504" spans="1:17" x14ac:dyDescent="0.25">
      <c r="A504" s="811" t="s">
        <v>2280</v>
      </c>
      <c r="B504" s="811" t="s">
        <v>2281</v>
      </c>
      <c r="C504" s="812">
        <v>400000000</v>
      </c>
      <c r="D504" s="811" t="s">
        <v>1469</v>
      </c>
      <c r="E504" s="811" t="s">
        <v>1469</v>
      </c>
      <c r="F504" s="811" t="s">
        <v>1999</v>
      </c>
      <c r="G504" s="811" t="s">
        <v>1652</v>
      </c>
      <c r="H504" s="811" t="s">
        <v>1728</v>
      </c>
      <c r="I504" s="811" t="s">
        <v>1654</v>
      </c>
      <c r="J504" s="813">
        <v>400000000</v>
      </c>
      <c r="K504" s="811" t="s">
        <v>1655</v>
      </c>
      <c r="L504" s="811" t="s">
        <v>1212</v>
      </c>
      <c r="M504" s="811" t="s">
        <v>1635</v>
      </c>
      <c r="N504" s="811" t="s">
        <v>1635</v>
      </c>
      <c r="O504" s="811" t="s">
        <v>1656</v>
      </c>
      <c r="P504" s="811" t="s">
        <v>1657</v>
      </c>
      <c r="Q504" s="811" t="s">
        <v>1658</v>
      </c>
    </row>
    <row r="505" spans="1:17" x14ac:dyDescent="0.25">
      <c r="A505" s="811" t="s">
        <v>1649</v>
      </c>
      <c r="B505" s="811" t="s">
        <v>2282</v>
      </c>
      <c r="C505" s="812">
        <v>45100000</v>
      </c>
      <c r="D505" s="811" t="s">
        <v>1454</v>
      </c>
      <c r="E505" s="811" t="s">
        <v>1454</v>
      </c>
      <c r="F505" s="811" t="s">
        <v>1662</v>
      </c>
      <c r="G505" s="811" t="s">
        <v>1652</v>
      </c>
      <c r="H505" s="811" t="s">
        <v>1653</v>
      </c>
      <c r="I505" s="811" t="s">
        <v>1654</v>
      </c>
      <c r="J505" s="813">
        <v>45100000</v>
      </c>
      <c r="K505" s="811" t="s">
        <v>1655</v>
      </c>
      <c r="L505" s="811" t="s">
        <v>1212</v>
      </c>
      <c r="M505" s="811" t="s">
        <v>1635</v>
      </c>
      <c r="N505" s="811" t="s">
        <v>1635</v>
      </c>
      <c r="O505" s="811" t="s">
        <v>1667</v>
      </c>
      <c r="P505" s="811" t="s">
        <v>1657</v>
      </c>
      <c r="Q505" s="811" t="s">
        <v>1668</v>
      </c>
    </row>
    <row r="506" spans="1:17" x14ac:dyDescent="0.25">
      <c r="A506" s="811" t="s">
        <v>1649</v>
      </c>
      <c r="B506" s="811" t="s">
        <v>2283</v>
      </c>
      <c r="C506" s="812">
        <v>27500000</v>
      </c>
      <c r="D506" s="811" t="s">
        <v>1454</v>
      </c>
      <c r="E506" s="811" t="s">
        <v>1454</v>
      </c>
      <c r="F506" s="811" t="s">
        <v>1662</v>
      </c>
      <c r="G506" s="811" t="s">
        <v>1652</v>
      </c>
      <c r="H506" s="811" t="s">
        <v>1653</v>
      </c>
      <c r="I506" s="811" t="s">
        <v>1654</v>
      </c>
      <c r="J506" s="813">
        <v>27500000</v>
      </c>
      <c r="K506" s="811" t="s">
        <v>1655</v>
      </c>
      <c r="L506" s="811" t="s">
        <v>1212</v>
      </c>
      <c r="M506" s="811" t="s">
        <v>1635</v>
      </c>
      <c r="N506" s="811" t="s">
        <v>1635</v>
      </c>
      <c r="O506" s="811" t="s">
        <v>1667</v>
      </c>
      <c r="P506" s="811" t="s">
        <v>1657</v>
      </c>
      <c r="Q506" s="811" t="s">
        <v>1668</v>
      </c>
    </row>
    <row r="507" spans="1:17" x14ac:dyDescent="0.25">
      <c r="A507" s="811" t="s">
        <v>1649</v>
      </c>
      <c r="B507" s="811" t="s">
        <v>2284</v>
      </c>
      <c r="C507" s="812">
        <v>23162500</v>
      </c>
      <c r="D507" s="811" t="s">
        <v>1454</v>
      </c>
      <c r="E507" s="811" t="s">
        <v>1454</v>
      </c>
      <c r="F507" s="811" t="s">
        <v>1662</v>
      </c>
      <c r="G507" s="811" t="s">
        <v>1652</v>
      </c>
      <c r="H507" s="811" t="s">
        <v>1653</v>
      </c>
      <c r="I507" s="811" t="s">
        <v>1654</v>
      </c>
      <c r="J507" s="813">
        <v>23162500</v>
      </c>
      <c r="K507" s="811" t="s">
        <v>1655</v>
      </c>
      <c r="L507" s="811" t="s">
        <v>1212</v>
      </c>
      <c r="M507" s="811" t="s">
        <v>1635</v>
      </c>
      <c r="N507" s="811" t="s">
        <v>1635</v>
      </c>
      <c r="O507" s="811" t="s">
        <v>1667</v>
      </c>
      <c r="P507" s="811" t="s">
        <v>1657</v>
      </c>
      <c r="Q507" s="811" t="s">
        <v>1668</v>
      </c>
    </row>
    <row r="508" spans="1:17" x14ac:dyDescent="0.25">
      <c r="A508" s="811" t="s">
        <v>1649</v>
      </c>
      <c r="B508" s="811" t="s">
        <v>2285</v>
      </c>
      <c r="C508" s="812">
        <v>23162500</v>
      </c>
      <c r="D508" s="811" t="s">
        <v>1454</v>
      </c>
      <c r="E508" s="811" t="s">
        <v>1454</v>
      </c>
      <c r="F508" s="811" t="s">
        <v>1662</v>
      </c>
      <c r="G508" s="811" t="s">
        <v>1652</v>
      </c>
      <c r="H508" s="811" t="s">
        <v>1653</v>
      </c>
      <c r="I508" s="811" t="s">
        <v>1654</v>
      </c>
      <c r="J508" s="813">
        <v>23162500</v>
      </c>
      <c r="K508" s="811" t="s">
        <v>1655</v>
      </c>
      <c r="L508" s="811" t="s">
        <v>1212</v>
      </c>
      <c r="M508" s="811" t="s">
        <v>1635</v>
      </c>
      <c r="N508" s="811" t="s">
        <v>1635</v>
      </c>
      <c r="O508" s="811" t="s">
        <v>1667</v>
      </c>
      <c r="P508" s="811" t="s">
        <v>1657</v>
      </c>
      <c r="Q508" s="811" t="s">
        <v>1668</v>
      </c>
    </row>
    <row r="509" spans="1:17" x14ac:dyDescent="0.25">
      <c r="A509" s="811" t="s">
        <v>1649</v>
      </c>
      <c r="B509" s="811" t="s">
        <v>2286</v>
      </c>
      <c r="C509" s="812">
        <v>32500000</v>
      </c>
      <c r="D509" s="811" t="s">
        <v>1454</v>
      </c>
      <c r="E509" s="811" t="s">
        <v>1454</v>
      </c>
      <c r="F509" s="811" t="s">
        <v>1739</v>
      </c>
      <c r="G509" s="811" t="s">
        <v>1652</v>
      </c>
      <c r="H509" s="811" t="s">
        <v>1653</v>
      </c>
      <c r="I509" s="811" t="s">
        <v>1654</v>
      </c>
      <c r="J509" s="813">
        <v>32500000</v>
      </c>
      <c r="K509" s="811" t="s">
        <v>1655</v>
      </c>
      <c r="L509" s="811" t="s">
        <v>1212</v>
      </c>
      <c r="M509" s="811" t="s">
        <v>1635</v>
      </c>
      <c r="N509" s="811" t="s">
        <v>1635</v>
      </c>
      <c r="O509" s="811" t="s">
        <v>1667</v>
      </c>
      <c r="P509" s="811" t="s">
        <v>1657</v>
      </c>
      <c r="Q509" s="811" t="s">
        <v>1668</v>
      </c>
    </row>
    <row r="510" spans="1:17" x14ac:dyDescent="0.25">
      <c r="A510" s="811" t="s">
        <v>1649</v>
      </c>
      <c r="B510" s="811" t="s">
        <v>2287</v>
      </c>
      <c r="C510" s="812">
        <v>22440000</v>
      </c>
      <c r="D510" s="811" t="s">
        <v>1458</v>
      </c>
      <c r="E510" s="811" t="s">
        <v>1458</v>
      </c>
      <c r="F510" s="811" t="s">
        <v>1718</v>
      </c>
      <c r="G510" s="811" t="s">
        <v>1652</v>
      </c>
      <c r="H510" s="811" t="s">
        <v>1653</v>
      </c>
      <c r="I510" s="811" t="s">
        <v>1654</v>
      </c>
      <c r="J510" s="813">
        <v>22440000</v>
      </c>
      <c r="K510" s="811" t="s">
        <v>1655</v>
      </c>
      <c r="L510" s="811" t="s">
        <v>1212</v>
      </c>
      <c r="M510" s="811" t="s">
        <v>1635</v>
      </c>
      <c r="N510" s="811" t="s">
        <v>1635</v>
      </c>
      <c r="O510" s="811" t="s">
        <v>1667</v>
      </c>
      <c r="P510" s="811" t="s">
        <v>1657</v>
      </c>
      <c r="Q510" s="811" t="s">
        <v>1668</v>
      </c>
    </row>
    <row r="511" spans="1:17" x14ac:dyDescent="0.25">
      <c r="A511" s="811" t="s">
        <v>1649</v>
      </c>
      <c r="B511" s="811" t="s">
        <v>2288</v>
      </c>
      <c r="C511" s="812">
        <v>53460000</v>
      </c>
      <c r="D511" s="811" t="s">
        <v>1449</v>
      </c>
      <c r="E511" s="811" t="s">
        <v>1449</v>
      </c>
      <c r="F511" s="811" t="s">
        <v>1689</v>
      </c>
      <c r="G511" s="811" t="s">
        <v>1652</v>
      </c>
      <c r="H511" s="811" t="s">
        <v>1653</v>
      </c>
      <c r="I511" s="811" t="s">
        <v>1654</v>
      </c>
      <c r="J511" s="813">
        <v>53460000</v>
      </c>
      <c r="K511" s="811" t="s">
        <v>1655</v>
      </c>
      <c r="L511" s="811" t="s">
        <v>1212</v>
      </c>
      <c r="M511" s="811" t="s">
        <v>1635</v>
      </c>
      <c r="N511" s="811" t="s">
        <v>1635</v>
      </c>
      <c r="O511" s="811" t="s">
        <v>1769</v>
      </c>
      <c r="P511" s="811" t="s">
        <v>1657</v>
      </c>
      <c r="Q511" s="811" t="s">
        <v>1705</v>
      </c>
    </row>
    <row r="512" spans="1:17" x14ac:dyDescent="0.25">
      <c r="A512" s="811" t="s">
        <v>1649</v>
      </c>
      <c r="B512" s="811" t="s">
        <v>2289</v>
      </c>
      <c r="C512" s="812">
        <v>31000000</v>
      </c>
      <c r="D512" s="811" t="s">
        <v>1449</v>
      </c>
      <c r="E512" s="811" t="s">
        <v>1449</v>
      </c>
      <c r="F512" s="811" t="s">
        <v>1689</v>
      </c>
      <c r="G512" s="811" t="s">
        <v>1652</v>
      </c>
      <c r="H512" s="811" t="s">
        <v>1653</v>
      </c>
      <c r="I512" s="811" t="s">
        <v>1654</v>
      </c>
      <c r="J512" s="813">
        <v>31000000</v>
      </c>
      <c r="K512" s="811" t="s">
        <v>1655</v>
      </c>
      <c r="L512" s="811" t="s">
        <v>1212</v>
      </c>
      <c r="M512" s="811" t="s">
        <v>1635</v>
      </c>
      <c r="N512" s="811" t="s">
        <v>1635</v>
      </c>
      <c r="O512" s="811" t="s">
        <v>1769</v>
      </c>
      <c r="P512" s="811" t="s">
        <v>1657</v>
      </c>
      <c r="Q512" s="811" t="s">
        <v>1705</v>
      </c>
    </row>
    <row r="513" spans="1:17" x14ac:dyDescent="0.25">
      <c r="A513" s="811" t="s">
        <v>1649</v>
      </c>
      <c r="B513" s="811" t="s">
        <v>2290</v>
      </c>
      <c r="C513" s="812">
        <v>12000000</v>
      </c>
      <c r="D513" s="811" t="s">
        <v>1449</v>
      </c>
      <c r="E513" s="811" t="s">
        <v>1449</v>
      </c>
      <c r="F513" s="811" t="s">
        <v>1718</v>
      </c>
      <c r="G513" s="811" t="s">
        <v>1652</v>
      </c>
      <c r="H513" s="811" t="s">
        <v>1653</v>
      </c>
      <c r="I513" s="811" t="s">
        <v>1654</v>
      </c>
      <c r="J513" s="813">
        <v>12000000</v>
      </c>
      <c r="K513" s="811" t="s">
        <v>1655</v>
      </c>
      <c r="L513" s="811" t="s">
        <v>1212</v>
      </c>
      <c r="M513" s="811" t="s">
        <v>1635</v>
      </c>
      <c r="N513" s="811" t="s">
        <v>1635</v>
      </c>
      <c r="O513" s="811" t="s">
        <v>1769</v>
      </c>
      <c r="P513" s="811" t="s">
        <v>1657</v>
      </c>
      <c r="Q513" s="811" t="s">
        <v>1705</v>
      </c>
    </row>
    <row r="514" spans="1:17" x14ac:dyDescent="0.25">
      <c r="A514" s="811" t="s">
        <v>1649</v>
      </c>
      <c r="B514" s="811" t="s">
        <v>2291</v>
      </c>
      <c r="C514" s="812">
        <v>27000000</v>
      </c>
      <c r="D514" s="811" t="s">
        <v>1445</v>
      </c>
      <c r="E514" s="811" t="s">
        <v>1445</v>
      </c>
      <c r="F514" s="811" t="s">
        <v>1666</v>
      </c>
      <c r="G514" s="811" t="s">
        <v>1652</v>
      </c>
      <c r="H514" s="811" t="s">
        <v>1653</v>
      </c>
      <c r="I514" s="811" t="s">
        <v>1654</v>
      </c>
      <c r="J514" s="813">
        <v>27000000</v>
      </c>
      <c r="K514" s="811" t="s">
        <v>1655</v>
      </c>
      <c r="L514" s="811" t="s">
        <v>1212</v>
      </c>
      <c r="M514" s="811" t="s">
        <v>1635</v>
      </c>
      <c r="N514" s="811" t="s">
        <v>1635</v>
      </c>
      <c r="O514" s="811" t="s">
        <v>1769</v>
      </c>
      <c r="P514" s="811" t="s">
        <v>1657</v>
      </c>
      <c r="Q514" s="811" t="s">
        <v>1705</v>
      </c>
    </row>
    <row r="515" spans="1:17" x14ac:dyDescent="0.25">
      <c r="A515" s="811" t="s">
        <v>1649</v>
      </c>
      <c r="B515" s="811" t="s">
        <v>2292</v>
      </c>
      <c r="C515" s="812">
        <v>45500000</v>
      </c>
      <c r="D515" s="811" t="s">
        <v>1453</v>
      </c>
      <c r="E515" s="811" t="s">
        <v>1453</v>
      </c>
      <c r="F515" s="811" t="s">
        <v>1698</v>
      </c>
      <c r="G515" s="811" t="s">
        <v>1652</v>
      </c>
      <c r="H515" s="811" t="s">
        <v>1653</v>
      </c>
      <c r="I515" s="811" t="s">
        <v>1654</v>
      </c>
      <c r="J515" s="813">
        <v>45500000</v>
      </c>
      <c r="K515" s="811" t="s">
        <v>1655</v>
      </c>
      <c r="L515" s="811" t="s">
        <v>1212</v>
      </c>
      <c r="M515" s="811" t="s">
        <v>1635</v>
      </c>
      <c r="N515" s="811" t="s">
        <v>1635</v>
      </c>
      <c r="O515" s="811" t="s">
        <v>1769</v>
      </c>
      <c r="P515" s="811" t="s">
        <v>1657</v>
      </c>
      <c r="Q515" s="811" t="s">
        <v>1705</v>
      </c>
    </row>
    <row r="516" spans="1:17" x14ac:dyDescent="0.25">
      <c r="A516" s="811" t="s">
        <v>1649</v>
      </c>
      <c r="B516" s="811" t="s">
        <v>2293</v>
      </c>
      <c r="C516" s="812">
        <v>80000000</v>
      </c>
      <c r="D516" s="811" t="s">
        <v>1449</v>
      </c>
      <c r="E516" s="811" t="s">
        <v>1449</v>
      </c>
      <c r="F516" s="811" t="s">
        <v>1685</v>
      </c>
      <c r="G516" s="811" t="s">
        <v>1652</v>
      </c>
      <c r="H516" s="811" t="s">
        <v>1653</v>
      </c>
      <c r="I516" s="811" t="s">
        <v>1654</v>
      </c>
      <c r="J516" s="813">
        <v>80000000</v>
      </c>
      <c r="K516" s="811" t="s">
        <v>1655</v>
      </c>
      <c r="L516" s="811" t="s">
        <v>1212</v>
      </c>
      <c r="M516" s="811" t="s">
        <v>1635</v>
      </c>
      <c r="N516" s="811" t="s">
        <v>1635</v>
      </c>
      <c r="O516" s="811" t="s">
        <v>2119</v>
      </c>
      <c r="P516" s="811" t="s">
        <v>2120</v>
      </c>
      <c r="Q516" s="811" t="s">
        <v>2121</v>
      </c>
    </row>
    <row r="517" spans="1:17" x14ac:dyDescent="0.25">
      <c r="A517" s="811" t="s">
        <v>1649</v>
      </c>
      <c r="B517" s="811" t="s">
        <v>2294</v>
      </c>
      <c r="C517" s="812">
        <v>80000000</v>
      </c>
      <c r="D517" s="811" t="s">
        <v>1449</v>
      </c>
      <c r="E517" s="811" t="s">
        <v>1449</v>
      </c>
      <c r="F517" s="811" t="s">
        <v>1685</v>
      </c>
      <c r="G517" s="811" t="s">
        <v>1652</v>
      </c>
      <c r="H517" s="811" t="s">
        <v>1653</v>
      </c>
      <c r="I517" s="811" t="s">
        <v>1654</v>
      </c>
      <c r="J517" s="813">
        <v>80000000</v>
      </c>
      <c r="K517" s="811" t="s">
        <v>1655</v>
      </c>
      <c r="L517" s="811" t="s">
        <v>1212</v>
      </c>
      <c r="M517" s="811" t="s">
        <v>1635</v>
      </c>
      <c r="N517" s="811" t="s">
        <v>1635</v>
      </c>
      <c r="O517" s="811" t="s">
        <v>2119</v>
      </c>
      <c r="P517" s="811" t="s">
        <v>2120</v>
      </c>
      <c r="Q517" s="811" t="s">
        <v>2121</v>
      </c>
    </row>
    <row r="518" spans="1:17" x14ac:dyDescent="0.25">
      <c r="A518" s="811" t="s">
        <v>1649</v>
      </c>
      <c r="B518" s="811" t="s">
        <v>2295</v>
      </c>
      <c r="C518" s="812">
        <v>65000000</v>
      </c>
      <c r="D518" s="811" t="s">
        <v>1449</v>
      </c>
      <c r="E518" s="811" t="s">
        <v>1449</v>
      </c>
      <c r="F518" s="811" t="s">
        <v>1685</v>
      </c>
      <c r="G518" s="811" t="s">
        <v>1652</v>
      </c>
      <c r="H518" s="811" t="s">
        <v>1653</v>
      </c>
      <c r="I518" s="811" t="s">
        <v>1654</v>
      </c>
      <c r="J518" s="813">
        <v>65000000</v>
      </c>
      <c r="K518" s="811" t="s">
        <v>1655</v>
      </c>
      <c r="L518" s="811" t="s">
        <v>1212</v>
      </c>
      <c r="M518" s="811" t="s">
        <v>1635</v>
      </c>
      <c r="N518" s="811" t="s">
        <v>1635</v>
      </c>
      <c r="O518" s="811" t="s">
        <v>2119</v>
      </c>
      <c r="P518" s="811" t="s">
        <v>2120</v>
      </c>
      <c r="Q518" s="811" t="s">
        <v>2121</v>
      </c>
    </row>
    <row r="519" spans="1:17" x14ac:dyDescent="0.25">
      <c r="A519" s="811" t="s">
        <v>1649</v>
      </c>
      <c r="B519" s="811" t="s">
        <v>2296</v>
      </c>
      <c r="C519" s="812">
        <v>30000000</v>
      </c>
      <c r="D519" s="811" t="s">
        <v>1449</v>
      </c>
      <c r="E519" s="811" t="s">
        <v>1449</v>
      </c>
      <c r="F519" s="811" t="s">
        <v>1685</v>
      </c>
      <c r="G519" s="811" t="s">
        <v>1652</v>
      </c>
      <c r="H519" s="811" t="s">
        <v>1653</v>
      </c>
      <c r="I519" s="811" t="s">
        <v>1654</v>
      </c>
      <c r="J519" s="813">
        <v>30000000</v>
      </c>
      <c r="K519" s="811" t="s">
        <v>1655</v>
      </c>
      <c r="L519" s="811" t="s">
        <v>1212</v>
      </c>
      <c r="M519" s="811" t="s">
        <v>1635</v>
      </c>
      <c r="N519" s="811" t="s">
        <v>1635</v>
      </c>
      <c r="O519" s="811" t="s">
        <v>2119</v>
      </c>
      <c r="P519" s="811" t="s">
        <v>2120</v>
      </c>
      <c r="Q519" s="811" t="s">
        <v>2121</v>
      </c>
    </row>
    <row r="520" spans="1:17" x14ac:dyDescent="0.25">
      <c r="A520" s="811" t="s">
        <v>1649</v>
      </c>
      <c r="B520" s="811" t="s">
        <v>2297</v>
      </c>
      <c r="C520" s="812">
        <v>41337934</v>
      </c>
      <c r="D520" s="811" t="s">
        <v>1440</v>
      </c>
      <c r="E520" s="811" t="s">
        <v>1440</v>
      </c>
      <c r="F520" s="811" t="s">
        <v>1698</v>
      </c>
      <c r="G520" s="811" t="s">
        <v>1652</v>
      </c>
      <c r="H520" s="811" t="s">
        <v>1653</v>
      </c>
      <c r="I520" s="811" t="s">
        <v>1654</v>
      </c>
      <c r="J520" s="813">
        <v>41337934</v>
      </c>
      <c r="K520" s="811" t="s">
        <v>1655</v>
      </c>
      <c r="L520" s="811" t="s">
        <v>1212</v>
      </c>
      <c r="M520" s="811" t="s">
        <v>1635</v>
      </c>
      <c r="N520" s="811" t="s">
        <v>1635</v>
      </c>
      <c r="O520" s="811" t="s">
        <v>2134</v>
      </c>
      <c r="P520" s="811" t="s">
        <v>1657</v>
      </c>
      <c r="Q520" s="811" t="s">
        <v>1724</v>
      </c>
    </row>
    <row r="521" spans="1:17" x14ac:dyDescent="0.25">
      <c r="A521" s="811" t="s">
        <v>1649</v>
      </c>
      <c r="B521" s="811" t="s">
        <v>2298</v>
      </c>
      <c r="C521" s="812">
        <v>34978255</v>
      </c>
      <c r="D521" s="811" t="s">
        <v>1440</v>
      </c>
      <c r="E521" s="811" t="s">
        <v>1440</v>
      </c>
      <c r="F521" s="811" t="s">
        <v>1698</v>
      </c>
      <c r="G521" s="811" t="s">
        <v>1652</v>
      </c>
      <c r="H521" s="811" t="s">
        <v>1653</v>
      </c>
      <c r="I521" s="811" t="s">
        <v>1654</v>
      </c>
      <c r="J521" s="813">
        <v>34978255</v>
      </c>
      <c r="K521" s="811" t="s">
        <v>1655</v>
      </c>
      <c r="L521" s="811" t="s">
        <v>1212</v>
      </c>
      <c r="M521" s="811" t="s">
        <v>1635</v>
      </c>
      <c r="N521" s="811" t="s">
        <v>1635</v>
      </c>
      <c r="O521" s="811" t="s">
        <v>2134</v>
      </c>
      <c r="P521" s="811" t="s">
        <v>1657</v>
      </c>
      <c r="Q521" s="811" t="s">
        <v>1724</v>
      </c>
    </row>
    <row r="522" spans="1:17" x14ac:dyDescent="0.25">
      <c r="A522" s="811" t="s">
        <v>1649</v>
      </c>
      <c r="B522" s="811" t="s">
        <v>2299</v>
      </c>
      <c r="C522" s="812">
        <v>81767340</v>
      </c>
      <c r="D522" s="811" t="s">
        <v>1445</v>
      </c>
      <c r="E522" s="811" t="s">
        <v>1445</v>
      </c>
      <c r="F522" s="811" t="s">
        <v>1685</v>
      </c>
      <c r="G522" s="811" t="s">
        <v>1652</v>
      </c>
      <c r="H522" s="811" t="s">
        <v>1653</v>
      </c>
      <c r="I522" s="811" t="s">
        <v>1654</v>
      </c>
      <c r="J522" s="813">
        <v>81767340</v>
      </c>
      <c r="K522" s="811" t="s">
        <v>1655</v>
      </c>
      <c r="L522" s="811" t="s">
        <v>1212</v>
      </c>
      <c r="M522" s="811" t="s">
        <v>1635</v>
      </c>
      <c r="N522" s="811" t="s">
        <v>1635</v>
      </c>
      <c r="O522" s="811" t="s">
        <v>1845</v>
      </c>
      <c r="P522" s="811" t="s">
        <v>1657</v>
      </c>
      <c r="Q522" s="811" t="s">
        <v>1710</v>
      </c>
    </row>
    <row r="523" spans="1:17" x14ac:dyDescent="0.25">
      <c r="A523" s="811" t="s">
        <v>1649</v>
      </c>
      <c r="B523" s="811" t="s">
        <v>2300</v>
      </c>
      <c r="C523" s="812">
        <v>65413872</v>
      </c>
      <c r="D523" s="811" t="s">
        <v>1542</v>
      </c>
      <c r="E523" s="811" t="s">
        <v>1542</v>
      </c>
      <c r="F523" s="811" t="s">
        <v>1666</v>
      </c>
      <c r="G523" s="811" t="s">
        <v>1652</v>
      </c>
      <c r="H523" s="811" t="s">
        <v>1653</v>
      </c>
      <c r="I523" s="811" t="s">
        <v>1654</v>
      </c>
      <c r="J523" s="813">
        <v>65413872</v>
      </c>
      <c r="K523" s="811" t="s">
        <v>1655</v>
      </c>
      <c r="L523" s="811" t="s">
        <v>1212</v>
      </c>
      <c r="M523" s="811" t="s">
        <v>1635</v>
      </c>
      <c r="N523" s="811" t="s">
        <v>1635</v>
      </c>
      <c r="O523" s="811" t="s">
        <v>1845</v>
      </c>
      <c r="P523" s="811" t="s">
        <v>1657</v>
      </c>
      <c r="Q523" s="811" t="s">
        <v>1710</v>
      </c>
    </row>
    <row r="524" spans="1:17" x14ac:dyDescent="0.25">
      <c r="A524" s="811" t="s">
        <v>1649</v>
      </c>
      <c r="B524" s="811" t="s">
        <v>2301</v>
      </c>
      <c r="C524" s="812">
        <v>65413872</v>
      </c>
      <c r="D524" s="811" t="s">
        <v>1542</v>
      </c>
      <c r="E524" s="811" t="s">
        <v>1542</v>
      </c>
      <c r="F524" s="811" t="s">
        <v>1666</v>
      </c>
      <c r="G524" s="811" t="s">
        <v>1652</v>
      </c>
      <c r="H524" s="811" t="s">
        <v>1653</v>
      </c>
      <c r="I524" s="811" t="s">
        <v>1654</v>
      </c>
      <c r="J524" s="813">
        <v>65413872</v>
      </c>
      <c r="K524" s="811" t="s">
        <v>1655</v>
      </c>
      <c r="L524" s="811" t="s">
        <v>1212</v>
      </c>
      <c r="M524" s="811" t="s">
        <v>1635</v>
      </c>
      <c r="N524" s="811" t="s">
        <v>1635</v>
      </c>
      <c r="O524" s="811" t="s">
        <v>1845</v>
      </c>
      <c r="P524" s="811" t="s">
        <v>1657</v>
      </c>
      <c r="Q524" s="811" t="s">
        <v>1710</v>
      </c>
    </row>
    <row r="525" spans="1:17" x14ac:dyDescent="0.25">
      <c r="A525" s="811" t="s">
        <v>1649</v>
      </c>
      <c r="B525" s="811" t="s">
        <v>2302</v>
      </c>
      <c r="C525" s="812">
        <v>36784368</v>
      </c>
      <c r="D525" s="811" t="s">
        <v>1542</v>
      </c>
      <c r="E525" s="811" t="s">
        <v>1542</v>
      </c>
      <c r="F525" s="811" t="s">
        <v>1666</v>
      </c>
      <c r="G525" s="811" t="s">
        <v>1652</v>
      </c>
      <c r="H525" s="811" t="s">
        <v>1653</v>
      </c>
      <c r="I525" s="811" t="s">
        <v>1654</v>
      </c>
      <c r="J525" s="813">
        <v>36784368</v>
      </c>
      <c r="K525" s="811" t="s">
        <v>1655</v>
      </c>
      <c r="L525" s="811" t="s">
        <v>1212</v>
      </c>
      <c r="M525" s="811" t="s">
        <v>1635</v>
      </c>
      <c r="N525" s="811" t="s">
        <v>1635</v>
      </c>
      <c r="O525" s="811" t="s">
        <v>1845</v>
      </c>
      <c r="P525" s="811" t="s">
        <v>1657</v>
      </c>
      <c r="Q525" s="811" t="s">
        <v>1710</v>
      </c>
    </row>
    <row r="526" spans="1:17" x14ac:dyDescent="0.25">
      <c r="A526" s="811" t="s">
        <v>1649</v>
      </c>
      <c r="B526" s="811" t="s">
        <v>2303</v>
      </c>
      <c r="C526" s="812">
        <v>65394432</v>
      </c>
      <c r="D526" s="811" t="s">
        <v>1542</v>
      </c>
      <c r="E526" s="811" t="s">
        <v>1542</v>
      </c>
      <c r="F526" s="811" t="s">
        <v>1666</v>
      </c>
      <c r="G526" s="811" t="s">
        <v>1652</v>
      </c>
      <c r="H526" s="811" t="s">
        <v>1653</v>
      </c>
      <c r="I526" s="811" t="s">
        <v>1654</v>
      </c>
      <c r="J526" s="813">
        <v>65394432</v>
      </c>
      <c r="K526" s="811" t="s">
        <v>1655</v>
      </c>
      <c r="L526" s="811" t="s">
        <v>1212</v>
      </c>
      <c r="M526" s="811" t="s">
        <v>1635</v>
      </c>
      <c r="N526" s="811" t="s">
        <v>1635</v>
      </c>
      <c r="O526" s="811" t="s">
        <v>1845</v>
      </c>
      <c r="P526" s="811" t="s">
        <v>1657</v>
      </c>
      <c r="Q526" s="811" t="s">
        <v>1710</v>
      </c>
    </row>
    <row r="527" spans="1:17" x14ac:dyDescent="0.25">
      <c r="A527" s="811" t="s">
        <v>1649</v>
      </c>
      <c r="B527" s="811" t="s">
        <v>2304</v>
      </c>
      <c r="C527" s="812">
        <v>65413872</v>
      </c>
      <c r="D527" s="811" t="s">
        <v>1542</v>
      </c>
      <c r="E527" s="811" t="s">
        <v>1542</v>
      </c>
      <c r="F527" s="811" t="s">
        <v>1666</v>
      </c>
      <c r="G527" s="811" t="s">
        <v>1652</v>
      </c>
      <c r="H527" s="811" t="s">
        <v>1653</v>
      </c>
      <c r="I527" s="811" t="s">
        <v>1654</v>
      </c>
      <c r="J527" s="813">
        <v>65413872</v>
      </c>
      <c r="K527" s="811" t="s">
        <v>1655</v>
      </c>
      <c r="L527" s="811" t="s">
        <v>1212</v>
      </c>
      <c r="M527" s="811" t="s">
        <v>1635</v>
      </c>
      <c r="N527" s="811" t="s">
        <v>1635</v>
      </c>
      <c r="O527" s="811" t="s">
        <v>1845</v>
      </c>
      <c r="P527" s="811" t="s">
        <v>1657</v>
      </c>
      <c r="Q527" s="811" t="s">
        <v>1710</v>
      </c>
    </row>
    <row r="528" spans="1:17" x14ac:dyDescent="0.25">
      <c r="A528" s="811" t="s">
        <v>1649</v>
      </c>
      <c r="B528" s="811" t="s">
        <v>2305</v>
      </c>
      <c r="C528" s="812">
        <v>32706936</v>
      </c>
      <c r="D528" s="811" t="s">
        <v>1542</v>
      </c>
      <c r="E528" s="811" t="s">
        <v>1542</v>
      </c>
      <c r="F528" s="811" t="s">
        <v>1666</v>
      </c>
      <c r="G528" s="811" t="s">
        <v>1652</v>
      </c>
      <c r="H528" s="811" t="s">
        <v>1653</v>
      </c>
      <c r="I528" s="811" t="s">
        <v>1654</v>
      </c>
      <c r="J528" s="813">
        <v>32706936</v>
      </c>
      <c r="K528" s="811" t="s">
        <v>1655</v>
      </c>
      <c r="L528" s="811" t="s">
        <v>1212</v>
      </c>
      <c r="M528" s="811" t="s">
        <v>1635</v>
      </c>
      <c r="N528" s="811" t="s">
        <v>1635</v>
      </c>
      <c r="O528" s="811" t="s">
        <v>1845</v>
      </c>
      <c r="P528" s="811" t="s">
        <v>1657</v>
      </c>
      <c r="Q528" s="811" t="s">
        <v>1710</v>
      </c>
    </row>
    <row r="529" spans="1:17" x14ac:dyDescent="0.25">
      <c r="A529" s="811" t="s">
        <v>1649</v>
      </c>
      <c r="B529" s="811" t="s">
        <v>2306</v>
      </c>
      <c r="C529" s="812">
        <v>65413872</v>
      </c>
      <c r="D529" s="811" t="s">
        <v>1542</v>
      </c>
      <c r="E529" s="811" t="s">
        <v>1542</v>
      </c>
      <c r="F529" s="811" t="s">
        <v>1666</v>
      </c>
      <c r="G529" s="811" t="s">
        <v>1652</v>
      </c>
      <c r="H529" s="811" t="s">
        <v>1653</v>
      </c>
      <c r="I529" s="811" t="s">
        <v>1654</v>
      </c>
      <c r="J529" s="813">
        <v>65413872</v>
      </c>
      <c r="K529" s="811" t="s">
        <v>1655</v>
      </c>
      <c r="L529" s="811" t="s">
        <v>1212</v>
      </c>
      <c r="M529" s="811" t="s">
        <v>1635</v>
      </c>
      <c r="N529" s="811" t="s">
        <v>1635</v>
      </c>
      <c r="O529" s="811" t="s">
        <v>1845</v>
      </c>
      <c r="P529" s="811" t="s">
        <v>1657</v>
      </c>
      <c r="Q529" s="811" t="s">
        <v>1710</v>
      </c>
    </row>
    <row r="530" spans="1:17" x14ac:dyDescent="0.25">
      <c r="A530" s="811" t="s">
        <v>1649</v>
      </c>
      <c r="B530" s="811" t="s">
        <v>2307</v>
      </c>
      <c r="C530" s="812">
        <v>32706936</v>
      </c>
      <c r="D530" s="811" t="s">
        <v>1542</v>
      </c>
      <c r="E530" s="811" t="s">
        <v>1542</v>
      </c>
      <c r="F530" s="811" t="s">
        <v>1662</v>
      </c>
      <c r="G530" s="811" t="s">
        <v>1652</v>
      </c>
      <c r="H530" s="811" t="s">
        <v>1653</v>
      </c>
      <c r="I530" s="811" t="s">
        <v>1654</v>
      </c>
      <c r="J530" s="813">
        <v>32706936</v>
      </c>
      <c r="K530" s="811" t="s">
        <v>1655</v>
      </c>
      <c r="L530" s="811" t="s">
        <v>1212</v>
      </c>
      <c r="M530" s="811" t="s">
        <v>1635</v>
      </c>
      <c r="N530" s="811" t="s">
        <v>1635</v>
      </c>
      <c r="O530" s="811" t="s">
        <v>1845</v>
      </c>
      <c r="P530" s="811" t="s">
        <v>1657</v>
      </c>
      <c r="Q530" s="811" t="s">
        <v>1710</v>
      </c>
    </row>
    <row r="531" spans="1:17" x14ac:dyDescent="0.25">
      <c r="A531" s="811" t="s">
        <v>2308</v>
      </c>
      <c r="B531" s="811" t="s">
        <v>2309</v>
      </c>
      <c r="C531" s="812">
        <v>60000000</v>
      </c>
      <c r="D531" s="811" t="s">
        <v>1446</v>
      </c>
      <c r="E531" s="811" t="s">
        <v>1446</v>
      </c>
      <c r="F531" s="811" t="s">
        <v>1662</v>
      </c>
      <c r="G531" s="811" t="s">
        <v>1652</v>
      </c>
      <c r="H531" s="811" t="s">
        <v>1577</v>
      </c>
      <c r="I531" s="811" t="s">
        <v>1654</v>
      </c>
      <c r="J531" s="813">
        <v>60000000</v>
      </c>
      <c r="K531" s="811" t="s">
        <v>1655</v>
      </c>
      <c r="L531" s="811" t="s">
        <v>1212</v>
      </c>
      <c r="M531" s="811" t="s">
        <v>1635</v>
      </c>
      <c r="N531" s="811" t="s">
        <v>1635</v>
      </c>
      <c r="O531" s="811" t="s">
        <v>1793</v>
      </c>
      <c r="P531" s="811" t="s">
        <v>1657</v>
      </c>
      <c r="Q531" s="811" t="s">
        <v>1710</v>
      </c>
    </row>
    <row r="532" spans="1:17" x14ac:dyDescent="0.25">
      <c r="A532" s="811" t="s">
        <v>1649</v>
      </c>
      <c r="B532" s="811" t="s">
        <v>2310</v>
      </c>
      <c r="C532" s="812">
        <v>35000000</v>
      </c>
      <c r="D532" s="811" t="s">
        <v>1453</v>
      </c>
      <c r="E532" s="811" t="s">
        <v>1453</v>
      </c>
      <c r="F532" s="811" t="s">
        <v>1698</v>
      </c>
      <c r="G532" s="811" t="s">
        <v>1652</v>
      </c>
      <c r="H532" s="811" t="s">
        <v>1653</v>
      </c>
      <c r="I532" s="811" t="s">
        <v>1654</v>
      </c>
      <c r="J532" s="813">
        <v>35000000</v>
      </c>
      <c r="K532" s="811" t="s">
        <v>1655</v>
      </c>
      <c r="L532" s="811" t="s">
        <v>1212</v>
      </c>
      <c r="M532" s="811" t="s">
        <v>1635</v>
      </c>
      <c r="N532" s="811" t="s">
        <v>1635</v>
      </c>
      <c r="O532" s="811" t="s">
        <v>2311</v>
      </c>
      <c r="P532" s="811" t="s">
        <v>1657</v>
      </c>
      <c r="Q532" s="811" t="s">
        <v>1682</v>
      </c>
    </row>
    <row r="533" spans="1:17" x14ac:dyDescent="0.25">
      <c r="A533" s="811" t="s">
        <v>1649</v>
      </c>
      <c r="B533" s="811" t="s">
        <v>2312</v>
      </c>
      <c r="C533" s="812">
        <v>32706936</v>
      </c>
      <c r="D533" s="811" t="s">
        <v>1449</v>
      </c>
      <c r="E533" s="811" t="s">
        <v>1449</v>
      </c>
      <c r="F533" s="811" t="s">
        <v>1651</v>
      </c>
      <c r="G533" s="811" t="s">
        <v>1652</v>
      </c>
      <c r="H533" s="811" t="s">
        <v>1653</v>
      </c>
      <c r="I533" s="811" t="s">
        <v>1654</v>
      </c>
      <c r="J533" s="813">
        <v>32706936</v>
      </c>
      <c r="K533" s="811" t="s">
        <v>1655</v>
      </c>
      <c r="L533" s="811" t="s">
        <v>1212</v>
      </c>
      <c r="M533" s="811" t="s">
        <v>1635</v>
      </c>
      <c r="N533" s="811" t="s">
        <v>1635</v>
      </c>
      <c r="O533" s="811" t="s">
        <v>1729</v>
      </c>
      <c r="P533" s="811" t="s">
        <v>1657</v>
      </c>
      <c r="Q533" s="811" t="s">
        <v>1664</v>
      </c>
    </row>
    <row r="534" spans="1:17" x14ac:dyDescent="0.25">
      <c r="A534" s="811" t="s">
        <v>1649</v>
      </c>
      <c r="B534" s="811" t="s">
        <v>2313</v>
      </c>
      <c r="C534" s="812">
        <v>56000000</v>
      </c>
      <c r="D534" s="811" t="s">
        <v>1449</v>
      </c>
      <c r="E534" s="811" t="s">
        <v>1449</v>
      </c>
      <c r="F534" s="811" t="s">
        <v>1651</v>
      </c>
      <c r="G534" s="811" t="s">
        <v>1652</v>
      </c>
      <c r="H534" s="811" t="s">
        <v>1653</v>
      </c>
      <c r="I534" s="811" t="s">
        <v>1654</v>
      </c>
      <c r="J534" s="813">
        <v>56000000</v>
      </c>
      <c r="K534" s="811" t="s">
        <v>1655</v>
      </c>
      <c r="L534" s="811" t="s">
        <v>1212</v>
      </c>
      <c r="M534" s="811" t="s">
        <v>1635</v>
      </c>
      <c r="N534" s="811" t="s">
        <v>1635</v>
      </c>
      <c r="O534" s="811" t="s">
        <v>1729</v>
      </c>
      <c r="P534" s="811" t="s">
        <v>1657</v>
      </c>
      <c r="Q534" s="811" t="s">
        <v>1664</v>
      </c>
    </row>
    <row r="535" spans="1:17" x14ac:dyDescent="0.25">
      <c r="A535" s="811" t="s">
        <v>1649</v>
      </c>
      <c r="B535" s="811" t="s">
        <v>2314</v>
      </c>
      <c r="C535" s="812">
        <v>12000000</v>
      </c>
      <c r="D535" s="811" t="s">
        <v>1449</v>
      </c>
      <c r="E535" s="811" t="s">
        <v>1449</v>
      </c>
      <c r="F535" s="811" t="s">
        <v>1718</v>
      </c>
      <c r="G535" s="811" t="s">
        <v>1652</v>
      </c>
      <c r="H535" s="811" t="s">
        <v>1653</v>
      </c>
      <c r="I535" s="811" t="s">
        <v>1654</v>
      </c>
      <c r="J535" s="813">
        <v>12000000</v>
      </c>
      <c r="K535" s="811" t="s">
        <v>1655</v>
      </c>
      <c r="L535" s="811" t="s">
        <v>1212</v>
      </c>
      <c r="M535" s="811" t="s">
        <v>1635</v>
      </c>
      <c r="N535" s="811" t="s">
        <v>1635</v>
      </c>
      <c r="O535" s="811" t="s">
        <v>1729</v>
      </c>
      <c r="P535" s="811" t="s">
        <v>1657</v>
      </c>
      <c r="Q535" s="811" t="s">
        <v>1664</v>
      </c>
    </row>
    <row r="536" spans="1:17" x14ac:dyDescent="0.25">
      <c r="A536" s="811" t="s">
        <v>1649</v>
      </c>
      <c r="B536" s="811" t="s">
        <v>2315</v>
      </c>
      <c r="C536" s="812">
        <v>56000000</v>
      </c>
      <c r="D536" s="811" t="s">
        <v>1449</v>
      </c>
      <c r="E536" s="811" t="s">
        <v>1449</v>
      </c>
      <c r="F536" s="811" t="s">
        <v>1651</v>
      </c>
      <c r="G536" s="811" t="s">
        <v>1652</v>
      </c>
      <c r="H536" s="811" t="s">
        <v>1653</v>
      </c>
      <c r="I536" s="811" t="s">
        <v>1654</v>
      </c>
      <c r="J536" s="813">
        <v>56000000</v>
      </c>
      <c r="K536" s="811" t="s">
        <v>1655</v>
      </c>
      <c r="L536" s="811" t="s">
        <v>1212</v>
      </c>
      <c r="M536" s="811" t="s">
        <v>1635</v>
      </c>
      <c r="N536" s="811" t="s">
        <v>1635</v>
      </c>
      <c r="O536" s="811" t="s">
        <v>1729</v>
      </c>
      <c r="P536" s="811" t="s">
        <v>1657</v>
      </c>
      <c r="Q536" s="811" t="s">
        <v>1664</v>
      </c>
    </row>
    <row r="537" spans="1:17" x14ac:dyDescent="0.25">
      <c r="A537" s="811" t="s">
        <v>1649</v>
      </c>
      <c r="B537" s="811" t="s">
        <v>2316</v>
      </c>
      <c r="C537" s="812">
        <v>13926000</v>
      </c>
      <c r="D537" s="811" t="s">
        <v>1449</v>
      </c>
      <c r="E537" s="811" t="s">
        <v>1449</v>
      </c>
      <c r="F537" s="811" t="s">
        <v>1662</v>
      </c>
      <c r="G537" s="811" t="s">
        <v>1652</v>
      </c>
      <c r="H537" s="811" t="s">
        <v>1653</v>
      </c>
      <c r="I537" s="811" t="s">
        <v>1654</v>
      </c>
      <c r="J537" s="813">
        <v>13926000</v>
      </c>
      <c r="K537" s="811" t="s">
        <v>1655</v>
      </c>
      <c r="L537" s="811" t="s">
        <v>1212</v>
      </c>
      <c r="M537" s="811" t="s">
        <v>1635</v>
      </c>
      <c r="N537" s="811" t="s">
        <v>1635</v>
      </c>
      <c r="O537" s="811" t="s">
        <v>1729</v>
      </c>
      <c r="P537" s="811" t="s">
        <v>1657</v>
      </c>
      <c r="Q537" s="811" t="s">
        <v>1664</v>
      </c>
    </row>
    <row r="538" spans="1:17" x14ac:dyDescent="0.25">
      <c r="A538" s="811" t="s">
        <v>1649</v>
      </c>
      <c r="B538" s="811" t="s">
        <v>2317</v>
      </c>
      <c r="C538" s="812">
        <v>42000000</v>
      </c>
      <c r="D538" s="811" t="s">
        <v>1449</v>
      </c>
      <c r="E538" s="811" t="s">
        <v>1449</v>
      </c>
      <c r="F538" s="811" t="s">
        <v>1662</v>
      </c>
      <c r="G538" s="811" t="s">
        <v>1652</v>
      </c>
      <c r="H538" s="811" t="s">
        <v>1653</v>
      </c>
      <c r="I538" s="811" t="s">
        <v>1654</v>
      </c>
      <c r="J538" s="813">
        <v>42000000</v>
      </c>
      <c r="K538" s="811" t="s">
        <v>1655</v>
      </c>
      <c r="L538" s="811" t="s">
        <v>1212</v>
      </c>
      <c r="M538" s="811" t="s">
        <v>1635</v>
      </c>
      <c r="N538" s="811" t="s">
        <v>1635</v>
      </c>
      <c r="O538" s="811" t="s">
        <v>1729</v>
      </c>
      <c r="P538" s="811" t="s">
        <v>1657</v>
      </c>
      <c r="Q538" s="811" t="s">
        <v>1664</v>
      </c>
    </row>
    <row r="539" spans="1:17" x14ac:dyDescent="0.25">
      <c r="A539" s="811" t="s">
        <v>1649</v>
      </c>
      <c r="B539" s="811" t="s">
        <v>2318</v>
      </c>
      <c r="C539" s="812">
        <v>58145664</v>
      </c>
      <c r="D539" s="811" t="s">
        <v>1449</v>
      </c>
      <c r="E539" s="811" t="s">
        <v>1449</v>
      </c>
      <c r="F539" s="811" t="s">
        <v>1651</v>
      </c>
      <c r="G539" s="811" t="s">
        <v>1652</v>
      </c>
      <c r="H539" s="811" t="s">
        <v>1653</v>
      </c>
      <c r="I539" s="811" t="s">
        <v>1654</v>
      </c>
      <c r="J539" s="813">
        <v>58145664</v>
      </c>
      <c r="K539" s="811" t="s">
        <v>1655</v>
      </c>
      <c r="L539" s="811" t="s">
        <v>1212</v>
      </c>
      <c r="M539" s="811" t="s">
        <v>1635</v>
      </c>
      <c r="N539" s="811" t="s">
        <v>1635</v>
      </c>
      <c r="O539" s="811" t="s">
        <v>1845</v>
      </c>
      <c r="P539" s="811" t="s">
        <v>1657</v>
      </c>
      <c r="Q539" s="811" t="s">
        <v>1710</v>
      </c>
    </row>
    <row r="540" spans="1:17" x14ac:dyDescent="0.25">
      <c r="A540" s="811" t="s">
        <v>1649</v>
      </c>
      <c r="B540" s="811" t="s">
        <v>2319</v>
      </c>
      <c r="C540" s="812">
        <v>19987572</v>
      </c>
      <c r="D540" s="811" t="s">
        <v>1449</v>
      </c>
      <c r="E540" s="811" t="s">
        <v>1449</v>
      </c>
      <c r="F540" s="811" t="s">
        <v>1689</v>
      </c>
      <c r="G540" s="811" t="s">
        <v>1652</v>
      </c>
      <c r="H540" s="811" t="s">
        <v>1653</v>
      </c>
      <c r="I540" s="811" t="s">
        <v>1654</v>
      </c>
      <c r="J540" s="813">
        <v>19987572</v>
      </c>
      <c r="K540" s="811" t="s">
        <v>1655</v>
      </c>
      <c r="L540" s="811" t="s">
        <v>1212</v>
      </c>
      <c r="M540" s="811" t="s">
        <v>1635</v>
      </c>
      <c r="N540" s="811" t="s">
        <v>1635</v>
      </c>
      <c r="O540" s="811" t="s">
        <v>1845</v>
      </c>
      <c r="P540" s="811" t="s">
        <v>1657</v>
      </c>
      <c r="Q540" s="811" t="s">
        <v>1710</v>
      </c>
    </row>
    <row r="541" spans="1:17" x14ac:dyDescent="0.25">
      <c r="A541" s="811" t="s">
        <v>1649</v>
      </c>
      <c r="B541" s="811" t="s">
        <v>2320</v>
      </c>
      <c r="C541" s="812">
        <v>77000000</v>
      </c>
      <c r="D541" s="811" t="s">
        <v>1449</v>
      </c>
      <c r="E541" s="811" t="s">
        <v>1449</v>
      </c>
      <c r="F541" s="811" t="s">
        <v>1689</v>
      </c>
      <c r="G541" s="811" t="s">
        <v>1652</v>
      </c>
      <c r="H541" s="811" t="s">
        <v>1653</v>
      </c>
      <c r="I541" s="811" t="s">
        <v>1654</v>
      </c>
      <c r="J541" s="813">
        <v>77000000</v>
      </c>
      <c r="K541" s="811" t="s">
        <v>1655</v>
      </c>
      <c r="L541" s="811" t="s">
        <v>1212</v>
      </c>
      <c r="M541" s="811" t="s">
        <v>1635</v>
      </c>
      <c r="N541" s="811" t="s">
        <v>1635</v>
      </c>
      <c r="O541" s="811" t="s">
        <v>1759</v>
      </c>
      <c r="P541" s="811" t="s">
        <v>1760</v>
      </c>
      <c r="Q541" s="811" t="s">
        <v>1658</v>
      </c>
    </row>
    <row r="542" spans="1:17" x14ac:dyDescent="0.25">
      <c r="A542" s="811" t="s">
        <v>1649</v>
      </c>
      <c r="B542" s="811" t="s">
        <v>2023</v>
      </c>
      <c r="C542" s="812">
        <v>64900000</v>
      </c>
      <c r="D542" s="811" t="s">
        <v>1449</v>
      </c>
      <c r="E542" s="811" t="s">
        <v>1449</v>
      </c>
      <c r="F542" s="811" t="s">
        <v>1672</v>
      </c>
      <c r="G542" s="811" t="s">
        <v>1652</v>
      </c>
      <c r="H542" s="811" t="s">
        <v>1653</v>
      </c>
      <c r="I542" s="811" t="s">
        <v>1654</v>
      </c>
      <c r="J542" s="813">
        <v>64900000</v>
      </c>
      <c r="K542" s="811" t="s">
        <v>1655</v>
      </c>
      <c r="L542" s="811" t="s">
        <v>1212</v>
      </c>
      <c r="M542" s="811" t="s">
        <v>1635</v>
      </c>
      <c r="N542" s="811" t="s">
        <v>1635</v>
      </c>
      <c r="O542" s="811" t="s">
        <v>1759</v>
      </c>
      <c r="P542" s="811" t="s">
        <v>1760</v>
      </c>
      <c r="Q542" s="811" t="s">
        <v>1658</v>
      </c>
    </row>
    <row r="543" spans="1:17" x14ac:dyDescent="0.25">
      <c r="A543" s="811" t="s">
        <v>1649</v>
      </c>
      <c r="B543" s="811" t="s">
        <v>2321</v>
      </c>
      <c r="C543" s="812">
        <v>77000000</v>
      </c>
      <c r="D543" s="811" t="s">
        <v>1449</v>
      </c>
      <c r="E543" s="811" t="s">
        <v>1449</v>
      </c>
      <c r="F543" s="811" t="s">
        <v>1689</v>
      </c>
      <c r="G543" s="811" t="s">
        <v>1652</v>
      </c>
      <c r="H543" s="811" t="s">
        <v>1653</v>
      </c>
      <c r="I543" s="811" t="s">
        <v>1654</v>
      </c>
      <c r="J543" s="813">
        <v>77000000</v>
      </c>
      <c r="K543" s="811" t="s">
        <v>1655</v>
      </c>
      <c r="L543" s="811" t="s">
        <v>1212</v>
      </c>
      <c r="M543" s="811" t="s">
        <v>1635</v>
      </c>
      <c r="N543" s="811" t="s">
        <v>1635</v>
      </c>
      <c r="O543" s="811" t="s">
        <v>1759</v>
      </c>
      <c r="P543" s="811" t="s">
        <v>1760</v>
      </c>
      <c r="Q543" s="811" t="s">
        <v>1658</v>
      </c>
    </row>
    <row r="544" spans="1:17" x14ac:dyDescent="0.25">
      <c r="A544" s="811" t="s">
        <v>1649</v>
      </c>
      <c r="B544" s="811" t="s">
        <v>2322</v>
      </c>
      <c r="C544" s="812">
        <v>29700000</v>
      </c>
      <c r="D544" s="811" t="s">
        <v>1440</v>
      </c>
      <c r="E544" s="811" t="s">
        <v>1440</v>
      </c>
      <c r="F544" s="811" t="s">
        <v>1689</v>
      </c>
      <c r="G544" s="811" t="s">
        <v>1652</v>
      </c>
      <c r="H544" s="811" t="s">
        <v>1653</v>
      </c>
      <c r="I544" s="811" t="s">
        <v>1654</v>
      </c>
      <c r="J544" s="813">
        <v>29700000</v>
      </c>
      <c r="K544" s="811" t="s">
        <v>1655</v>
      </c>
      <c r="L544" s="811" t="s">
        <v>1212</v>
      </c>
      <c r="M544" s="811" t="s">
        <v>1635</v>
      </c>
      <c r="N544" s="811" t="s">
        <v>1635</v>
      </c>
      <c r="O544" s="811" t="s">
        <v>1681</v>
      </c>
      <c r="P544" s="811" t="s">
        <v>1657</v>
      </c>
      <c r="Q544" s="811" t="s">
        <v>1682</v>
      </c>
    </row>
    <row r="545" spans="1:17" x14ac:dyDescent="0.25">
      <c r="A545" s="811" t="s">
        <v>1649</v>
      </c>
      <c r="B545" s="811" t="s">
        <v>2323</v>
      </c>
      <c r="C545" s="812">
        <v>64260000</v>
      </c>
      <c r="D545" s="811" t="s">
        <v>1445</v>
      </c>
      <c r="E545" s="811" t="s">
        <v>1445</v>
      </c>
      <c r="F545" s="811" t="s">
        <v>1666</v>
      </c>
      <c r="G545" s="811" t="s">
        <v>1652</v>
      </c>
      <c r="H545" s="811" t="s">
        <v>1653</v>
      </c>
      <c r="I545" s="811" t="s">
        <v>1654</v>
      </c>
      <c r="J545" s="813">
        <v>64260000</v>
      </c>
      <c r="K545" s="811" t="s">
        <v>1655</v>
      </c>
      <c r="L545" s="811" t="s">
        <v>1212</v>
      </c>
      <c r="M545" s="811" t="s">
        <v>1635</v>
      </c>
      <c r="N545" s="811" t="s">
        <v>1635</v>
      </c>
      <c r="O545" s="811" t="s">
        <v>1667</v>
      </c>
      <c r="P545" s="811" t="s">
        <v>1657</v>
      </c>
      <c r="Q545" s="811" t="s">
        <v>1668</v>
      </c>
    </row>
    <row r="546" spans="1:17" x14ac:dyDescent="0.25">
      <c r="A546" s="811" t="s">
        <v>1649</v>
      </c>
      <c r="B546" s="811" t="s">
        <v>2324</v>
      </c>
      <c r="C546" s="812">
        <v>36720000</v>
      </c>
      <c r="D546" s="811" t="s">
        <v>1542</v>
      </c>
      <c r="E546" s="811" t="s">
        <v>1542</v>
      </c>
      <c r="F546" s="811" t="s">
        <v>1666</v>
      </c>
      <c r="G546" s="811" t="s">
        <v>1652</v>
      </c>
      <c r="H546" s="811" t="s">
        <v>1653</v>
      </c>
      <c r="I546" s="811" t="s">
        <v>1654</v>
      </c>
      <c r="J546" s="813">
        <v>36720000</v>
      </c>
      <c r="K546" s="811" t="s">
        <v>1655</v>
      </c>
      <c r="L546" s="811" t="s">
        <v>1212</v>
      </c>
      <c r="M546" s="811" t="s">
        <v>1635</v>
      </c>
      <c r="N546" s="811" t="s">
        <v>1635</v>
      </c>
      <c r="O546" s="811" t="s">
        <v>1667</v>
      </c>
      <c r="P546" s="811" t="s">
        <v>1657</v>
      </c>
      <c r="Q546" s="811" t="s">
        <v>1668</v>
      </c>
    </row>
    <row r="547" spans="1:17" x14ac:dyDescent="0.25">
      <c r="A547" s="811" t="s">
        <v>1649</v>
      </c>
      <c r="B547" s="811" t="s">
        <v>2325</v>
      </c>
      <c r="C547" s="812">
        <v>51754800</v>
      </c>
      <c r="D547" s="811" t="s">
        <v>1445</v>
      </c>
      <c r="E547" s="811" t="s">
        <v>1445</v>
      </c>
      <c r="F547" s="811" t="s">
        <v>1685</v>
      </c>
      <c r="G547" s="811" t="s">
        <v>1652</v>
      </c>
      <c r="H547" s="811" t="s">
        <v>1653</v>
      </c>
      <c r="I547" s="811" t="s">
        <v>1654</v>
      </c>
      <c r="J547" s="813">
        <v>51754800</v>
      </c>
      <c r="K547" s="811" t="s">
        <v>1655</v>
      </c>
      <c r="L547" s="811" t="s">
        <v>1212</v>
      </c>
      <c r="M547" s="811" t="s">
        <v>1635</v>
      </c>
      <c r="N547" s="811" t="s">
        <v>1635</v>
      </c>
      <c r="O547" s="811" t="s">
        <v>1667</v>
      </c>
      <c r="P547" s="811" t="s">
        <v>1657</v>
      </c>
      <c r="Q547" s="811" t="s">
        <v>1668</v>
      </c>
    </row>
    <row r="548" spans="1:17" x14ac:dyDescent="0.25">
      <c r="A548" s="811" t="s">
        <v>1649</v>
      </c>
      <c r="B548" s="811" t="s">
        <v>2326</v>
      </c>
      <c r="C548" s="812">
        <v>48144000</v>
      </c>
      <c r="D548" s="811" t="s">
        <v>1445</v>
      </c>
      <c r="E548" s="811" t="s">
        <v>1445</v>
      </c>
      <c r="F548" s="811" t="s">
        <v>1685</v>
      </c>
      <c r="G548" s="811" t="s">
        <v>1652</v>
      </c>
      <c r="H548" s="811" t="s">
        <v>1653</v>
      </c>
      <c r="I548" s="811" t="s">
        <v>1654</v>
      </c>
      <c r="J548" s="813">
        <v>48144000</v>
      </c>
      <c r="K548" s="811" t="s">
        <v>1655</v>
      </c>
      <c r="L548" s="811" t="s">
        <v>1212</v>
      </c>
      <c r="M548" s="811" t="s">
        <v>1635</v>
      </c>
      <c r="N548" s="811" t="s">
        <v>1635</v>
      </c>
      <c r="O548" s="811" t="s">
        <v>1667</v>
      </c>
      <c r="P548" s="811" t="s">
        <v>1657</v>
      </c>
      <c r="Q548" s="811" t="s">
        <v>1668</v>
      </c>
    </row>
    <row r="549" spans="1:17" x14ac:dyDescent="0.25">
      <c r="A549" s="811" t="s">
        <v>1649</v>
      </c>
      <c r="B549" s="811" t="s">
        <v>2327</v>
      </c>
      <c r="C549" s="812">
        <v>36000000</v>
      </c>
      <c r="D549" s="811" t="s">
        <v>1445</v>
      </c>
      <c r="E549" s="811" t="s">
        <v>1445</v>
      </c>
      <c r="F549" s="811" t="s">
        <v>1651</v>
      </c>
      <c r="G549" s="811" t="s">
        <v>1652</v>
      </c>
      <c r="H549" s="811" t="s">
        <v>1653</v>
      </c>
      <c r="I549" s="811" t="s">
        <v>1654</v>
      </c>
      <c r="J549" s="813">
        <v>36000000</v>
      </c>
      <c r="K549" s="811" t="s">
        <v>1655</v>
      </c>
      <c r="L549" s="811" t="s">
        <v>1212</v>
      </c>
      <c r="M549" s="811" t="s">
        <v>1635</v>
      </c>
      <c r="N549" s="811" t="s">
        <v>1635</v>
      </c>
      <c r="O549" s="811" t="s">
        <v>1699</v>
      </c>
      <c r="P549" s="811" t="s">
        <v>1657</v>
      </c>
      <c r="Q549" s="811" t="s">
        <v>1700</v>
      </c>
    </row>
    <row r="550" spans="1:17" x14ac:dyDescent="0.25">
      <c r="A550" s="811" t="s">
        <v>1649</v>
      </c>
      <c r="B550" s="811" t="s">
        <v>2328</v>
      </c>
      <c r="C550" s="812">
        <v>19078983</v>
      </c>
      <c r="D550" s="811" t="s">
        <v>1446</v>
      </c>
      <c r="E550" s="811" t="s">
        <v>1446</v>
      </c>
      <c r="F550" s="811" t="s">
        <v>1698</v>
      </c>
      <c r="G550" s="811" t="s">
        <v>1652</v>
      </c>
      <c r="H550" s="811" t="s">
        <v>1653</v>
      </c>
      <c r="I550" s="811" t="s">
        <v>1654</v>
      </c>
      <c r="J550" s="813">
        <v>19078983</v>
      </c>
      <c r="K550" s="811" t="s">
        <v>1655</v>
      </c>
      <c r="L550" s="811" t="s">
        <v>1212</v>
      </c>
      <c r="M550" s="811" t="s">
        <v>1635</v>
      </c>
      <c r="N550" s="811" t="s">
        <v>1635</v>
      </c>
      <c r="O550" s="811" t="s">
        <v>1699</v>
      </c>
      <c r="P550" s="811" t="s">
        <v>1657</v>
      </c>
      <c r="Q550" s="811" t="s">
        <v>1700</v>
      </c>
    </row>
    <row r="551" spans="1:17" x14ac:dyDescent="0.25">
      <c r="A551" s="811" t="s">
        <v>2329</v>
      </c>
      <c r="B551" s="811" t="s">
        <v>2330</v>
      </c>
      <c r="C551" s="812">
        <v>239251158</v>
      </c>
      <c r="D551" s="811" t="s">
        <v>1454</v>
      </c>
      <c r="E551" s="811" t="s">
        <v>1454</v>
      </c>
      <c r="F551" s="811" t="s">
        <v>1666</v>
      </c>
      <c r="G551" s="811" t="s">
        <v>1652</v>
      </c>
      <c r="H551" s="811" t="s">
        <v>1653</v>
      </c>
      <c r="I551" s="811" t="s">
        <v>1654</v>
      </c>
      <c r="J551" s="813">
        <v>239251158</v>
      </c>
      <c r="K551" s="811" t="s">
        <v>1655</v>
      </c>
      <c r="L551" s="811" t="s">
        <v>1212</v>
      </c>
      <c r="M551" s="811" t="s">
        <v>1635</v>
      </c>
      <c r="N551" s="811" t="s">
        <v>1635</v>
      </c>
      <c r="O551" s="811" t="s">
        <v>1845</v>
      </c>
      <c r="P551" s="811" t="s">
        <v>1657</v>
      </c>
      <c r="Q551" s="811" t="s">
        <v>1710</v>
      </c>
    </row>
    <row r="552" spans="1:17" x14ac:dyDescent="0.25">
      <c r="A552" s="811" t="s">
        <v>1649</v>
      </c>
      <c r="B552" s="811" t="s">
        <v>2331</v>
      </c>
      <c r="C552" s="812">
        <v>36000000</v>
      </c>
      <c r="D552" s="811" t="s">
        <v>1542</v>
      </c>
      <c r="E552" s="811" t="s">
        <v>1542</v>
      </c>
      <c r="F552" s="811" t="s">
        <v>1662</v>
      </c>
      <c r="G552" s="811" t="s">
        <v>1652</v>
      </c>
      <c r="H552" s="811" t="s">
        <v>1653</v>
      </c>
      <c r="I552" s="811" t="s">
        <v>1654</v>
      </c>
      <c r="J552" s="813">
        <v>36000000</v>
      </c>
      <c r="K552" s="811" t="s">
        <v>1655</v>
      </c>
      <c r="L552" s="811" t="s">
        <v>1212</v>
      </c>
      <c r="M552" s="811" t="s">
        <v>1635</v>
      </c>
      <c r="N552" s="811" t="s">
        <v>1635</v>
      </c>
      <c r="O552" s="811" t="s">
        <v>1845</v>
      </c>
      <c r="P552" s="811" t="s">
        <v>1657</v>
      </c>
      <c r="Q552" s="811" t="s">
        <v>1710</v>
      </c>
    </row>
    <row r="553" spans="1:17" x14ac:dyDescent="0.25">
      <c r="A553" s="811" t="s">
        <v>1649</v>
      </c>
      <c r="B553" s="811" t="s">
        <v>2332</v>
      </c>
      <c r="C553" s="812">
        <v>22725578</v>
      </c>
      <c r="D553" s="811" t="s">
        <v>1449</v>
      </c>
      <c r="E553" s="811" t="s">
        <v>1449</v>
      </c>
      <c r="F553" s="811" t="s">
        <v>1689</v>
      </c>
      <c r="G553" s="811" t="s">
        <v>1652</v>
      </c>
      <c r="H553" s="811" t="s">
        <v>1653</v>
      </c>
      <c r="I553" s="811" t="s">
        <v>1654</v>
      </c>
      <c r="J553" s="813">
        <v>22725578</v>
      </c>
      <c r="K553" s="811" t="s">
        <v>1655</v>
      </c>
      <c r="L553" s="811" t="s">
        <v>1212</v>
      </c>
      <c r="M553" s="811" t="s">
        <v>1635</v>
      </c>
      <c r="N553" s="811" t="s">
        <v>1635</v>
      </c>
      <c r="O553" s="811" t="s">
        <v>1845</v>
      </c>
      <c r="P553" s="811" t="s">
        <v>1657</v>
      </c>
      <c r="Q553" s="811" t="s">
        <v>1710</v>
      </c>
    </row>
    <row r="554" spans="1:17" x14ac:dyDescent="0.25">
      <c r="A554" s="811" t="s">
        <v>1649</v>
      </c>
      <c r="B554" s="811" t="s">
        <v>2333</v>
      </c>
      <c r="C554" s="812">
        <v>29981358</v>
      </c>
      <c r="D554" s="811" t="s">
        <v>1449</v>
      </c>
      <c r="E554" s="811" t="s">
        <v>1449</v>
      </c>
      <c r="F554" s="811" t="s">
        <v>1689</v>
      </c>
      <c r="G554" s="811" t="s">
        <v>1652</v>
      </c>
      <c r="H554" s="811" t="s">
        <v>1653</v>
      </c>
      <c r="I554" s="811" t="s">
        <v>1654</v>
      </c>
      <c r="J554" s="813">
        <v>29981358</v>
      </c>
      <c r="K554" s="811" t="s">
        <v>1655</v>
      </c>
      <c r="L554" s="811" t="s">
        <v>1212</v>
      </c>
      <c r="M554" s="811" t="s">
        <v>1635</v>
      </c>
      <c r="N554" s="811" t="s">
        <v>1635</v>
      </c>
      <c r="O554" s="811" t="s">
        <v>1845</v>
      </c>
      <c r="P554" s="811" t="s">
        <v>1657</v>
      </c>
      <c r="Q554" s="811" t="s">
        <v>1710</v>
      </c>
    </row>
    <row r="555" spans="1:17" x14ac:dyDescent="0.25">
      <c r="A555" s="811" t="s">
        <v>1649</v>
      </c>
      <c r="B555" s="811" t="s">
        <v>2334</v>
      </c>
      <c r="C555" s="812">
        <v>65413872</v>
      </c>
      <c r="D555" s="811" t="s">
        <v>1449</v>
      </c>
      <c r="E555" s="811" t="s">
        <v>1449</v>
      </c>
      <c r="F555" s="811" t="s">
        <v>1666</v>
      </c>
      <c r="G555" s="811" t="s">
        <v>1652</v>
      </c>
      <c r="H555" s="811" t="s">
        <v>1653</v>
      </c>
      <c r="I555" s="811" t="s">
        <v>1654</v>
      </c>
      <c r="J555" s="813">
        <v>65413872</v>
      </c>
      <c r="K555" s="811" t="s">
        <v>1655</v>
      </c>
      <c r="L555" s="811" t="s">
        <v>1212</v>
      </c>
      <c r="M555" s="811" t="s">
        <v>1635</v>
      </c>
      <c r="N555" s="811" t="s">
        <v>1635</v>
      </c>
      <c r="O555" s="811" t="s">
        <v>1845</v>
      </c>
      <c r="P555" s="811" t="s">
        <v>1657</v>
      </c>
      <c r="Q555" s="811" t="s">
        <v>1710</v>
      </c>
    </row>
    <row r="556" spans="1:17" x14ac:dyDescent="0.25">
      <c r="A556" s="811" t="s">
        <v>1649</v>
      </c>
      <c r="B556" s="811" t="s">
        <v>2335</v>
      </c>
      <c r="C556" s="812">
        <v>65413872</v>
      </c>
      <c r="D556" s="811" t="s">
        <v>1449</v>
      </c>
      <c r="E556" s="811" t="s">
        <v>1449</v>
      </c>
      <c r="F556" s="811" t="s">
        <v>1666</v>
      </c>
      <c r="G556" s="811" t="s">
        <v>1652</v>
      </c>
      <c r="H556" s="811" t="s">
        <v>1653</v>
      </c>
      <c r="I556" s="811" t="s">
        <v>1654</v>
      </c>
      <c r="J556" s="813">
        <v>65413872</v>
      </c>
      <c r="K556" s="811" t="s">
        <v>1655</v>
      </c>
      <c r="L556" s="811" t="s">
        <v>1212</v>
      </c>
      <c r="M556" s="811" t="s">
        <v>1635</v>
      </c>
      <c r="N556" s="811" t="s">
        <v>1635</v>
      </c>
      <c r="O556" s="811" t="s">
        <v>1845</v>
      </c>
      <c r="P556" s="811" t="s">
        <v>1657</v>
      </c>
      <c r="Q556" s="811" t="s">
        <v>1710</v>
      </c>
    </row>
    <row r="557" spans="1:17" x14ac:dyDescent="0.25">
      <c r="A557" s="811" t="s">
        <v>1649</v>
      </c>
      <c r="B557" s="811" t="s">
        <v>2336</v>
      </c>
      <c r="C557" s="812">
        <v>65413872</v>
      </c>
      <c r="D557" s="811" t="s">
        <v>1449</v>
      </c>
      <c r="E557" s="811" t="s">
        <v>1449</v>
      </c>
      <c r="F557" s="811" t="s">
        <v>1666</v>
      </c>
      <c r="G557" s="811" t="s">
        <v>1652</v>
      </c>
      <c r="H557" s="811" t="s">
        <v>1653</v>
      </c>
      <c r="I557" s="811" t="s">
        <v>1654</v>
      </c>
      <c r="J557" s="813">
        <v>65413872</v>
      </c>
      <c r="K557" s="811" t="s">
        <v>1655</v>
      </c>
      <c r="L557" s="811" t="s">
        <v>1212</v>
      </c>
      <c r="M557" s="811" t="s">
        <v>1635</v>
      </c>
      <c r="N557" s="811" t="s">
        <v>1635</v>
      </c>
      <c r="O557" s="811" t="s">
        <v>1845</v>
      </c>
      <c r="P557" s="811" t="s">
        <v>1657</v>
      </c>
      <c r="Q557" s="811" t="s">
        <v>1710</v>
      </c>
    </row>
    <row r="558" spans="1:17" x14ac:dyDescent="0.25">
      <c r="A558" s="811" t="s">
        <v>1649</v>
      </c>
      <c r="B558" s="811" t="s">
        <v>2337</v>
      </c>
      <c r="C558" s="812">
        <v>65413872</v>
      </c>
      <c r="D558" s="811" t="s">
        <v>1449</v>
      </c>
      <c r="E558" s="811" t="s">
        <v>1449</v>
      </c>
      <c r="F558" s="811" t="s">
        <v>1666</v>
      </c>
      <c r="G558" s="811" t="s">
        <v>1652</v>
      </c>
      <c r="H558" s="811" t="s">
        <v>1653</v>
      </c>
      <c r="I558" s="811" t="s">
        <v>1654</v>
      </c>
      <c r="J558" s="813">
        <v>65413872</v>
      </c>
      <c r="K558" s="811" t="s">
        <v>1655</v>
      </c>
      <c r="L558" s="811" t="s">
        <v>1212</v>
      </c>
      <c r="M558" s="811" t="s">
        <v>1635</v>
      </c>
      <c r="N558" s="811" t="s">
        <v>1635</v>
      </c>
      <c r="O558" s="811" t="s">
        <v>1845</v>
      </c>
      <c r="P558" s="811" t="s">
        <v>1657</v>
      </c>
      <c r="Q558" s="811" t="s">
        <v>1710</v>
      </c>
    </row>
    <row r="559" spans="1:17" x14ac:dyDescent="0.25">
      <c r="A559" s="811" t="s">
        <v>1649</v>
      </c>
      <c r="B559" s="811" t="s">
        <v>2338</v>
      </c>
      <c r="C559" s="812">
        <v>65413872</v>
      </c>
      <c r="D559" s="811" t="s">
        <v>1449</v>
      </c>
      <c r="E559" s="811" t="s">
        <v>1449</v>
      </c>
      <c r="F559" s="811" t="s">
        <v>1666</v>
      </c>
      <c r="G559" s="811" t="s">
        <v>1652</v>
      </c>
      <c r="H559" s="811" t="s">
        <v>1653</v>
      </c>
      <c r="I559" s="811" t="s">
        <v>1654</v>
      </c>
      <c r="J559" s="813">
        <v>65413872</v>
      </c>
      <c r="K559" s="811" t="s">
        <v>1655</v>
      </c>
      <c r="L559" s="811" t="s">
        <v>1212</v>
      </c>
      <c r="M559" s="811" t="s">
        <v>1635</v>
      </c>
      <c r="N559" s="811" t="s">
        <v>1635</v>
      </c>
      <c r="O559" s="811" t="s">
        <v>1845</v>
      </c>
      <c r="P559" s="811" t="s">
        <v>1657</v>
      </c>
      <c r="Q559" s="811" t="s">
        <v>1710</v>
      </c>
    </row>
    <row r="560" spans="1:17" x14ac:dyDescent="0.25">
      <c r="A560" s="811" t="s">
        <v>1649</v>
      </c>
      <c r="B560" s="811" t="s">
        <v>2339</v>
      </c>
      <c r="C560" s="812">
        <v>79314319</v>
      </c>
      <c r="D560" s="811" t="s">
        <v>1449</v>
      </c>
      <c r="E560" s="811" t="s">
        <v>1449</v>
      </c>
      <c r="F560" s="811" t="s">
        <v>1666</v>
      </c>
      <c r="G560" s="811" t="s">
        <v>1652</v>
      </c>
      <c r="H560" s="811" t="s">
        <v>1653</v>
      </c>
      <c r="I560" s="811" t="s">
        <v>1654</v>
      </c>
      <c r="J560" s="813">
        <v>79314319</v>
      </c>
      <c r="K560" s="811" t="s">
        <v>1655</v>
      </c>
      <c r="L560" s="811" t="s">
        <v>1212</v>
      </c>
      <c r="M560" s="811" t="s">
        <v>1635</v>
      </c>
      <c r="N560" s="811" t="s">
        <v>1635</v>
      </c>
      <c r="O560" s="811" t="s">
        <v>1845</v>
      </c>
      <c r="P560" s="811" t="s">
        <v>1657</v>
      </c>
      <c r="Q560" s="811" t="s">
        <v>1710</v>
      </c>
    </row>
    <row r="561" spans="1:17" x14ac:dyDescent="0.25">
      <c r="A561" s="811" t="s">
        <v>1649</v>
      </c>
      <c r="B561" s="811" t="s">
        <v>2340</v>
      </c>
      <c r="C561" s="812">
        <v>34978251</v>
      </c>
      <c r="D561" s="811" t="s">
        <v>1449</v>
      </c>
      <c r="E561" s="811" t="s">
        <v>1449</v>
      </c>
      <c r="F561" s="811" t="s">
        <v>1689</v>
      </c>
      <c r="G561" s="811" t="s">
        <v>1652</v>
      </c>
      <c r="H561" s="811" t="s">
        <v>1653</v>
      </c>
      <c r="I561" s="811" t="s">
        <v>1654</v>
      </c>
      <c r="J561" s="813">
        <v>34978251</v>
      </c>
      <c r="K561" s="811" t="s">
        <v>1655</v>
      </c>
      <c r="L561" s="811" t="s">
        <v>1212</v>
      </c>
      <c r="M561" s="811" t="s">
        <v>1635</v>
      </c>
      <c r="N561" s="811" t="s">
        <v>1635</v>
      </c>
      <c r="O561" s="811" t="s">
        <v>1845</v>
      </c>
      <c r="P561" s="811" t="s">
        <v>1657</v>
      </c>
      <c r="Q561" s="811" t="s">
        <v>1710</v>
      </c>
    </row>
    <row r="562" spans="1:17" x14ac:dyDescent="0.25">
      <c r="A562" s="811" t="s">
        <v>1649</v>
      </c>
      <c r="B562" s="811" t="s">
        <v>2341</v>
      </c>
      <c r="C562" s="812">
        <v>19597151</v>
      </c>
      <c r="D562" s="811" t="s">
        <v>1445</v>
      </c>
      <c r="E562" s="811" t="s">
        <v>1445</v>
      </c>
      <c r="F562" s="811" t="s">
        <v>1666</v>
      </c>
      <c r="G562" s="811" t="s">
        <v>1652</v>
      </c>
      <c r="H562" s="811" t="s">
        <v>1653</v>
      </c>
      <c r="I562" s="811" t="s">
        <v>1654</v>
      </c>
      <c r="J562" s="813">
        <v>19597151</v>
      </c>
      <c r="K562" s="811" t="s">
        <v>1655</v>
      </c>
      <c r="L562" s="811" t="s">
        <v>1212</v>
      </c>
      <c r="M562" s="811" t="s">
        <v>1635</v>
      </c>
      <c r="N562" s="811" t="s">
        <v>1635</v>
      </c>
      <c r="O562" s="811" t="s">
        <v>1667</v>
      </c>
      <c r="P562" s="811" t="s">
        <v>1657</v>
      </c>
      <c r="Q562" s="811" t="s">
        <v>1668</v>
      </c>
    </row>
    <row r="563" spans="1:17" x14ac:dyDescent="0.25">
      <c r="A563" s="811" t="s">
        <v>1649</v>
      </c>
      <c r="B563" s="811" t="s">
        <v>2342</v>
      </c>
      <c r="C563" s="812">
        <v>44311860</v>
      </c>
      <c r="D563" s="811" t="s">
        <v>1445</v>
      </c>
      <c r="E563" s="811" t="s">
        <v>1445</v>
      </c>
      <c r="F563" s="811" t="s">
        <v>1666</v>
      </c>
      <c r="G563" s="811" t="s">
        <v>1652</v>
      </c>
      <c r="H563" s="811" t="s">
        <v>1653</v>
      </c>
      <c r="I563" s="811" t="s">
        <v>1654</v>
      </c>
      <c r="J563" s="813">
        <v>44311860</v>
      </c>
      <c r="K563" s="811" t="s">
        <v>1655</v>
      </c>
      <c r="L563" s="811" t="s">
        <v>1212</v>
      </c>
      <c r="M563" s="811" t="s">
        <v>1635</v>
      </c>
      <c r="N563" s="811" t="s">
        <v>1635</v>
      </c>
      <c r="O563" s="811" t="s">
        <v>1667</v>
      </c>
      <c r="P563" s="811" t="s">
        <v>1657</v>
      </c>
      <c r="Q563" s="811" t="s">
        <v>1668</v>
      </c>
    </row>
    <row r="564" spans="1:17" x14ac:dyDescent="0.25">
      <c r="A564" s="811" t="s">
        <v>1649</v>
      </c>
      <c r="B564" s="811" t="s">
        <v>2343</v>
      </c>
      <c r="C564" s="812">
        <v>64260000</v>
      </c>
      <c r="D564" s="811" t="s">
        <v>1445</v>
      </c>
      <c r="E564" s="811" t="s">
        <v>1445</v>
      </c>
      <c r="F564" s="811" t="s">
        <v>1666</v>
      </c>
      <c r="G564" s="811" t="s">
        <v>1652</v>
      </c>
      <c r="H564" s="811" t="s">
        <v>1653</v>
      </c>
      <c r="I564" s="811" t="s">
        <v>1654</v>
      </c>
      <c r="J564" s="813">
        <v>64260000</v>
      </c>
      <c r="K564" s="811" t="s">
        <v>1655</v>
      </c>
      <c r="L564" s="811" t="s">
        <v>1212</v>
      </c>
      <c r="M564" s="811" t="s">
        <v>1635</v>
      </c>
      <c r="N564" s="811" t="s">
        <v>1635</v>
      </c>
      <c r="O564" s="811" t="s">
        <v>1667</v>
      </c>
      <c r="P564" s="811" t="s">
        <v>1657</v>
      </c>
      <c r="Q564" s="811" t="s">
        <v>1668</v>
      </c>
    </row>
    <row r="565" spans="1:17" x14ac:dyDescent="0.25">
      <c r="A565" s="811" t="s">
        <v>1649</v>
      </c>
      <c r="B565" s="811" t="s">
        <v>2344</v>
      </c>
      <c r="C565" s="812">
        <v>44064000</v>
      </c>
      <c r="D565" s="811" t="s">
        <v>1445</v>
      </c>
      <c r="E565" s="811" t="s">
        <v>1445</v>
      </c>
      <c r="F565" s="811" t="s">
        <v>1666</v>
      </c>
      <c r="G565" s="811" t="s">
        <v>1652</v>
      </c>
      <c r="H565" s="811" t="s">
        <v>1653</v>
      </c>
      <c r="I565" s="811" t="s">
        <v>1654</v>
      </c>
      <c r="J565" s="813">
        <v>44064000</v>
      </c>
      <c r="K565" s="811" t="s">
        <v>1655</v>
      </c>
      <c r="L565" s="811" t="s">
        <v>1212</v>
      </c>
      <c r="M565" s="811" t="s">
        <v>1635</v>
      </c>
      <c r="N565" s="811" t="s">
        <v>1635</v>
      </c>
      <c r="O565" s="811" t="s">
        <v>1667</v>
      </c>
      <c r="P565" s="811" t="s">
        <v>1657</v>
      </c>
      <c r="Q565" s="811" t="s">
        <v>1668</v>
      </c>
    </row>
    <row r="566" spans="1:17" x14ac:dyDescent="0.25">
      <c r="A566" s="811" t="s">
        <v>1649</v>
      </c>
      <c r="B566" s="811" t="s">
        <v>2345</v>
      </c>
      <c r="C566" s="812">
        <v>64260000</v>
      </c>
      <c r="D566" s="811" t="s">
        <v>1445</v>
      </c>
      <c r="E566" s="811" t="s">
        <v>1445</v>
      </c>
      <c r="F566" s="811" t="s">
        <v>1666</v>
      </c>
      <c r="G566" s="811" t="s">
        <v>1652</v>
      </c>
      <c r="H566" s="811" t="s">
        <v>1653</v>
      </c>
      <c r="I566" s="811" t="s">
        <v>1654</v>
      </c>
      <c r="J566" s="813">
        <v>64260000</v>
      </c>
      <c r="K566" s="811" t="s">
        <v>1655</v>
      </c>
      <c r="L566" s="811" t="s">
        <v>1212</v>
      </c>
      <c r="M566" s="811" t="s">
        <v>1635</v>
      </c>
      <c r="N566" s="811" t="s">
        <v>1635</v>
      </c>
      <c r="O566" s="811" t="s">
        <v>1667</v>
      </c>
      <c r="P566" s="811" t="s">
        <v>1657</v>
      </c>
      <c r="Q566" s="811" t="s">
        <v>1668</v>
      </c>
    </row>
    <row r="567" spans="1:17" x14ac:dyDescent="0.25">
      <c r="A567" s="811" t="s">
        <v>1649</v>
      </c>
      <c r="B567" s="811" t="s">
        <v>2346</v>
      </c>
      <c r="C567" s="812">
        <v>64260000</v>
      </c>
      <c r="D567" s="811" t="s">
        <v>1445</v>
      </c>
      <c r="E567" s="811" t="s">
        <v>1445</v>
      </c>
      <c r="F567" s="811" t="s">
        <v>1666</v>
      </c>
      <c r="G567" s="811" t="s">
        <v>1652</v>
      </c>
      <c r="H567" s="811" t="s">
        <v>1653</v>
      </c>
      <c r="I567" s="811" t="s">
        <v>1654</v>
      </c>
      <c r="J567" s="813">
        <v>64260000</v>
      </c>
      <c r="K567" s="811" t="s">
        <v>1655</v>
      </c>
      <c r="L567" s="811" t="s">
        <v>1212</v>
      </c>
      <c r="M567" s="811" t="s">
        <v>1635</v>
      </c>
      <c r="N567" s="811" t="s">
        <v>1635</v>
      </c>
      <c r="O567" s="811" t="s">
        <v>1667</v>
      </c>
      <c r="P567" s="811" t="s">
        <v>1657</v>
      </c>
      <c r="Q567" s="811" t="s">
        <v>1668</v>
      </c>
    </row>
    <row r="568" spans="1:17" x14ac:dyDescent="0.25">
      <c r="A568" s="811" t="s">
        <v>1649</v>
      </c>
      <c r="B568" s="811" t="s">
        <v>2347</v>
      </c>
      <c r="C568" s="812">
        <v>64260000</v>
      </c>
      <c r="D568" s="811" t="s">
        <v>1445</v>
      </c>
      <c r="E568" s="811" t="s">
        <v>1445</v>
      </c>
      <c r="F568" s="811" t="s">
        <v>1666</v>
      </c>
      <c r="G568" s="811" t="s">
        <v>1652</v>
      </c>
      <c r="H568" s="811" t="s">
        <v>1653</v>
      </c>
      <c r="I568" s="811" t="s">
        <v>1654</v>
      </c>
      <c r="J568" s="813">
        <v>64260000</v>
      </c>
      <c r="K568" s="811" t="s">
        <v>1655</v>
      </c>
      <c r="L568" s="811" t="s">
        <v>1212</v>
      </c>
      <c r="M568" s="811" t="s">
        <v>1635</v>
      </c>
      <c r="N568" s="811" t="s">
        <v>1635</v>
      </c>
      <c r="O568" s="811" t="s">
        <v>1667</v>
      </c>
      <c r="P568" s="811" t="s">
        <v>1657</v>
      </c>
      <c r="Q568" s="811" t="s">
        <v>1668</v>
      </c>
    </row>
    <row r="569" spans="1:17" x14ac:dyDescent="0.25">
      <c r="A569" s="811" t="s">
        <v>1649</v>
      </c>
      <c r="B569" s="811" t="s">
        <v>2348</v>
      </c>
      <c r="C569" s="812">
        <v>24530202</v>
      </c>
      <c r="D569" s="811" t="s">
        <v>1542</v>
      </c>
      <c r="E569" s="811" t="s">
        <v>1542</v>
      </c>
      <c r="F569" s="811" t="s">
        <v>1666</v>
      </c>
      <c r="G569" s="811" t="s">
        <v>1652</v>
      </c>
      <c r="H569" s="811" t="s">
        <v>1653</v>
      </c>
      <c r="I569" s="811" t="s">
        <v>1654</v>
      </c>
      <c r="J569" s="813">
        <v>24530202</v>
      </c>
      <c r="K569" s="811" t="s">
        <v>1655</v>
      </c>
      <c r="L569" s="811" t="s">
        <v>1212</v>
      </c>
      <c r="M569" s="811" t="s">
        <v>1635</v>
      </c>
      <c r="N569" s="811" t="s">
        <v>1635</v>
      </c>
      <c r="O569" s="811" t="s">
        <v>1845</v>
      </c>
      <c r="P569" s="811" t="s">
        <v>1657</v>
      </c>
      <c r="Q569" s="811" t="s">
        <v>1710</v>
      </c>
    </row>
    <row r="570" spans="1:17" x14ac:dyDescent="0.25">
      <c r="A570" s="811" t="s">
        <v>1649</v>
      </c>
      <c r="B570" s="811" t="s">
        <v>2349</v>
      </c>
      <c r="C570" s="812">
        <v>24530202</v>
      </c>
      <c r="D570" s="811" t="s">
        <v>1542</v>
      </c>
      <c r="E570" s="811" t="s">
        <v>1542</v>
      </c>
      <c r="F570" s="811" t="s">
        <v>1666</v>
      </c>
      <c r="G570" s="811" t="s">
        <v>1652</v>
      </c>
      <c r="H570" s="811" t="s">
        <v>1653</v>
      </c>
      <c r="I570" s="811" t="s">
        <v>1654</v>
      </c>
      <c r="J570" s="813">
        <v>24530202</v>
      </c>
      <c r="K570" s="811" t="s">
        <v>1655</v>
      </c>
      <c r="L570" s="811" t="s">
        <v>1212</v>
      </c>
      <c r="M570" s="811" t="s">
        <v>1635</v>
      </c>
      <c r="N570" s="811" t="s">
        <v>1635</v>
      </c>
      <c r="O570" s="811" t="s">
        <v>1845</v>
      </c>
      <c r="P570" s="811" t="s">
        <v>1657</v>
      </c>
      <c r="Q570" s="811" t="s">
        <v>1710</v>
      </c>
    </row>
    <row r="571" spans="1:17" x14ac:dyDescent="0.25">
      <c r="A571" s="811" t="s">
        <v>1803</v>
      </c>
      <c r="B571" s="811" t="s">
        <v>2350</v>
      </c>
      <c r="C571" s="812">
        <v>55000000</v>
      </c>
      <c r="D571" s="811" t="s">
        <v>1446</v>
      </c>
      <c r="E571" s="811" t="s">
        <v>1446</v>
      </c>
      <c r="F571" s="811" t="s">
        <v>1672</v>
      </c>
      <c r="G571" s="811" t="s">
        <v>1652</v>
      </c>
      <c r="H571" s="811" t="s">
        <v>1653</v>
      </c>
      <c r="I571" s="811" t="s">
        <v>1654</v>
      </c>
      <c r="J571" s="813">
        <v>55000000</v>
      </c>
      <c r="K571" s="811" t="s">
        <v>1655</v>
      </c>
      <c r="L571" s="811" t="s">
        <v>1212</v>
      </c>
      <c r="M571" s="811" t="s">
        <v>1635</v>
      </c>
      <c r="N571" s="811" t="s">
        <v>1635</v>
      </c>
      <c r="O571" s="811" t="s">
        <v>1686</v>
      </c>
      <c r="P571" s="811" t="s">
        <v>1657</v>
      </c>
      <c r="Q571" s="811" t="s">
        <v>1658</v>
      </c>
    </row>
    <row r="572" spans="1:17" x14ac:dyDescent="0.25">
      <c r="A572" s="811" t="s">
        <v>1649</v>
      </c>
      <c r="B572" s="811" t="s">
        <v>2351</v>
      </c>
      <c r="C572" s="812">
        <v>54000000</v>
      </c>
      <c r="D572" s="811" t="s">
        <v>1445</v>
      </c>
      <c r="E572" s="811" t="s">
        <v>1445</v>
      </c>
      <c r="F572" s="811" t="s">
        <v>1666</v>
      </c>
      <c r="G572" s="811" t="s">
        <v>1652</v>
      </c>
      <c r="H572" s="811" t="s">
        <v>1653</v>
      </c>
      <c r="I572" s="811" t="s">
        <v>1654</v>
      </c>
      <c r="J572" s="813">
        <v>54000000</v>
      </c>
      <c r="K572" s="811" t="s">
        <v>1655</v>
      </c>
      <c r="L572" s="811" t="s">
        <v>1212</v>
      </c>
      <c r="M572" s="811" t="s">
        <v>1635</v>
      </c>
      <c r="N572" s="811" t="s">
        <v>1635</v>
      </c>
      <c r="O572" s="811" t="s">
        <v>1686</v>
      </c>
      <c r="P572" s="811" t="s">
        <v>1657</v>
      </c>
      <c r="Q572" s="811" t="s">
        <v>1658</v>
      </c>
    </row>
    <row r="573" spans="1:17" x14ac:dyDescent="0.25">
      <c r="A573" s="811" t="s">
        <v>1649</v>
      </c>
      <c r="B573" s="811" t="s">
        <v>2352</v>
      </c>
      <c r="C573" s="812">
        <v>50150000</v>
      </c>
      <c r="D573" s="811" t="s">
        <v>1542</v>
      </c>
      <c r="E573" s="811" t="s">
        <v>1542</v>
      </c>
      <c r="F573" s="811" t="s">
        <v>1651</v>
      </c>
      <c r="G573" s="811" t="s">
        <v>1652</v>
      </c>
      <c r="H573" s="811" t="s">
        <v>1653</v>
      </c>
      <c r="I573" s="811" t="s">
        <v>1654</v>
      </c>
      <c r="J573" s="813">
        <v>50150000</v>
      </c>
      <c r="K573" s="811" t="s">
        <v>1655</v>
      </c>
      <c r="L573" s="811" t="s">
        <v>1212</v>
      </c>
      <c r="M573" s="811" t="s">
        <v>1635</v>
      </c>
      <c r="N573" s="811" t="s">
        <v>1635</v>
      </c>
      <c r="O573" s="811" t="s">
        <v>1686</v>
      </c>
      <c r="P573" s="811" t="s">
        <v>1657</v>
      </c>
      <c r="Q573" s="811" t="s">
        <v>1658</v>
      </c>
    </row>
    <row r="574" spans="1:17" x14ac:dyDescent="0.25">
      <c r="A574" s="811" t="s">
        <v>1649</v>
      </c>
      <c r="B574" s="811" t="s">
        <v>2353</v>
      </c>
      <c r="C574" s="812">
        <v>42500000</v>
      </c>
      <c r="D574" s="811" t="s">
        <v>1445</v>
      </c>
      <c r="E574" s="811" t="s">
        <v>1445</v>
      </c>
      <c r="F574" s="811" t="s">
        <v>1651</v>
      </c>
      <c r="G574" s="811" t="s">
        <v>1652</v>
      </c>
      <c r="H574" s="811" t="s">
        <v>1653</v>
      </c>
      <c r="I574" s="811" t="s">
        <v>1654</v>
      </c>
      <c r="J574" s="813">
        <v>42500000</v>
      </c>
      <c r="K574" s="811" t="s">
        <v>1655</v>
      </c>
      <c r="L574" s="811" t="s">
        <v>1212</v>
      </c>
      <c r="M574" s="811" t="s">
        <v>1635</v>
      </c>
      <c r="N574" s="811" t="s">
        <v>1635</v>
      </c>
      <c r="O574" s="811" t="s">
        <v>1686</v>
      </c>
      <c r="P574" s="811" t="s">
        <v>1657</v>
      </c>
      <c r="Q574" s="811" t="s">
        <v>1658</v>
      </c>
    </row>
    <row r="575" spans="1:17" x14ac:dyDescent="0.25">
      <c r="A575" s="811" t="s">
        <v>1649</v>
      </c>
      <c r="B575" s="811" t="s">
        <v>2354</v>
      </c>
      <c r="C575" s="812">
        <v>42500000</v>
      </c>
      <c r="D575" s="811" t="s">
        <v>1445</v>
      </c>
      <c r="E575" s="811" t="s">
        <v>1445</v>
      </c>
      <c r="F575" s="811" t="s">
        <v>1651</v>
      </c>
      <c r="G575" s="811" t="s">
        <v>1652</v>
      </c>
      <c r="H575" s="811" t="s">
        <v>1653</v>
      </c>
      <c r="I575" s="811" t="s">
        <v>1654</v>
      </c>
      <c r="J575" s="813">
        <v>42500000</v>
      </c>
      <c r="K575" s="811" t="s">
        <v>1655</v>
      </c>
      <c r="L575" s="811" t="s">
        <v>1212</v>
      </c>
      <c r="M575" s="811" t="s">
        <v>1635</v>
      </c>
      <c r="N575" s="811" t="s">
        <v>1635</v>
      </c>
      <c r="O575" s="811" t="s">
        <v>1686</v>
      </c>
      <c r="P575" s="811" t="s">
        <v>1657</v>
      </c>
      <c r="Q575" s="811" t="s">
        <v>1658</v>
      </c>
    </row>
    <row r="576" spans="1:17" x14ac:dyDescent="0.25">
      <c r="A576" s="811" t="s">
        <v>1649</v>
      </c>
      <c r="B576" s="811" t="s">
        <v>2355</v>
      </c>
      <c r="C576" s="812">
        <v>28800000</v>
      </c>
      <c r="D576" s="811" t="s">
        <v>1542</v>
      </c>
      <c r="E576" s="811" t="s">
        <v>1542</v>
      </c>
      <c r="F576" s="811" t="s">
        <v>1651</v>
      </c>
      <c r="G576" s="811" t="s">
        <v>1652</v>
      </c>
      <c r="H576" s="811" t="s">
        <v>1653</v>
      </c>
      <c r="I576" s="811" t="s">
        <v>1654</v>
      </c>
      <c r="J576" s="813">
        <v>28800000</v>
      </c>
      <c r="K576" s="811" t="s">
        <v>1655</v>
      </c>
      <c r="L576" s="811" t="s">
        <v>1212</v>
      </c>
      <c r="M576" s="811" t="s">
        <v>1635</v>
      </c>
      <c r="N576" s="811" t="s">
        <v>1635</v>
      </c>
      <c r="O576" s="811" t="s">
        <v>1686</v>
      </c>
      <c r="P576" s="811" t="s">
        <v>1657</v>
      </c>
      <c r="Q576" s="811" t="s">
        <v>1658</v>
      </c>
    </row>
    <row r="577" spans="1:17" x14ac:dyDescent="0.25">
      <c r="A577" s="811" t="s">
        <v>1649</v>
      </c>
      <c r="B577" s="811" t="s">
        <v>2356</v>
      </c>
      <c r="C577" s="812">
        <v>28800000</v>
      </c>
      <c r="D577" s="811" t="s">
        <v>1542</v>
      </c>
      <c r="E577" s="811" t="s">
        <v>1542</v>
      </c>
      <c r="F577" s="811" t="s">
        <v>1651</v>
      </c>
      <c r="G577" s="811" t="s">
        <v>1652</v>
      </c>
      <c r="H577" s="811" t="s">
        <v>1653</v>
      </c>
      <c r="I577" s="811" t="s">
        <v>1654</v>
      </c>
      <c r="J577" s="813">
        <v>28800000</v>
      </c>
      <c r="K577" s="811" t="s">
        <v>1655</v>
      </c>
      <c r="L577" s="811" t="s">
        <v>1212</v>
      </c>
      <c r="M577" s="811" t="s">
        <v>1635</v>
      </c>
      <c r="N577" s="811" t="s">
        <v>1635</v>
      </c>
      <c r="O577" s="811" t="s">
        <v>1686</v>
      </c>
      <c r="P577" s="811" t="s">
        <v>1657</v>
      </c>
      <c r="Q577" s="811" t="s">
        <v>1658</v>
      </c>
    </row>
    <row r="578" spans="1:17" x14ac:dyDescent="0.25">
      <c r="A578" s="811" t="s">
        <v>1649</v>
      </c>
      <c r="B578" s="811" t="s">
        <v>2357</v>
      </c>
      <c r="C578" s="812">
        <v>42400000</v>
      </c>
      <c r="D578" s="811" t="s">
        <v>1542</v>
      </c>
      <c r="E578" s="811" t="s">
        <v>1542</v>
      </c>
      <c r="F578" s="811" t="s">
        <v>1651</v>
      </c>
      <c r="G578" s="811" t="s">
        <v>1652</v>
      </c>
      <c r="H578" s="811" t="s">
        <v>1653</v>
      </c>
      <c r="I578" s="811" t="s">
        <v>1654</v>
      </c>
      <c r="J578" s="813">
        <v>42400000</v>
      </c>
      <c r="K578" s="811" t="s">
        <v>1655</v>
      </c>
      <c r="L578" s="811" t="s">
        <v>1212</v>
      </c>
      <c r="M578" s="811" t="s">
        <v>1635</v>
      </c>
      <c r="N578" s="811" t="s">
        <v>1635</v>
      </c>
      <c r="O578" s="811" t="s">
        <v>1686</v>
      </c>
      <c r="P578" s="811" t="s">
        <v>1657</v>
      </c>
      <c r="Q578" s="811" t="s">
        <v>1658</v>
      </c>
    </row>
    <row r="579" spans="1:17" x14ac:dyDescent="0.25">
      <c r="A579" s="811" t="s">
        <v>1649</v>
      </c>
      <c r="B579" s="811" t="s">
        <v>2358</v>
      </c>
      <c r="C579" s="812">
        <v>42400000</v>
      </c>
      <c r="D579" s="811" t="s">
        <v>1542</v>
      </c>
      <c r="E579" s="811" t="s">
        <v>1542</v>
      </c>
      <c r="F579" s="811" t="s">
        <v>1651</v>
      </c>
      <c r="G579" s="811" t="s">
        <v>1652</v>
      </c>
      <c r="H579" s="811" t="s">
        <v>1653</v>
      </c>
      <c r="I579" s="811" t="s">
        <v>1654</v>
      </c>
      <c r="J579" s="813">
        <v>42400000</v>
      </c>
      <c r="K579" s="811" t="s">
        <v>1655</v>
      </c>
      <c r="L579" s="811" t="s">
        <v>1212</v>
      </c>
      <c r="M579" s="811" t="s">
        <v>1635</v>
      </c>
      <c r="N579" s="811" t="s">
        <v>1635</v>
      </c>
      <c r="O579" s="811" t="s">
        <v>1686</v>
      </c>
      <c r="P579" s="811" t="s">
        <v>1657</v>
      </c>
      <c r="Q579" s="811" t="s">
        <v>1658</v>
      </c>
    </row>
    <row r="580" spans="1:17" x14ac:dyDescent="0.25">
      <c r="A580" s="811" t="s">
        <v>1649</v>
      </c>
      <c r="B580" s="811" t="s">
        <v>2359</v>
      </c>
      <c r="C580" s="812">
        <v>42400000</v>
      </c>
      <c r="D580" s="811" t="s">
        <v>1542</v>
      </c>
      <c r="E580" s="811" t="s">
        <v>1542</v>
      </c>
      <c r="F580" s="811" t="s">
        <v>1651</v>
      </c>
      <c r="G580" s="811" t="s">
        <v>1652</v>
      </c>
      <c r="H580" s="811" t="s">
        <v>1653</v>
      </c>
      <c r="I580" s="811" t="s">
        <v>1654</v>
      </c>
      <c r="J580" s="813">
        <v>42400000</v>
      </c>
      <c r="K580" s="811" t="s">
        <v>1655</v>
      </c>
      <c r="L580" s="811" t="s">
        <v>1212</v>
      </c>
      <c r="M580" s="811" t="s">
        <v>1635</v>
      </c>
      <c r="N580" s="811" t="s">
        <v>1635</v>
      </c>
      <c r="O580" s="811" t="s">
        <v>1686</v>
      </c>
      <c r="P580" s="811" t="s">
        <v>1657</v>
      </c>
      <c r="Q580" s="811" t="s">
        <v>1658</v>
      </c>
    </row>
    <row r="581" spans="1:17" x14ac:dyDescent="0.25">
      <c r="A581" s="811" t="s">
        <v>1649</v>
      </c>
      <c r="B581" s="811" t="s">
        <v>2360</v>
      </c>
      <c r="C581" s="812">
        <v>36000000</v>
      </c>
      <c r="D581" s="811" t="s">
        <v>1445</v>
      </c>
      <c r="E581" s="811" t="s">
        <v>1445</v>
      </c>
      <c r="F581" s="811" t="s">
        <v>1666</v>
      </c>
      <c r="G581" s="811" t="s">
        <v>1652</v>
      </c>
      <c r="H581" s="811" t="s">
        <v>1653</v>
      </c>
      <c r="I581" s="811" t="s">
        <v>1654</v>
      </c>
      <c r="J581" s="813">
        <v>36000000</v>
      </c>
      <c r="K581" s="811" t="s">
        <v>1655</v>
      </c>
      <c r="L581" s="811" t="s">
        <v>1212</v>
      </c>
      <c r="M581" s="811" t="s">
        <v>1635</v>
      </c>
      <c r="N581" s="811" t="s">
        <v>1635</v>
      </c>
      <c r="O581" s="811" t="s">
        <v>1686</v>
      </c>
      <c r="P581" s="811" t="s">
        <v>1657</v>
      </c>
      <c r="Q581" s="811" t="s">
        <v>1658</v>
      </c>
    </row>
    <row r="582" spans="1:17" x14ac:dyDescent="0.25">
      <c r="A582" s="811" t="s">
        <v>1649</v>
      </c>
      <c r="B582" s="811" t="s">
        <v>2361</v>
      </c>
      <c r="C582" s="812">
        <v>63600000</v>
      </c>
      <c r="D582" s="811" t="s">
        <v>1449</v>
      </c>
      <c r="E582" s="811" t="s">
        <v>1449</v>
      </c>
      <c r="F582" s="811" t="s">
        <v>1689</v>
      </c>
      <c r="G582" s="811" t="s">
        <v>1652</v>
      </c>
      <c r="H582" s="811" t="s">
        <v>1653</v>
      </c>
      <c r="I582" s="811" t="s">
        <v>1654</v>
      </c>
      <c r="J582" s="813">
        <v>63600000</v>
      </c>
      <c r="K582" s="811" t="s">
        <v>1655</v>
      </c>
      <c r="L582" s="811" t="s">
        <v>1212</v>
      </c>
      <c r="M582" s="811" t="s">
        <v>1635</v>
      </c>
      <c r="N582" s="811" t="s">
        <v>1635</v>
      </c>
      <c r="O582" s="811" t="s">
        <v>1686</v>
      </c>
      <c r="P582" s="811" t="s">
        <v>1657</v>
      </c>
      <c r="Q582" s="811" t="s">
        <v>1658</v>
      </c>
    </row>
    <row r="583" spans="1:17" x14ac:dyDescent="0.25">
      <c r="A583" s="811" t="s">
        <v>1649</v>
      </c>
      <c r="B583" s="811" t="s">
        <v>2362</v>
      </c>
      <c r="C583" s="812">
        <v>44000000</v>
      </c>
      <c r="D583" s="811" t="s">
        <v>1542</v>
      </c>
      <c r="E583" s="811" t="s">
        <v>1542</v>
      </c>
      <c r="F583" s="811" t="s">
        <v>1651</v>
      </c>
      <c r="G583" s="811" t="s">
        <v>1652</v>
      </c>
      <c r="H583" s="811" t="s">
        <v>1653</v>
      </c>
      <c r="I583" s="811" t="s">
        <v>1654</v>
      </c>
      <c r="J583" s="813">
        <v>44000000</v>
      </c>
      <c r="K583" s="811" t="s">
        <v>1655</v>
      </c>
      <c r="L583" s="811" t="s">
        <v>1212</v>
      </c>
      <c r="M583" s="811" t="s">
        <v>1635</v>
      </c>
      <c r="N583" s="811" t="s">
        <v>1635</v>
      </c>
      <c r="O583" s="811" t="s">
        <v>1686</v>
      </c>
      <c r="P583" s="811" t="s">
        <v>1657</v>
      </c>
      <c r="Q583" s="811" t="s">
        <v>1658</v>
      </c>
    </row>
    <row r="584" spans="1:17" x14ac:dyDescent="0.25">
      <c r="A584" s="811" t="s">
        <v>1649</v>
      </c>
      <c r="B584" s="811" t="s">
        <v>2363</v>
      </c>
      <c r="C584" s="812">
        <v>43470000</v>
      </c>
      <c r="D584" s="811" t="s">
        <v>1449</v>
      </c>
      <c r="E584" s="811" t="s">
        <v>1449</v>
      </c>
      <c r="F584" s="811" t="s">
        <v>1698</v>
      </c>
      <c r="G584" s="811" t="s">
        <v>1652</v>
      </c>
      <c r="H584" s="811" t="s">
        <v>1653</v>
      </c>
      <c r="I584" s="811" t="s">
        <v>1654</v>
      </c>
      <c r="J584" s="813">
        <v>43470000</v>
      </c>
      <c r="K584" s="811" t="s">
        <v>1655</v>
      </c>
      <c r="L584" s="811" t="s">
        <v>1212</v>
      </c>
      <c r="M584" s="811" t="s">
        <v>1635</v>
      </c>
      <c r="N584" s="811" t="s">
        <v>1635</v>
      </c>
      <c r="O584" s="811" t="s">
        <v>1699</v>
      </c>
      <c r="P584" s="811" t="s">
        <v>1657</v>
      </c>
      <c r="Q584" s="811" t="s">
        <v>1700</v>
      </c>
    </row>
    <row r="585" spans="1:17" x14ac:dyDescent="0.25">
      <c r="A585" s="811" t="s">
        <v>1649</v>
      </c>
      <c r="B585" s="811" t="s">
        <v>2364</v>
      </c>
      <c r="C585" s="812">
        <v>60000000</v>
      </c>
      <c r="D585" s="811" t="s">
        <v>1440</v>
      </c>
      <c r="E585" s="811" t="s">
        <v>1440</v>
      </c>
      <c r="F585" s="811" t="s">
        <v>1685</v>
      </c>
      <c r="G585" s="811" t="s">
        <v>1652</v>
      </c>
      <c r="H585" s="811" t="s">
        <v>1653</v>
      </c>
      <c r="I585" s="811" t="s">
        <v>1654</v>
      </c>
      <c r="J585" s="813">
        <v>60000000</v>
      </c>
      <c r="K585" s="811" t="s">
        <v>1655</v>
      </c>
      <c r="L585" s="811" t="s">
        <v>1212</v>
      </c>
      <c r="M585" s="811" t="s">
        <v>1635</v>
      </c>
      <c r="N585" s="811" t="s">
        <v>1635</v>
      </c>
      <c r="O585" s="811" t="s">
        <v>2119</v>
      </c>
      <c r="P585" s="811" t="s">
        <v>2120</v>
      </c>
      <c r="Q585" s="811" t="s">
        <v>2121</v>
      </c>
    </row>
    <row r="586" spans="1:17" x14ac:dyDescent="0.25">
      <c r="A586" s="811" t="s">
        <v>1649</v>
      </c>
      <c r="B586" s="811" t="s">
        <v>2365</v>
      </c>
      <c r="C586" s="812">
        <v>65000000</v>
      </c>
      <c r="D586" s="811" t="s">
        <v>1449</v>
      </c>
      <c r="E586" s="811" t="s">
        <v>1449</v>
      </c>
      <c r="F586" s="811" t="s">
        <v>1685</v>
      </c>
      <c r="G586" s="811" t="s">
        <v>1652</v>
      </c>
      <c r="H586" s="811" t="s">
        <v>1653</v>
      </c>
      <c r="I586" s="811" t="s">
        <v>1654</v>
      </c>
      <c r="J586" s="813">
        <v>65000000</v>
      </c>
      <c r="K586" s="811" t="s">
        <v>1655</v>
      </c>
      <c r="L586" s="811" t="s">
        <v>1212</v>
      </c>
      <c r="M586" s="811" t="s">
        <v>1635</v>
      </c>
      <c r="N586" s="811" t="s">
        <v>1635</v>
      </c>
      <c r="O586" s="811" t="s">
        <v>2119</v>
      </c>
      <c r="P586" s="811" t="s">
        <v>2120</v>
      </c>
      <c r="Q586" s="811" t="s">
        <v>2121</v>
      </c>
    </row>
    <row r="587" spans="1:17" x14ac:dyDescent="0.25">
      <c r="A587" s="811" t="s">
        <v>1649</v>
      </c>
      <c r="B587" s="811" t="s">
        <v>2366</v>
      </c>
      <c r="C587" s="812">
        <v>37500000</v>
      </c>
      <c r="D587" s="811" t="s">
        <v>1446</v>
      </c>
      <c r="E587" s="811" t="s">
        <v>1446</v>
      </c>
      <c r="F587" s="811" t="s">
        <v>1698</v>
      </c>
      <c r="G587" s="811" t="s">
        <v>1652</v>
      </c>
      <c r="H587" s="811" t="s">
        <v>1653</v>
      </c>
      <c r="I587" s="811" t="s">
        <v>1654</v>
      </c>
      <c r="J587" s="813">
        <v>37500000</v>
      </c>
      <c r="K587" s="811" t="s">
        <v>1655</v>
      </c>
      <c r="L587" s="811" t="s">
        <v>1212</v>
      </c>
      <c r="M587" s="811" t="s">
        <v>1635</v>
      </c>
      <c r="N587" s="811" t="s">
        <v>1635</v>
      </c>
      <c r="O587" s="811" t="s">
        <v>1656</v>
      </c>
      <c r="P587" s="811" t="s">
        <v>1657</v>
      </c>
      <c r="Q587" s="811" t="s">
        <v>1658</v>
      </c>
    </row>
    <row r="588" spans="1:17" x14ac:dyDescent="0.25">
      <c r="A588" s="811" t="s">
        <v>2367</v>
      </c>
      <c r="B588" s="811" t="s">
        <v>2368</v>
      </c>
      <c r="C588" s="812">
        <v>292754108</v>
      </c>
      <c r="D588" s="811" t="s">
        <v>1446</v>
      </c>
      <c r="E588" s="811" t="s">
        <v>1453</v>
      </c>
      <c r="F588" s="811" t="s">
        <v>1672</v>
      </c>
      <c r="G588" s="811" t="s">
        <v>1652</v>
      </c>
      <c r="H588" s="811" t="s">
        <v>1740</v>
      </c>
      <c r="I588" s="811" t="s">
        <v>1654</v>
      </c>
      <c r="J588" s="813">
        <v>292754108</v>
      </c>
      <c r="K588" s="811" t="s">
        <v>1655</v>
      </c>
      <c r="L588" s="811" t="s">
        <v>1212</v>
      </c>
      <c r="M588" s="811" t="s">
        <v>1635</v>
      </c>
      <c r="N588" s="811" t="s">
        <v>1635</v>
      </c>
      <c r="O588" s="811" t="s">
        <v>1699</v>
      </c>
      <c r="P588" s="811" t="s">
        <v>1657</v>
      </c>
      <c r="Q588" s="811" t="s">
        <v>1700</v>
      </c>
    </row>
    <row r="589" spans="1:17" x14ac:dyDescent="0.25">
      <c r="A589" s="811" t="s">
        <v>1649</v>
      </c>
      <c r="B589" s="811" t="s">
        <v>2369</v>
      </c>
      <c r="C589" s="812">
        <v>18600000</v>
      </c>
      <c r="D589" s="811" t="s">
        <v>1446</v>
      </c>
      <c r="E589" s="811" t="s">
        <v>1446</v>
      </c>
      <c r="F589" s="811" t="s">
        <v>1662</v>
      </c>
      <c r="G589" s="811" t="s">
        <v>1652</v>
      </c>
      <c r="H589" s="811" t="s">
        <v>1653</v>
      </c>
      <c r="I589" s="811" t="s">
        <v>1654</v>
      </c>
      <c r="J589" s="813">
        <v>18600000</v>
      </c>
      <c r="K589" s="811" t="s">
        <v>1655</v>
      </c>
      <c r="L589" s="811" t="s">
        <v>1212</v>
      </c>
      <c r="M589" s="811" t="s">
        <v>1635</v>
      </c>
      <c r="N589" s="811" t="s">
        <v>1635</v>
      </c>
      <c r="O589" s="811" t="s">
        <v>1709</v>
      </c>
      <c r="P589" s="811" t="s">
        <v>1657</v>
      </c>
      <c r="Q589" s="811" t="s">
        <v>1710</v>
      </c>
    </row>
    <row r="590" spans="1:17" x14ac:dyDescent="0.25">
      <c r="A590" s="811" t="s">
        <v>2370</v>
      </c>
      <c r="B590" s="811" t="s">
        <v>2371</v>
      </c>
      <c r="C590" s="812">
        <v>10000000</v>
      </c>
      <c r="D590" s="811" t="s">
        <v>1446</v>
      </c>
      <c r="E590" s="811" t="s">
        <v>1446</v>
      </c>
      <c r="F590" s="811" t="s">
        <v>1739</v>
      </c>
      <c r="G590" s="811" t="s">
        <v>1652</v>
      </c>
      <c r="H590" s="811" t="s">
        <v>1577</v>
      </c>
      <c r="I590" s="811" t="s">
        <v>1654</v>
      </c>
      <c r="J590" s="813">
        <v>10000000</v>
      </c>
      <c r="K590" s="811" t="s">
        <v>1655</v>
      </c>
      <c r="L590" s="811" t="s">
        <v>1212</v>
      </c>
      <c r="M590" s="811" t="s">
        <v>1635</v>
      </c>
      <c r="N590" s="811" t="s">
        <v>1635</v>
      </c>
      <c r="O590" s="811" t="s">
        <v>1709</v>
      </c>
      <c r="P590" s="811" t="s">
        <v>1657</v>
      </c>
      <c r="Q590" s="811" t="s">
        <v>1710</v>
      </c>
    </row>
    <row r="591" spans="1:17" x14ac:dyDescent="0.25">
      <c r="A591" s="811" t="s">
        <v>1649</v>
      </c>
      <c r="B591" s="811" t="s">
        <v>2372</v>
      </c>
      <c r="C591" s="812">
        <v>18600000</v>
      </c>
      <c r="D591" s="811" t="s">
        <v>1446</v>
      </c>
      <c r="E591" s="811" t="s">
        <v>1446</v>
      </c>
      <c r="F591" s="811" t="s">
        <v>1662</v>
      </c>
      <c r="G591" s="811" t="s">
        <v>1652</v>
      </c>
      <c r="H591" s="811" t="s">
        <v>1653</v>
      </c>
      <c r="I591" s="811" t="s">
        <v>1654</v>
      </c>
      <c r="J591" s="813">
        <v>18600000</v>
      </c>
      <c r="K591" s="811" t="s">
        <v>1655</v>
      </c>
      <c r="L591" s="811" t="s">
        <v>1212</v>
      </c>
      <c r="M591" s="811" t="s">
        <v>1635</v>
      </c>
      <c r="N591" s="811" t="s">
        <v>1635</v>
      </c>
      <c r="O591" s="811" t="s">
        <v>1709</v>
      </c>
      <c r="P591" s="811" t="s">
        <v>1657</v>
      </c>
      <c r="Q591" s="811" t="s">
        <v>1710</v>
      </c>
    </row>
    <row r="592" spans="1:17" x14ac:dyDescent="0.25">
      <c r="A592" s="811" t="s">
        <v>1649</v>
      </c>
      <c r="B592" s="811" t="s">
        <v>2373</v>
      </c>
      <c r="C592" s="812">
        <v>18600000</v>
      </c>
      <c r="D592" s="811" t="s">
        <v>1446</v>
      </c>
      <c r="E592" s="811" t="s">
        <v>1446</v>
      </c>
      <c r="F592" s="811" t="s">
        <v>1662</v>
      </c>
      <c r="G592" s="811" t="s">
        <v>1652</v>
      </c>
      <c r="H592" s="811" t="s">
        <v>1653</v>
      </c>
      <c r="I592" s="811" t="s">
        <v>1654</v>
      </c>
      <c r="J592" s="813">
        <v>18600000</v>
      </c>
      <c r="K592" s="811" t="s">
        <v>1655</v>
      </c>
      <c r="L592" s="811" t="s">
        <v>1212</v>
      </c>
      <c r="M592" s="811" t="s">
        <v>1635</v>
      </c>
      <c r="N592" s="811" t="s">
        <v>1635</v>
      </c>
      <c r="O592" s="811" t="s">
        <v>1709</v>
      </c>
      <c r="P592" s="811" t="s">
        <v>1657</v>
      </c>
      <c r="Q592" s="811" t="s">
        <v>1710</v>
      </c>
    </row>
    <row r="593" spans="1:17" x14ac:dyDescent="0.25">
      <c r="A593" s="811" t="s">
        <v>1649</v>
      </c>
      <c r="B593" s="811" t="s">
        <v>2374</v>
      </c>
      <c r="C593" s="812">
        <v>18000000</v>
      </c>
      <c r="D593" s="811" t="s">
        <v>1446</v>
      </c>
      <c r="E593" s="811" t="s">
        <v>1446</v>
      </c>
      <c r="F593" s="811" t="s">
        <v>1662</v>
      </c>
      <c r="G593" s="811" t="s">
        <v>1652</v>
      </c>
      <c r="H593" s="811" t="s">
        <v>1653</v>
      </c>
      <c r="I593" s="811" t="s">
        <v>1654</v>
      </c>
      <c r="J593" s="813">
        <v>18000000</v>
      </c>
      <c r="K593" s="811" t="s">
        <v>1655</v>
      </c>
      <c r="L593" s="811" t="s">
        <v>1212</v>
      </c>
      <c r="M593" s="811" t="s">
        <v>1635</v>
      </c>
      <c r="N593" s="811" t="s">
        <v>1635</v>
      </c>
      <c r="O593" s="811" t="s">
        <v>1709</v>
      </c>
      <c r="P593" s="811" t="s">
        <v>1657</v>
      </c>
      <c r="Q593" s="811" t="s">
        <v>1710</v>
      </c>
    </row>
    <row r="594" spans="1:17" x14ac:dyDescent="0.25">
      <c r="A594" s="811" t="s">
        <v>1649</v>
      </c>
      <c r="B594" s="811" t="s">
        <v>2375</v>
      </c>
      <c r="C594" s="812">
        <v>17025000</v>
      </c>
      <c r="D594" s="811" t="s">
        <v>1446</v>
      </c>
      <c r="E594" s="811" t="s">
        <v>1446</v>
      </c>
      <c r="F594" s="811" t="s">
        <v>1651</v>
      </c>
      <c r="G594" s="811" t="s">
        <v>1652</v>
      </c>
      <c r="H594" s="811" t="s">
        <v>1653</v>
      </c>
      <c r="I594" s="811" t="s">
        <v>1654</v>
      </c>
      <c r="J594" s="813">
        <v>17025000</v>
      </c>
      <c r="K594" s="811" t="s">
        <v>1655</v>
      </c>
      <c r="L594" s="811" t="s">
        <v>1212</v>
      </c>
      <c r="M594" s="811" t="s">
        <v>1635</v>
      </c>
      <c r="N594" s="811" t="s">
        <v>1635</v>
      </c>
      <c r="O594" s="811" t="s">
        <v>1667</v>
      </c>
      <c r="P594" s="811" t="s">
        <v>1657</v>
      </c>
      <c r="Q594" s="811" t="s">
        <v>1668</v>
      </c>
    </row>
    <row r="595" spans="1:17" x14ac:dyDescent="0.25">
      <c r="A595" s="811" t="s">
        <v>1649</v>
      </c>
      <c r="B595" s="811" t="s">
        <v>2376</v>
      </c>
      <c r="C595" s="812">
        <v>42075000</v>
      </c>
      <c r="D595" s="811" t="s">
        <v>1446</v>
      </c>
      <c r="E595" s="811" t="s">
        <v>1446</v>
      </c>
      <c r="F595" s="811" t="s">
        <v>1651</v>
      </c>
      <c r="G595" s="811" t="s">
        <v>1652</v>
      </c>
      <c r="H595" s="811" t="s">
        <v>1653</v>
      </c>
      <c r="I595" s="811" t="s">
        <v>1654</v>
      </c>
      <c r="J595" s="813">
        <v>42075000</v>
      </c>
      <c r="K595" s="811" t="s">
        <v>1655</v>
      </c>
      <c r="L595" s="811" t="s">
        <v>1212</v>
      </c>
      <c r="M595" s="811" t="s">
        <v>1635</v>
      </c>
      <c r="N595" s="811" t="s">
        <v>1635</v>
      </c>
      <c r="O595" s="811" t="s">
        <v>1667</v>
      </c>
      <c r="P595" s="811" t="s">
        <v>1657</v>
      </c>
      <c r="Q595" s="811" t="s">
        <v>1668</v>
      </c>
    </row>
    <row r="596" spans="1:17" x14ac:dyDescent="0.25">
      <c r="A596" s="811" t="s">
        <v>1649</v>
      </c>
      <c r="B596" s="811" t="s">
        <v>2377</v>
      </c>
      <c r="C596" s="812">
        <v>35432514</v>
      </c>
      <c r="D596" s="811" t="s">
        <v>1446</v>
      </c>
      <c r="E596" s="811" t="s">
        <v>1446</v>
      </c>
      <c r="F596" s="811" t="s">
        <v>1662</v>
      </c>
      <c r="G596" s="811" t="s">
        <v>1652</v>
      </c>
      <c r="H596" s="811" t="s">
        <v>1653</v>
      </c>
      <c r="I596" s="811" t="s">
        <v>1654</v>
      </c>
      <c r="J596" s="813">
        <v>35432514</v>
      </c>
      <c r="K596" s="811" t="s">
        <v>1655</v>
      </c>
      <c r="L596" s="811" t="s">
        <v>1212</v>
      </c>
      <c r="M596" s="811" t="s">
        <v>1635</v>
      </c>
      <c r="N596" s="811" t="s">
        <v>1635</v>
      </c>
      <c r="O596" s="811" t="s">
        <v>1723</v>
      </c>
      <c r="P596" s="811" t="s">
        <v>1657</v>
      </c>
      <c r="Q596" s="811" t="s">
        <v>1724</v>
      </c>
    </row>
    <row r="597" spans="1:17" x14ac:dyDescent="0.25">
      <c r="A597" s="811" t="s">
        <v>1649</v>
      </c>
      <c r="B597" s="811" t="s">
        <v>2378</v>
      </c>
      <c r="C597" s="812">
        <v>14536416</v>
      </c>
      <c r="D597" s="811" t="s">
        <v>1446</v>
      </c>
      <c r="E597" s="811" t="s">
        <v>1446</v>
      </c>
      <c r="F597" s="811" t="s">
        <v>1718</v>
      </c>
      <c r="G597" s="811" t="s">
        <v>1652</v>
      </c>
      <c r="H597" s="811" t="s">
        <v>1653</v>
      </c>
      <c r="I597" s="811" t="s">
        <v>1654</v>
      </c>
      <c r="J597" s="813">
        <v>14536416</v>
      </c>
      <c r="K597" s="811" t="s">
        <v>1655</v>
      </c>
      <c r="L597" s="811" t="s">
        <v>1212</v>
      </c>
      <c r="M597" s="811" t="s">
        <v>1635</v>
      </c>
      <c r="N597" s="811" t="s">
        <v>1635</v>
      </c>
      <c r="O597" s="811" t="s">
        <v>1723</v>
      </c>
      <c r="P597" s="811" t="s">
        <v>1657</v>
      </c>
      <c r="Q597" s="811" t="s">
        <v>1724</v>
      </c>
    </row>
    <row r="598" spans="1:17" x14ac:dyDescent="0.25">
      <c r="A598" s="811" t="s">
        <v>1649</v>
      </c>
      <c r="B598" s="811" t="s">
        <v>2379</v>
      </c>
      <c r="C598" s="812">
        <v>20441835</v>
      </c>
      <c r="D598" s="811" t="s">
        <v>1542</v>
      </c>
      <c r="E598" s="811" t="s">
        <v>1542</v>
      </c>
      <c r="F598" s="811" t="s">
        <v>1739</v>
      </c>
      <c r="G598" s="811" t="s">
        <v>1652</v>
      </c>
      <c r="H598" s="811" t="s">
        <v>1653</v>
      </c>
      <c r="I598" s="811" t="s">
        <v>1654</v>
      </c>
      <c r="J598" s="813">
        <v>20441835</v>
      </c>
      <c r="K598" s="811" t="s">
        <v>1655</v>
      </c>
      <c r="L598" s="811" t="s">
        <v>1212</v>
      </c>
      <c r="M598" s="811" t="s">
        <v>1635</v>
      </c>
      <c r="N598" s="811" t="s">
        <v>1635</v>
      </c>
      <c r="O598" s="811" t="s">
        <v>1845</v>
      </c>
      <c r="P598" s="811" t="s">
        <v>1657</v>
      </c>
      <c r="Q598" s="811" t="s">
        <v>1710</v>
      </c>
    </row>
    <row r="599" spans="1:17" x14ac:dyDescent="0.25">
      <c r="A599" s="811" t="s">
        <v>1649</v>
      </c>
      <c r="B599" s="811" t="s">
        <v>2380</v>
      </c>
      <c r="C599" s="812">
        <v>44958672</v>
      </c>
      <c r="D599" s="811" t="s">
        <v>1449</v>
      </c>
      <c r="E599" s="811" t="s">
        <v>1449</v>
      </c>
      <c r="F599" s="811" t="s">
        <v>1689</v>
      </c>
      <c r="G599" s="811" t="s">
        <v>1652</v>
      </c>
      <c r="H599" s="811" t="s">
        <v>1653</v>
      </c>
      <c r="I599" s="811" t="s">
        <v>1654</v>
      </c>
      <c r="J599" s="813">
        <v>44958672</v>
      </c>
      <c r="K599" s="811" t="s">
        <v>1655</v>
      </c>
      <c r="L599" s="811" t="s">
        <v>1212</v>
      </c>
      <c r="M599" s="811" t="s">
        <v>1635</v>
      </c>
      <c r="N599" s="811" t="s">
        <v>1635</v>
      </c>
      <c r="O599" s="811" t="s">
        <v>1845</v>
      </c>
      <c r="P599" s="811" t="s">
        <v>1657</v>
      </c>
      <c r="Q599" s="811" t="s">
        <v>1710</v>
      </c>
    </row>
    <row r="600" spans="1:17" x14ac:dyDescent="0.25">
      <c r="A600" s="811" t="s">
        <v>1649</v>
      </c>
      <c r="B600" s="811" t="s">
        <v>2381</v>
      </c>
      <c r="C600" s="812">
        <v>43056000</v>
      </c>
      <c r="D600" s="811" t="s">
        <v>1445</v>
      </c>
      <c r="E600" s="811" t="s">
        <v>1542</v>
      </c>
      <c r="F600" s="811" t="s">
        <v>1651</v>
      </c>
      <c r="G600" s="811" t="s">
        <v>1652</v>
      </c>
      <c r="H600" s="811" t="s">
        <v>1653</v>
      </c>
      <c r="I600" s="811" t="s">
        <v>1654</v>
      </c>
      <c r="J600" s="813">
        <v>43056000</v>
      </c>
      <c r="K600" s="811" t="s">
        <v>1655</v>
      </c>
      <c r="L600" s="811" t="s">
        <v>1212</v>
      </c>
      <c r="M600" s="811" t="s">
        <v>1635</v>
      </c>
      <c r="N600" s="811" t="s">
        <v>1635</v>
      </c>
      <c r="O600" s="811" t="s">
        <v>1699</v>
      </c>
      <c r="P600" s="811" t="s">
        <v>1657</v>
      </c>
      <c r="Q600" s="811" t="s">
        <v>1700</v>
      </c>
    </row>
    <row r="601" spans="1:17" x14ac:dyDescent="0.25">
      <c r="A601" s="811" t="s">
        <v>1649</v>
      </c>
      <c r="B601" s="811" t="s">
        <v>2382</v>
      </c>
      <c r="C601" s="812">
        <v>56000000</v>
      </c>
      <c r="D601" s="811" t="s">
        <v>1445</v>
      </c>
      <c r="E601" s="811" t="s">
        <v>1445</v>
      </c>
      <c r="F601" s="811" t="s">
        <v>1651</v>
      </c>
      <c r="G601" s="811" t="s">
        <v>1652</v>
      </c>
      <c r="H601" s="811" t="s">
        <v>1653</v>
      </c>
      <c r="I601" s="811" t="s">
        <v>1654</v>
      </c>
      <c r="J601" s="813">
        <v>56000000</v>
      </c>
      <c r="K601" s="811" t="s">
        <v>1655</v>
      </c>
      <c r="L601" s="811" t="s">
        <v>1212</v>
      </c>
      <c r="M601" s="811" t="s">
        <v>1635</v>
      </c>
      <c r="N601" s="811" t="s">
        <v>1635</v>
      </c>
      <c r="O601" s="811" t="s">
        <v>1729</v>
      </c>
      <c r="P601" s="811" t="s">
        <v>1657</v>
      </c>
      <c r="Q601" s="811" t="s">
        <v>1664</v>
      </c>
    </row>
    <row r="602" spans="1:17" x14ac:dyDescent="0.25">
      <c r="A602" s="811" t="s">
        <v>1649</v>
      </c>
      <c r="B602" s="811" t="s">
        <v>2383</v>
      </c>
      <c r="C602" s="812">
        <v>13926000</v>
      </c>
      <c r="D602" s="811" t="s">
        <v>1445</v>
      </c>
      <c r="E602" s="811" t="s">
        <v>1445</v>
      </c>
      <c r="F602" s="811" t="s">
        <v>1662</v>
      </c>
      <c r="G602" s="811" t="s">
        <v>1652</v>
      </c>
      <c r="H602" s="811" t="s">
        <v>1653</v>
      </c>
      <c r="I602" s="811" t="s">
        <v>1654</v>
      </c>
      <c r="J602" s="813">
        <v>13926000</v>
      </c>
      <c r="K602" s="811" t="s">
        <v>1655</v>
      </c>
      <c r="L602" s="811" t="s">
        <v>1212</v>
      </c>
      <c r="M602" s="811" t="s">
        <v>1635</v>
      </c>
      <c r="N602" s="811" t="s">
        <v>1635</v>
      </c>
      <c r="O602" s="811" t="s">
        <v>1729</v>
      </c>
      <c r="P602" s="811" t="s">
        <v>1657</v>
      </c>
      <c r="Q602" s="811" t="s">
        <v>1664</v>
      </c>
    </row>
    <row r="603" spans="1:17" x14ac:dyDescent="0.25">
      <c r="A603" s="811" t="s">
        <v>1649</v>
      </c>
      <c r="B603" s="811" t="s">
        <v>2384</v>
      </c>
      <c r="C603" s="812">
        <v>13926000</v>
      </c>
      <c r="D603" s="811" t="s">
        <v>1445</v>
      </c>
      <c r="E603" s="811" t="s">
        <v>1445</v>
      </c>
      <c r="F603" s="811" t="s">
        <v>1662</v>
      </c>
      <c r="G603" s="811" t="s">
        <v>1652</v>
      </c>
      <c r="H603" s="811" t="s">
        <v>1653</v>
      </c>
      <c r="I603" s="811" t="s">
        <v>1654</v>
      </c>
      <c r="J603" s="813">
        <v>13926000</v>
      </c>
      <c r="K603" s="811" t="s">
        <v>1655</v>
      </c>
      <c r="L603" s="811" t="s">
        <v>1212</v>
      </c>
      <c r="M603" s="811" t="s">
        <v>1635</v>
      </c>
      <c r="N603" s="811" t="s">
        <v>1635</v>
      </c>
      <c r="O603" s="811" t="s">
        <v>1729</v>
      </c>
      <c r="P603" s="811" t="s">
        <v>1657</v>
      </c>
      <c r="Q603" s="811" t="s">
        <v>1664</v>
      </c>
    </row>
    <row r="604" spans="1:17" x14ac:dyDescent="0.25">
      <c r="A604" s="811" t="s">
        <v>1649</v>
      </c>
      <c r="B604" s="811" t="s">
        <v>2385</v>
      </c>
      <c r="C604" s="812">
        <v>25200000</v>
      </c>
      <c r="D604" s="811" t="s">
        <v>1445</v>
      </c>
      <c r="E604" s="811" t="s">
        <v>1445</v>
      </c>
      <c r="F604" s="811" t="s">
        <v>1662</v>
      </c>
      <c r="G604" s="811" t="s">
        <v>1652</v>
      </c>
      <c r="H604" s="811" t="s">
        <v>1653</v>
      </c>
      <c r="I604" s="811" t="s">
        <v>1654</v>
      </c>
      <c r="J604" s="813">
        <v>25200000</v>
      </c>
      <c r="K604" s="811" t="s">
        <v>1655</v>
      </c>
      <c r="L604" s="811" t="s">
        <v>1212</v>
      </c>
      <c r="M604" s="811" t="s">
        <v>1635</v>
      </c>
      <c r="N604" s="811" t="s">
        <v>1635</v>
      </c>
      <c r="O604" s="811" t="s">
        <v>1729</v>
      </c>
      <c r="P604" s="811" t="s">
        <v>1657</v>
      </c>
      <c r="Q604" s="811" t="s">
        <v>1664</v>
      </c>
    </row>
    <row r="605" spans="1:17" x14ac:dyDescent="0.25">
      <c r="A605" s="811" t="s">
        <v>1649</v>
      </c>
      <c r="B605" s="811" t="s">
        <v>2386</v>
      </c>
      <c r="C605" s="812">
        <v>45000000</v>
      </c>
      <c r="D605" s="811" t="s">
        <v>1445</v>
      </c>
      <c r="E605" s="811" t="s">
        <v>1445</v>
      </c>
      <c r="F605" s="811" t="s">
        <v>1662</v>
      </c>
      <c r="G605" s="811" t="s">
        <v>1652</v>
      </c>
      <c r="H605" s="811" t="s">
        <v>1653</v>
      </c>
      <c r="I605" s="811" t="s">
        <v>1654</v>
      </c>
      <c r="J605" s="813">
        <v>45000000</v>
      </c>
      <c r="K605" s="811" t="s">
        <v>1655</v>
      </c>
      <c r="L605" s="811" t="s">
        <v>1212</v>
      </c>
      <c r="M605" s="811" t="s">
        <v>1635</v>
      </c>
      <c r="N605" s="811" t="s">
        <v>1635</v>
      </c>
      <c r="O605" s="811" t="s">
        <v>1729</v>
      </c>
      <c r="P605" s="811" t="s">
        <v>1657</v>
      </c>
      <c r="Q605" s="811" t="s">
        <v>1664</v>
      </c>
    </row>
    <row r="606" spans="1:17" x14ac:dyDescent="0.25">
      <c r="A606" s="811" t="s">
        <v>1649</v>
      </c>
      <c r="B606" s="811" t="s">
        <v>2387</v>
      </c>
      <c r="C606" s="812">
        <v>42000000</v>
      </c>
      <c r="D606" s="811" t="s">
        <v>1445</v>
      </c>
      <c r="E606" s="811" t="s">
        <v>1445</v>
      </c>
      <c r="F606" s="811" t="s">
        <v>1662</v>
      </c>
      <c r="G606" s="811" t="s">
        <v>1652</v>
      </c>
      <c r="H606" s="811" t="s">
        <v>1653</v>
      </c>
      <c r="I606" s="811" t="s">
        <v>1654</v>
      </c>
      <c r="J606" s="813">
        <v>42000000</v>
      </c>
      <c r="K606" s="811" t="s">
        <v>1655</v>
      </c>
      <c r="L606" s="811" t="s">
        <v>1212</v>
      </c>
      <c r="M606" s="811" t="s">
        <v>1635</v>
      </c>
      <c r="N606" s="811" t="s">
        <v>1635</v>
      </c>
      <c r="O606" s="811" t="s">
        <v>1729</v>
      </c>
      <c r="P606" s="811" t="s">
        <v>1657</v>
      </c>
      <c r="Q606" s="811" t="s">
        <v>1664</v>
      </c>
    </row>
    <row r="607" spans="1:17" x14ac:dyDescent="0.25">
      <c r="A607" s="811" t="s">
        <v>1649</v>
      </c>
      <c r="B607" s="811" t="s">
        <v>2388</v>
      </c>
      <c r="C607" s="812">
        <v>42000000</v>
      </c>
      <c r="D607" s="811" t="s">
        <v>1445</v>
      </c>
      <c r="E607" s="811" t="s">
        <v>1445</v>
      </c>
      <c r="F607" s="811" t="s">
        <v>1662</v>
      </c>
      <c r="G607" s="811" t="s">
        <v>1652</v>
      </c>
      <c r="H607" s="811" t="s">
        <v>1653</v>
      </c>
      <c r="I607" s="811" t="s">
        <v>1654</v>
      </c>
      <c r="J607" s="813">
        <v>42000000</v>
      </c>
      <c r="K607" s="811" t="s">
        <v>1655</v>
      </c>
      <c r="L607" s="811" t="s">
        <v>1212</v>
      </c>
      <c r="M607" s="811" t="s">
        <v>1635</v>
      </c>
      <c r="N607" s="811" t="s">
        <v>1635</v>
      </c>
      <c r="O607" s="811" t="s">
        <v>1729</v>
      </c>
      <c r="P607" s="811" t="s">
        <v>1657</v>
      </c>
      <c r="Q607" s="811" t="s">
        <v>1664</v>
      </c>
    </row>
    <row r="608" spans="1:17" x14ac:dyDescent="0.25">
      <c r="A608" s="811" t="s">
        <v>1649</v>
      </c>
      <c r="B608" s="811" t="s">
        <v>2389</v>
      </c>
      <c r="C608" s="812">
        <v>24589800</v>
      </c>
      <c r="D608" s="811" t="s">
        <v>1446</v>
      </c>
      <c r="E608" s="811" t="s">
        <v>1453</v>
      </c>
      <c r="F608" s="811" t="s">
        <v>1662</v>
      </c>
      <c r="G608" s="811" t="s">
        <v>1652</v>
      </c>
      <c r="H608" s="811" t="s">
        <v>1653</v>
      </c>
      <c r="I608" s="811" t="s">
        <v>1654</v>
      </c>
      <c r="J608" s="813">
        <v>24589800</v>
      </c>
      <c r="K608" s="811" t="s">
        <v>1655</v>
      </c>
      <c r="L608" s="811" t="s">
        <v>1212</v>
      </c>
      <c r="M608" s="811" t="s">
        <v>1635</v>
      </c>
      <c r="N608" s="811" t="s">
        <v>1635</v>
      </c>
      <c r="O608" s="811" t="s">
        <v>1729</v>
      </c>
      <c r="P608" s="811" t="s">
        <v>1657</v>
      </c>
      <c r="Q608" s="811" t="s">
        <v>1664</v>
      </c>
    </row>
    <row r="609" spans="1:17" x14ac:dyDescent="0.25">
      <c r="A609" s="811" t="s">
        <v>1649</v>
      </c>
      <c r="B609" s="811" t="s">
        <v>2390</v>
      </c>
      <c r="C609" s="812">
        <v>42000000</v>
      </c>
      <c r="D609" s="811" t="s">
        <v>1445</v>
      </c>
      <c r="E609" s="811" t="s">
        <v>1445</v>
      </c>
      <c r="F609" s="811" t="s">
        <v>1662</v>
      </c>
      <c r="G609" s="811" t="s">
        <v>1652</v>
      </c>
      <c r="H609" s="811" t="s">
        <v>1653</v>
      </c>
      <c r="I609" s="811" t="s">
        <v>1654</v>
      </c>
      <c r="J609" s="813">
        <v>42000000</v>
      </c>
      <c r="K609" s="811" t="s">
        <v>1655</v>
      </c>
      <c r="L609" s="811" t="s">
        <v>1212</v>
      </c>
      <c r="M609" s="811" t="s">
        <v>1635</v>
      </c>
      <c r="N609" s="811" t="s">
        <v>1635</v>
      </c>
      <c r="O609" s="811" t="s">
        <v>1729</v>
      </c>
      <c r="P609" s="811" t="s">
        <v>1657</v>
      </c>
      <c r="Q609" s="811" t="s">
        <v>1664</v>
      </c>
    </row>
    <row r="610" spans="1:17" x14ac:dyDescent="0.25">
      <c r="A610" s="811" t="s">
        <v>1649</v>
      </c>
      <c r="B610" s="811" t="s">
        <v>2391</v>
      </c>
      <c r="C610" s="812">
        <v>90000000</v>
      </c>
      <c r="D610" s="811" t="s">
        <v>1445</v>
      </c>
      <c r="E610" s="811" t="s">
        <v>1445</v>
      </c>
      <c r="F610" s="811" t="s">
        <v>1662</v>
      </c>
      <c r="G610" s="811" t="s">
        <v>1652</v>
      </c>
      <c r="H610" s="811" t="s">
        <v>1653</v>
      </c>
      <c r="I610" s="811" t="s">
        <v>1654</v>
      </c>
      <c r="J610" s="813">
        <v>90000000</v>
      </c>
      <c r="K610" s="811" t="s">
        <v>1655</v>
      </c>
      <c r="L610" s="811" t="s">
        <v>1212</v>
      </c>
      <c r="M610" s="811" t="s">
        <v>1635</v>
      </c>
      <c r="N610" s="811" t="s">
        <v>1635</v>
      </c>
      <c r="O610" s="811" t="s">
        <v>1729</v>
      </c>
      <c r="P610" s="811" t="s">
        <v>1657</v>
      </c>
      <c r="Q610" s="811" t="s">
        <v>1664</v>
      </c>
    </row>
    <row r="611" spans="1:17" x14ac:dyDescent="0.25">
      <c r="A611" s="811" t="s">
        <v>1649</v>
      </c>
      <c r="B611" s="811" t="s">
        <v>2392</v>
      </c>
      <c r="C611" s="812">
        <v>90000000</v>
      </c>
      <c r="D611" s="811" t="s">
        <v>1445</v>
      </c>
      <c r="E611" s="811" t="s">
        <v>1445</v>
      </c>
      <c r="F611" s="811" t="s">
        <v>1662</v>
      </c>
      <c r="G611" s="811" t="s">
        <v>1652</v>
      </c>
      <c r="H611" s="811" t="s">
        <v>1653</v>
      </c>
      <c r="I611" s="811" t="s">
        <v>1654</v>
      </c>
      <c r="J611" s="813">
        <v>90000000</v>
      </c>
      <c r="K611" s="811" t="s">
        <v>1655</v>
      </c>
      <c r="L611" s="811" t="s">
        <v>1212</v>
      </c>
      <c r="M611" s="811" t="s">
        <v>1635</v>
      </c>
      <c r="N611" s="811" t="s">
        <v>1635</v>
      </c>
      <c r="O611" s="811" t="s">
        <v>1729</v>
      </c>
      <c r="P611" s="811" t="s">
        <v>1657</v>
      </c>
      <c r="Q611" s="811" t="s">
        <v>1664</v>
      </c>
    </row>
    <row r="612" spans="1:17" x14ac:dyDescent="0.25">
      <c r="A612" s="811" t="s">
        <v>1649</v>
      </c>
      <c r="B612" s="811" t="s">
        <v>2393</v>
      </c>
      <c r="C612" s="812">
        <v>26100000</v>
      </c>
      <c r="D612" s="811" t="s">
        <v>1445</v>
      </c>
      <c r="E612" s="811" t="s">
        <v>1445</v>
      </c>
      <c r="F612" s="811" t="s">
        <v>1666</v>
      </c>
      <c r="G612" s="811" t="s">
        <v>1652</v>
      </c>
      <c r="H612" s="811" t="s">
        <v>1653</v>
      </c>
      <c r="I612" s="811" t="s">
        <v>1654</v>
      </c>
      <c r="J612" s="813">
        <v>26100000</v>
      </c>
      <c r="K612" s="811" t="s">
        <v>1655</v>
      </c>
      <c r="L612" s="811" t="s">
        <v>1212</v>
      </c>
      <c r="M612" s="811" t="s">
        <v>1635</v>
      </c>
      <c r="N612" s="811" t="s">
        <v>1635</v>
      </c>
      <c r="O612" s="811" t="s">
        <v>1681</v>
      </c>
      <c r="P612" s="811" t="s">
        <v>1657</v>
      </c>
      <c r="Q612" s="811" t="s">
        <v>1682</v>
      </c>
    </row>
    <row r="613" spans="1:17" x14ac:dyDescent="0.25">
      <c r="A613" s="811" t="s">
        <v>1649</v>
      </c>
      <c r="B613" s="811" t="s">
        <v>2394</v>
      </c>
      <c r="C613" s="812">
        <v>44972037</v>
      </c>
      <c r="D613" s="811" t="s">
        <v>1445</v>
      </c>
      <c r="E613" s="811" t="s">
        <v>1445</v>
      </c>
      <c r="F613" s="811" t="s">
        <v>1666</v>
      </c>
      <c r="G613" s="811" t="s">
        <v>1652</v>
      </c>
      <c r="H613" s="811" t="s">
        <v>1653</v>
      </c>
      <c r="I613" s="811" t="s">
        <v>1654</v>
      </c>
      <c r="J613" s="813">
        <v>44972037</v>
      </c>
      <c r="K613" s="811" t="s">
        <v>1655</v>
      </c>
      <c r="L613" s="811" t="s">
        <v>1212</v>
      </c>
      <c r="M613" s="811" t="s">
        <v>1635</v>
      </c>
      <c r="N613" s="811" t="s">
        <v>1635</v>
      </c>
      <c r="O613" s="811" t="s">
        <v>1681</v>
      </c>
      <c r="P613" s="811" t="s">
        <v>1657</v>
      </c>
      <c r="Q613" s="811" t="s">
        <v>1682</v>
      </c>
    </row>
    <row r="614" spans="1:17" x14ac:dyDescent="0.25">
      <c r="A614" s="811" t="s">
        <v>1649</v>
      </c>
      <c r="B614" s="811" t="s">
        <v>2395</v>
      </c>
      <c r="C614" s="812">
        <v>50150000</v>
      </c>
      <c r="D614" s="811" t="s">
        <v>1542</v>
      </c>
      <c r="E614" s="811" t="s">
        <v>1542</v>
      </c>
      <c r="F614" s="811" t="s">
        <v>1651</v>
      </c>
      <c r="G614" s="811" t="s">
        <v>1652</v>
      </c>
      <c r="H614" s="811" t="s">
        <v>1653</v>
      </c>
      <c r="I614" s="811" t="s">
        <v>1654</v>
      </c>
      <c r="J614" s="813">
        <v>50150000</v>
      </c>
      <c r="K614" s="811" t="s">
        <v>1655</v>
      </c>
      <c r="L614" s="811" t="s">
        <v>1212</v>
      </c>
      <c r="M614" s="811" t="s">
        <v>1635</v>
      </c>
      <c r="N614" s="811" t="s">
        <v>1635</v>
      </c>
      <c r="O614" s="811" t="s">
        <v>1686</v>
      </c>
      <c r="P614" s="811" t="s">
        <v>1657</v>
      </c>
      <c r="Q614" s="811" t="s">
        <v>1658</v>
      </c>
    </row>
    <row r="615" spans="1:17" x14ac:dyDescent="0.25">
      <c r="A615" s="811" t="s">
        <v>1649</v>
      </c>
      <c r="B615" s="811" t="s">
        <v>2396</v>
      </c>
      <c r="C615" s="812">
        <v>50150000</v>
      </c>
      <c r="D615" s="811" t="s">
        <v>1542</v>
      </c>
      <c r="E615" s="811" t="s">
        <v>1542</v>
      </c>
      <c r="F615" s="811" t="s">
        <v>1651</v>
      </c>
      <c r="G615" s="811" t="s">
        <v>1652</v>
      </c>
      <c r="H615" s="811" t="s">
        <v>1653</v>
      </c>
      <c r="I615" s="811" t="s">
        <v>1654</v>
      </c>
      <c r="J615" s="813">
        <v>50150000</v>
      </c>
      <c r="K615" s="811" t="s">
        <v>1655</v>
      </c>
      <c r="L615" s="811" t="s">
        <v>1212</v>
      </c>
      <c r="M615" s="811" t="s">
        <v>1635</v>
      </c>
      <c r="N615" s="811" t="s">
        <v>1635</v>
      </c>
      <c r="O615" s="811" t="s">
        <v>1686</v>
      </c>
      <c r="P615" s="811" t="s">
        <v>1657</v>
      </c>
      <c r="Q615" s="811" t="s">
        <v>1658</v>
      </c>
    </row>
    <row r="616" spans="1:17" x14ac:dyDescent="0.25">
      <c r="A616" s="811" t="s">
        <v>1649</v>
      </c>
      <c r="B616" s="811" t="s">
        <v>2397</v>
      </c>
      <c r="C616" s="812">
        <v>33000000</v>
      </c>
      <c r="D616" s="811" t="s">
        <v>1542</v>
      </c>
      <c r="E616" s="811" t="s">
        <v>1542</v>
      </c>
      <c r="F616" s="811" t="s">
        <v>1651</v>
      </c>
      <c r="G616" s="811" t="s">
        <v>1652</v>
      </c>
      <c r="H616" s="811" t="s">
        <v>1653</v>
      </c>
      <c r="I616" s="811" t="s">
        <v>1654</v>
      </c>
      <c r="J616" s="813">
        <v>33000000</v>
      </c>
      <c r="K616" s="811" t="s">
        <v>1655</v>
      </c>
      <c r="L616" s="811" t="s">
        <v>1212</v>
      </c>
      <c r="M616" s="811" t="s">
        <v>1635</v>
      </c>
      <c r="N616" s="811" t="s">
        <v>1635</v>
      </c>
      <c r="O616" s="811" t="s">
        <v>1686</v>
      </c>
      <c r="P616" s="811" t="s">
        <v>1657</v>
      </c>
      <c r="Q616" s="811" t="s">
        <v>1658</v>
      </c>
    </row>
    <row r="617" spans="1:17" x14ac:dyDescent="0.25">
      <c r="A617" s="811" t="s">
        <v>1649</v>
      </c>
      <c r="B617" s="811" t="s">
        <v>2398</v>
      </c>
      <c r="C617" s="812">
        <v>33000000</v>
      </c>
      <c r="D617" s="811" t="s">
        <v>1542</v>
      </c>
      <c r="E617" s="811" t="s">
        <v>1542</v>
      </c>
      <c r="F617" s="811" t="s">
        <v>1651</v>
      </c>
      <c r="G617" s="811" t="s">
        <v>1652</v>
      </c>
      <c r="H617" s="811" t="s">
        <v>1653</v>
      </c>
      <c r="I617" s="811" t="s">
        <v>1654</v>
      </c>
      <c r="J617" s="813">
        <v>33000000</v>
      </c>
      <c r="K617" s="811" t="s">
        <v>1655</v>
      </c>
      <c r="L617" s="811" t="s">
        <v>1212</v>
      </c>
      <c r="M617" s="811" t="s">
        <v>1635</v>
      </c>
      <c r="N617" s="811" t="s">
        <v>1635</v>
      </c>
      <c r="O617" s="811" t="s">
        <v>1686</v>
      </c>
      <c r="P617" s="811" t="s">
        <v>1657</v>
      </c>
      <c r="Q617" s="811" t="s">
        <v>1658</v>
      </c>
    </row>
    <row r="618" spans="1:17" x14ac:dyDescent="0.25">
      <c r="A618" s="811" t="s">
        <v>1649</v>
      </c>
      <c r="B618" s="811" t="s">
        <v>2399</v>
      </c>
      <c r="C618" s="812">
        <v>53100000</v>
      </c>
      <c r="D618" s="811" t="s">
        <v>1542</v>
      </c>
      <c r="E618" s="811" t="s">
        <v>1542</v>
      </c>
      <c r="F618" s="811" t="s">
        <v>1651</v>
      </c>
      <c r="G618" s="811" t="s">
        <v>1652</v>
      </c>
      <c r="H618" s="811" t="s">
        <v>1653</v>
      </c>
      <c r="I618" s="811" t="s">
        <v>1654</v>
      </c>
      <c r="J618" s="813">
        <v>53100000</v>
      </c>
      <c r="K618" s="811" t="s">
        <v>1655</v>
      </c>
      <c r="L618" s="811" t="s">
        <v>1212</v>
      </c>
      <c r="M618" s="811" t="s">
        <v>1635</v>
      </c>
      <c r="N618" s="811" t="s">
        <v>1635</v>
      </c>
      <c r="O618" s="811" t="s">
        <v>1686</v>
      </c>
      <c r="P618" s="811" t="s">
        <v>1657</v>
      </c>
      <c r="Q618" s="811" t="s">
        <v>1658</v>
      </c>
    </row>
    <row r="619" spans="1:17" x14ac:dyDescent="0.25">
      <c r="A619" s="811" t="s">
        <v>1649</v>
      </c>
      <c r="B619" s="811" t="s">
        <v>2400</v>
      </c>
      <c r="C619" s="812">
        <v>32400000</v>
      </c>
      <c r="D619" s="811" t="s">
        <v>1542</v>
      </c>
      <c r="E619" s="811" t="s">
        <v>1542</v>
      </c>
      <c r="F619" s="811" t="s">
        <v>1651</v>
      </c>
      <c r="G619" s="811" t="s">
        <v>1652</v>
      </c>
      <c r="H619" s="811" t="s">
        <v>1653</v>
      </c>
      <c r="I619" s="811" t="s">
        <v>1654</v>
      </c>
      <c r="J619" s="813">
        <v>32400000</v>
      </c>
      <c r="K619" s="811" t="s">
        <v>1655</v>
      </c>
      <c r="L619" s="811" t="s">
        <v>1212</v>
      </c>
      <c r="M619" s="811" t="s">
        <v>1635</v>
      </c>
      <c r="N619" s="811" t="s">
        <v>1635</v>
      </c>
      <c r="O619" s="811" t="s">
        <v>1686</v>
      </c>
      <c r="P619" s="811" t="s">
        <v>1657</v>
      </c>
      <c r="Q619" s="811" t="s">
        <v>1658</v>
      </c>
    </row>
    <row r="620" spans="1:17" x14ac:dyDescent="0.25">
      <c r="A620" s="811" t="s">
        <v>1649</v>
      </c>
      <c r="B620" s="811" t="s">
        <v>2401</v>
      </c>
      <c r="C620" s="812">
        <v>36000000</v>
      </c>
      <c r="D620" s="811" t="s">
        <v>1542</v>
      </c>
      <c r="E620" s="811" t="s">
        <v>1542</v>
      </c>
      <c r="F620" s="811" t="s">
        <v>1651</v>
      </c>
      <c r="G620" s="811" t="s">
        <v>1652</v>
      </c>
      <c r="H620" s="811" t="s">
        <v>1653</v>
      </c>
      <c r="I620" s="811" t="s">
        <v>1654</v>
      </c>
      <c r="J620" s="813">
        <v>36000000</v>
      </c>
      <c r="K620" s="811" t="s">
        <v>1655</v>
      </c>
      <c r="L620" s="811" t="s">
        <v>1212</v>
      </c>
      <c r="M620" s="811" t="s">
        <v>1635</v>
      </c>
      <c r="N620" s="811" t="s">
        <v>1635</v>
      </c>
      <c r="O620" s="811" t="s">
        <v>1686</v>
      </c>
      <c r="P620" s="811" t="s">
        <v>1657</v>
      </c>
      <c r="Q620" s="811" t="s">
        <v>1658</v>
      </c>
    </row>
    <row r="621" spans="1:17" x14ac:dyDescent="0.25">
      <c r="A621" s="811" t="s">
        <v>1649</v>
      </c>
      <c r="B621" s="811" t="s">
        <v>2402</v>
      </c>
      <c r="C621" s="812">
        <v>21804624</v>
      </c>
      <c r="D621" s="811" t="s">
        <v>1449</v>
      </c>
      <c r="E621" s="811" t="s">
        <v>1449</v>
      </c>
      <c r="F621" s="811" t="s">
        <v>1999</v>
      </c>
      <c r="G621" s="811" t="s">
        <v>1652</v>
      </c>
      <c r="H621" s="811" t="s">
        <v>1653</v>
      </c>
      <c r="I621" s="811" t="s">
        <v>1654</v>
      </c>
      <c r="J621" s="813">
        <v>21804624</v>
      </c>
      <c r="K621" s="811" t="s">
        <v>1655</v>
      </c>
      <c r="L621" s="811" t="s">
        <v>1212</v>
      </c>
      <c r="M621" s="811" t="s">
        <v>1635</v>
      </c>
      <c r="N621" s="811" t="s">
        <v>1635</v>
      </c>
      <c r="O621" s="811" t="s">
        <v>2134</v>
      </c>
      <c r="P621" s="811" t="s">
        <v>1657</v>
      </c>
      <c r="Q621" s="811" t="s">
        <v>1724</v>
      </c>
    </row>
    <row r="622" spans="1:17" x14ac:dyDescent="0.25">
      <c r="A622" s="811" t="s">
        <v>1649</v>
      </c>
      <c r="B622" s="811" t="s">
        <v>2403</v>
      </c>
      <c r="C622" s="812">
        <v>85250000</v>
      </c>
      <c r="D622" s="811" t="s">
        <v>1440</v>
      </c>
      <c r="E622" s="811" t="s">
        <v>1440</v>
      </c>
      <c r="F622" s="811" t="s">
        <v>1689</v>
      </c>
      <c r="G622" s="811" t="s">
        <v>1652</v>
      </c>
      <c r="H622" s="811" t="s">
        <v>1653</v>
      </c>
      <c r="I622" s="811" t="s">
        <v>1654</v>
      </c>
      <c r="J622" s="813">
        <v>85250000</v>
      </c>
      <c r="K622" s="811" t="s">
        <v>1655</v>
      </c>
      <c r="L622" s="811" t="s">
        <v>1212</v>
      </c>
      <c r="M622" s="811" t="s">
        <v>1635</v>
      </c>
      <c r="N622" s="811" t="s">
        <v>1635</v>
      </c>
      <c r="O622" s="811" t="s">
        <v>1681</v>
      </c>
      <c r="P622" s="811" t="s">
        <v>1657</v>
      </c>
      <c r="Q622" s="811" t="s">
        <v>1682</v>
      </c>
    </row>
    <row r="623" spans="1:17" x14ac:dyDescent="0.25">
      <c r="A623" s="811" t="s">
        <v>1649</v>
      </c>
      <c r="B623" s="811" t="s">
        <v>2404</v>
      </c>
      <c r="C623" s="812">
        <v>58300000</v>
      </c>
      <c r="D623" s="811" t="s">
        <v>1542</v>
      </c>
      <c r="E623" s="811" t="s">
        <v>1542</v>
      </c>
      <c r="F623" s="811" t="s">
        <v>1689</v>
      </c>
      <c r="G623" s="811" t="s">
        <v>1652</v>
      </c>
      <c r="H623" s="811" t="s">
        <v>1653</v>
      </c>
      <c r="I623" s="811" t="s">
        <v>1654</v>
      </c>
      <c r="J623" s="813">
        <v>58300000</v>
      </c>
      <c r="K623" s="811" t="s">
        <v>1655</v>
      </c>
      <c r="L623" s="811" t="s">
        <v>1212</v>
      </c>
      <c r="M623" s="811" t="s">
        <v>1635</v>
      </c>
      <c r="N623" s="811" t="s">
        <v>1635</v>
      </c>
      <c r="O623" s="811" t="s">
        <v>1759</v>
      </c>
      <c r="P623" s="811" t="s">
        <v>1760</v>
      </c>
      <c r="Q623" s="811" t="s">
        <v>1658</v>
      </c>
    </row>
    <row r="624" spans="1:17" x14ac:dyDescent="0.25">
      <c r="A624" s="811" t="s">
        <v>1649</v>
      </c>
      <c r="B624" s="811" t="s">
        <v>2405</v>
      </c>
      <c r="C624" s="812">
        <v>54712000</v>
      </c>
      <c r="D624" s="811" t="s">
        <v>1449</v>
      </c>
      <c r="E624" s="811" t="s">
        <v>1449</v>
      </c>
      <c r="F624" s="811" t="s">
        <v>1689</v>
      </c>
      <c r="G624" s="811" t="s">
        <v>1652</v>
      </c>
      <c r="H624" s="811" t="s">
        <v>1653</v>
      </c>
      <c r="I624" s="811" t="s">
        <v>1654</v>
      </c>
      <c r="J624" s="813">
        <v>54712000</v>
      </c>
      <c r="K624" s="811" t="s">
        <v>1655</v>
      </c>
      <c r="L624" s="811" t="s">
        <v>1212</v>
      </c>
      <c r="M624" s="811" t="s">
        <v>1635</v>
      </c>
      <c r="N624" s="811" t="s">
        <v>1635</v>
      </c>
      <c r="O624" s="811" t="s">
        <v>1759</v>
      </c>
      <c r="P624" s="811" t="s">
        <v>2406</v>
      </c>
      <c r="Q624" s="811" t="s">
        <v>1658</v>
      </c>
    </row>
    <row r="625" spans="1:17" x14ac:dyDescent="0.25">
      <c r="A625" s="811" t="s">
        <v>1649</v>
      </c>
      <c r="B625" s="811" t="s">
        <v>2407</v>
      </c>
      <c r="C625" s="812">
        <v>82133333</v>
      </c>
      <c r="D625" s="811" t="s">
        <v>1449</v>
      </c>
      <c r="E625" s="811" t="s">
        <v>1449</v>
      </c>
      <c r="F625" s="811" t="s">
        <v>1689</v>
      </c>
      <c r="G625" s="811" t="s">
        <v>1652</v>
      </c>
      <c r="H625" s="811" t="s">
        <v>1653</v>
      </c>
      <c r="I625" s="811" t="s">
        <v>1654</v>
      </c>
      <c r="J625" s="813">
        <v>82133333</v>
      </c>
      <c r="K625" s="811" t="s">
        <v>1655</v>
      </c>
      <c r="L625" s="811" t="s">
        <v>1212</v>
      </c>
      <c r="M625" s="811" t="s">
        <v>1635</v>
      </c>
      <c r="N625" s="811" t="s">
        <v>1635</v>
      </c>
      <c r="O625" s="811" t="s">
        <v>1704</v>
      </c>
      <c r="P625" s="811" t="s">
        <v>1657</v>
      </c>
      <c r="Q625" s="811" t="s">
        <v>1705</v>
      </c>
    </row>
    <row r="626" spans="1:17" x14ac:dyDescent="0.25">
      <c r="A626" s="811" t="s">
        <v>1649</v>
      </c>
      <c r="B626" s="811" t="s">
        <v>2408</v>
      </c>
      <c r="C626" s="812">
        <v>82500000</v>
      </c>
      <c r="D626" s="811" t="s">
        <v>1440</v>
      </c>
      <c r="E626" s="811" t="s">
        <v>1440</v>
      </c>
      <c r="F626" s="811" t="s">
        <v>1689</v>
      </c>
      <c r="G626" s="811" t="s">
        <v>1652</v>
      </c>
      <c r="H626" s="811" t="s">
        <v>1653</v>
      </c>
      <c r="I626" s="811" t="s">
        <v>1654</v>
      </c>
      <c r="J626" s="813">
        <v>82500000</v>
      </c>
      <c r="K626" s="811" t="s">
        <v>1655</v>
      </c>
      <c r="L626" s="811" t="s">
        <v>1212</v>
      </c>
      <c r="M626" s="811" t="s">
        <v>1635</v>
      </c>
      <c r="N626" s="811" t="s">
        <v>1635</v>
      </c>
      <c r="O626" s="811" t="s">
        <v>1704</v>
      </c>
      <c r="P626" s="811" t="s">
        <v>1657</v>
      </c>
      <c r="Q626" s="811" t="s">
        <v>1705</v>
      </c>
    </row>
    <row r="627" spans="1:17" x14ac:dyDescent="0.25">
      <c r="A627" s="811" t="s">
        <v>1649</v>
      </c>
      <c r="B627" s="811" t="s">
        <v>2409</v>
      </c>
      <c r="C627" s="812">
        <v>54965093</v>
      </c>
      <c r="D627" s="811" t="s">
        <v>1449</v>
      </c>
      <c r="E627" s="811" t="s">
        <v>1449</v>
      </c>
      <c r="F627" s="811" t="s">
        <v>1685</v>
      </c>
      <c r="G627" s="811" t="s">
        <v>1652</v>
      </c>
      <c r="H627" s="811" t="s">
        <v>1653</v>
      </c>
      <c r="I627" s="811" t="s">
        <v>1654</v>
      </c>
      <c r="J627" s="813">
        <v>54965093</v>
      </c>
      <c r="K627" s="811" t="s">
        <v>1655</v>
      </c>
      <c r="L627" s="811" t="s">
        <v>1212</v>
      </c>
      <c r="M627" s="811" t="s">
        <v>1635</v>
      </c>
      <c r="N627" s="811" t="s">
        <v>1635</v>
      </c>
      <c r="O627" s="811" t="s">
        <v>1704</v>
      </c>
      <c r="P627" s="811" t="s">
        <v>1657</v>
      </c>
      <c r="Q627" s="811" t="s">
        <v>1705</v>
      </c>
    </row>
    <row r="628" spans="1:17" x14ac:dyDescent="0.25">
      <c r="A628" s="811" t="s">
        <v>1649</v>
      </c>
      <c r="B628" s="811" t="s">
        <v>2410</v>
      </c>
      <c r="C628" s="812">
        <v>24000000</v>
      </c>
      <c r="D628" s="811" t="s">
        <v>1449</v>
      </c>
      <c r="E628" s="811" t="s">
        <v>1449</v>
      </c>
      <c r="F628" s="811" t="s">
        <v>1718</v>
      </c>
      <c r="G628" s="811" t="s">
        <v>1652</v>
      </c>
      <c r="H628" s="811" t="s">
        <v>1653</v>
      </c>
      <c r="I628" s="811" t="s">
        <v>1654</v>
      </c>
      <c r="J628" s="813">
        <v>24000000</v>
      </c>
      <c r="K628" s="811" t="s">
        <v>1655</v>
      </c>
      <c r="L628" s="811" t="s">
        <v>1212</v>
      </c>
      <c r="M628" s="811" t="s">
        <v>1635</v>
      </c>
      <c r="N628" s="811" t="s">
        <v>1635</v>
      </c>
      <c r="O628" s="811" t="s">
        <v>1704</v>
      </c>
      <c r="P628" s="811" t="s">
        <v>1657</v>
      </c>
      <c r="Q628" s="811" t="s">
        <v>1705</v>
      </c>
    </row>
    <row r="629" spans="1:17" x14ac:dyDescent="0.25">
      <c r="A629" s="811" t="s">
        <v>1649</v>
      </c>
      <c r="B629" s="811" t="s">
        <v>2411</v>
      </c>
      <c r="C629" s="812">
        <v>12000000</v>
      </c>
      <c r="D629" s="811" t="s">
        <v>1449</v>
      </c>
      <c r="E629" s="811" t="s">
        <v>1449</v>
      </c>
      <c r="F629" s="811" t="s">
        <v>1718</v>
      </c>
      <c r="G629" s="811" t="s">
        <v>1652</v>
      </c>
      <c r="H629" s="811" t="s">
        <v>1653</v>
      </c>
      <c r="I629" s="811" t="s">
        <v>1654</v>
      </c>
      <c r="J629" s="813">
        <v>12000000</v>
      </c>
      <c r="K629" s="811" t="s">
        <v>1655</v>
      </c>
      <c r="L629" s="811" t="s">
        <v>1212</v>
      </c>
      <c r="M629" s="811" t="s">
        <v>1635</v>
      </c>
      <c r="N629" s="811" t="s">
        <v>1635</v>
      </c>
      <c r="O629" s="811" t="s">
        <v>1704</v>
      </c>
      <c r="P629" s="811" t="s">
        <v>1657</v>
      </c>
      <c r="Q629" s="811" t="s">
        <v>1705</v>
      </c>
    </row>
    <row r="630" spans="1:17" x14ac:dyDescent="0.25">
      <c r="A630" s="811" t="s">
        <v>1649</v>
      </c>
      <c r="B630" s="811" t="s">
        <v>2412</v>
      </c>
      <c r="C630" s="812">
        <v>26100000</v>
      </c>
      <c r="D630" s="811" t="s">
        <v>1469</v>
      </c>
      <c r="E630" s="811" t="s">
        <v>1469</v>
      </c>
      <c r="F630" s="811" t="s">
        <v>1739</v>
      </c>
      <c r="G630" s="811" t="s">
        <v>1652</v>
      </c>
      <c r="H630" s="811" t="s">
        <v>1653</v>
      </c>
      <c r="I630" s="811" t="s">
        <v>1654</v>
      </c>
      <c r="J630" s="813">
        <v>26100000</v>
      </c>
      <c r="K630" s="811" t="s">
        <v>1655</v>
      </c>
      <c r="L630" s="811" t="s">
        <v>1212</v>
      </c>
      <c r="M630" s="811" t="s">
        <v>1635</v>
      </c>
      <c r="N630" s="811" t="s">
        <v>1635</v>
      </c>
      <c r="O630" s="811" t="s">
        <v>1667</v>
      </c>
      <c r="P630" s="811" t="s">
        <v>1657</v>
      </c>
      <c r="Q630" s="811" t="s">
        <v>1668</v>
      </c>
    </row>
    <row r="631" spans="1:17" x14ac:dyDescent="0.25">
      <c r="A631" s="811" t="s">
        <v>1649</v>
      </c>
      <c r="B631" s="811" t="s">
        <v>2413</v>
      </c>
      <c r="C631" s="812">
        <v>44962500</v>
      </c>
      <c r="D631" s="811" t="s">
        <v>1454</v>
      </c>
      <c r="E631" s="811" t="s">
        <v>1454</v>
      </c>
      <c r="F631" s="811" t="s">
        <v>1662</v>
      </c>
      <c r="G631" s="811" t="s">
        <v>1652</v>
      </c>
      <c r="H631" s="811" t="s">
        <v>1653</v>
      </c>
      <c r="I631" s="811" t="s">
        <v>1654</v>
      </c>
      <c r="J631" s="813">
        <v>44962500</v>
      </c>
      <c r="K631" s="811" t="s">
        <v>1655</v>
      </c>
      <c r="L631" s="811" t="s">
        <v>1212</v>
      </c>
      <c r="M631" s="811" t="s">
        <v>1635</v>
      </c>
      <c r="N631" s="811" t="s">
        <v>1635</v>
      </c>
      <c r="O631" s="811" t="s">
        <v>1667</v>
      </c>
      <c r="P631" s="811" t="s">
        <v>1657</v>
      </c>
      <c r="Q631" s="811" t="s">
        <v>1668</v>
      </c>
    </row>
    <row r="632" spans="1:17" x14ac:dyDescent="0.25">
      <c r="A632" s="811" t="s">
        <v>1649</v>
      </c>
      <c r="B632" s="811" t="s">
        <v>2414</v>
      </c>
      <c r="C632" s="812">
        <v>21725000</v>
      </c>
      <c r="D632" s="811" t="s">
        <v>1454</v>
      </c>
      <c r="E632" s="811" t="s">
        <v>1454</v>
      </c>
      <c r="F632" s="811" t="s">
        <v>1662</v>
      </c>
      <c r="G632" s="811" t="s">
        <v>1652</v>
      </c>
      <c r="H632" s="811" t="s">
        <v>1653</v>
      </c>
      <c r="I632" s="811" t="s">
        <v>1654</v>
      </c>
      <c r="J632" s="813">
        <v>21725000</v>
      </c>
      <c r="K632" s="811" t="s">
        <v>1655</v>
      </c>
      <c r="L632" s="811" t="s">
        <v>1212</v>
      </c>
      <c r="M632" s="811" t="s">
        <v>1635</v>
      </c>
      <c r="N632" s="811" t="s">
        <v>1635</v>
      </c>
      <c r="O632" s="811" t="s">
        <v>1667</v>
      </c>
      <c r="P632" s="811" t="s">
        <v>1657</v>
      </c>
      <c r="Q632" s="811" t="s">
        <v>1668</v>
      </c>
    </row>
    <row r="633" spans="1:17" x14ac:dyDescent="0.25">
      <c r="A633" s="811" t="s">
        <v>1649</v>
      </c>
      <c r="B633" s="811" t="s">
        <v>2415</v>
      </c>
      <c r="C633" s="812">
        <v>51129000</v>
      </c>
      <c r="D633" s="811" t="s">
        <v>1469</v>
      </c>
      <c r="E633" s="811" t="s">
        <v>1469</v>
      </c>
      <c r="F633" s="811" t="s">
        <v>1739</v>
      </c>
      <c r="G633" s="811" t="s">
        <v>1652</v>
      </c>
      <c r="H633" s="811" t="s">
        <v>1653</v>
      </c>
      <c r="I633" s="811" t="s">
        <v>1654</v>
      </c>
      <c r="J633" s="813">
        <v>51129000</v>
      </c>
      <c r="K633" s="811" t="s">
        <v>1655</v>
      </c>
      <c r="L633" s="811" t="s">
        <v>1212</v>
      </c>
      <c r="M633" s="811" t="s">
        <v>1635</v>
      </c>
      <c r="N633" s="811" t="s">
        <v>1635</v>
      </c>
      <c r="O633" s="811" t="s">
        <v>1667</v>
      </c>
      <c r="P633" s="811" t="s">
        <v>1657</v>
      </c>
      <c r="Q633" s="811" t="s">
        <v>1668</v>
      </c>
    </row>
    <row r="634" spans="1:17" x14ac:dyDescent="0.25">
      <c r="A634" s="811" t="s">
        <v>1649</v>
      </c>
      <c r="B634" s="811" t="s">
        <v>2416</v>
      </c>
      <c r="C634" s="812">
        <v>39270000</v>
      </c>
      <c r="D634" s="811" t="s">
        <v>1454</v>
      </c>
      <c r="E634" s="811" t="s">
        <v>1454</v>
      </c>
      <c r="F634" s="811" t="s">
        <v>1662</v>
      </c>
      <c r="G634" s="811" t="s">
        <v>1652</v>
      </c>
      <c r="H634" s="811" t="s">
        <v>1653</v>
      </c>
      <c r="I634" s="811" t="s">
        <v>1654</v>
      </c>
      <c r="J634" s="813">
        <v>39270000</v>
      </c>
      <c r="K634" s="811" t="s">
        <v>1655</v>
      </c>
      <c r="L634" s="811" t="s">
        <v>1212</v>
      </c>
      <c r="M634" s="811" t="s">
        <v>1635</v>
      </c>
      <c r="N634" s="811" t="s">
        <v>1635</v>
      </c>
      <c r="O634" s="811" t="s">
        <v>1667</v>
      </c>
      <c r="P634" s="811" t="s">
        <v>1657</v>
      </c>
      <c r="Q634" s="811" t="s">
        <v>1668</v>
      </c>
    </row>
    <row r="635" spans="1:17" x14ac:dyDescent="0.25">
      <c r="A635" s="811" t="s">
        <v>1649</v>
      </c>
      <c r="B635" s="811" t="s">
        <v>2417</v>
      </c>
      <c r="C635" s="812">
        <v>12300000</v>
      </c>
      <c r="D635" s="811" t="s">
        <v>2161</v>
      </c>
      <c r="E635" s="811" t="s">
        <v>2161</v>
      </c>
      <c r="F635" s="811" t="s">
        <v>1999</v>
      </c>
      <c r="G635" s="811" t="s">
        <v>1652</v>
      </c>
      <c r="H635" s="811" t="s">
        <v>1653</v>
      </c>
      <c r="I635" s="811" t="s">
        <v>1654</v>
      </c>
      <c r="J635" s="813">
        <v>12300000</v>
      </c>
      <c r="K635" s="811" t="s">
        <v>1655</v>
      </c>
      <c r="L635" s="811" t="s">
        <v>1212</v>
      </c>
      <c r="M635" s="811" t="s">
        <v>1635</v>
      </c>
      <c r="N635" s="811" t="s">
        <v>1635</v>
      </c>
      <c r="O635" s="811" t="s">
        <v>1667</v>
      </c>
      <c r="P635" s="811" t="s">
        <v>1657</v>
      </c>
      <c r="Q635" s="811" t="s">
        <v>1668</v>
      </c>
    </row>
    <row r="636" spans="1:17" x14ac:dyDescent="0.25">
      <c r="A636" s="811" t="s">
        <v>1649</v>
      </c>
      <c r="B636" s="811" t="s">
        <v>2418</v>
      </c>
      <c r="C636" s="812">
        <v>16400000</v>
      </c>
      <c r="D636" s="811" t="s">
        <v>1458</v>
      </c>
      <c r="E636" s="811" t="s">
        <v>1458</v>
      </c>
      <c r="F636" s="811" t="s">
        <v>1718</v>
      </c>
      <c r="G636" s="811" t="s">
        <v>1652</v>
      </c>
      <c r="H636" s="811" t="s">
        <v>1653</v>
      </c>
      <c r="I636" s="811" t="s">
        <v>1654</v>
      </c>
      <c r="J636" s="813">
        <v>16400000</v>
      </c>
      <c r="K636" s="811" t="s">
        <v>1655</v>
      </c>
      <c r="L636" s="811" t="s">
        <v>1212</v>
      </c>
      <c r="M636" s="811" t="s">
        <v>1635</v>
      </c>
      <c r="N636" s="811" t="s">
        <v>1635</v>
      </c>
      <c r="O636" s="811" t="s">
        <v>1667</v>
      </c>
      <c r="P636" s="811" t="s">
        <v>1657</v>
      </c>
      <c r="Q636" s="811" t="s">
        <v>1668</v>
      </c>
    </row>
    <row r="637" spans="1:17" x14ac:dyDescent="0.25">
      <c r="A637" s="811" t="s">
        <v>1649</v>
      </c>
      <c r="B637" s="811" t="s">
        <v>2419</v>
      </c>
      <c r="C637" s="812">
        <v>16400000</v>
      </c>
      <c r="D637" s="811" t="s">
        <v>1458</v>
      </c>
      <c r="E637" s="811" t="s">
        <v>1458</v>
      </c>
      <c r="F637" s="811" t="s">
        <v>1718</v>
      </c>
      <c r="G637" s="811" t="s">
        <v>1652</v>
      </c>
      <c r="H637" s="811" t="s">
        <v>1653</v>
      </c>
      <c r="I637" s="811" t="s">
        <v>1654</v>
      </c>
      <c r="J637" s="813">
        <v>16400000</v>
      </c>
      <c r="K637" s="811" t="s">
        <v>1655</v>
      </c>
      <c r="L637" s="811" t="s">
        <v>1212</v>
      </c>
      <c r="M637" s="811" t="s">
        <v>1635</v>
      </c>
      <c r="N637" s="811" t="s">
        <v>1635</v>
      </c>
      <c r="O637" s="811" t="s">
        <v>1667</v>
      </c>
      <c r="P637" s="811" t="s">
        <v>1657</v>
      </c>
      <c r="Q637" s="811" t="s">
        <v>1668</v>
      </c>
    </row>
    <row r="638" spans="1:17" x14ac:dyDescent="0.25">
      <c r="A638" s="811" t="s">
        <v>1649</v>
      </c>
      <c r="B638" s="811" t="s">
        <v>2420</v>
      </c>
      <c r="C638" s="812">
        <v>12300000</v>
      </c>
      <c r="D638" s="811" t="s">
        <v>2161</v>
      </c>
      <c r="E638" s="811" t="s">
        <v>2161</v>
      </c>
      <c r="F638" s="811" t="s">
        <v>1999</v>
      </c>
      <c r="G638" s="811" t="s">
        <v>1652</v>
      </c>
      <c r="H638" s="811" t="s">
        <v>1653</v>
      </c>
      <c r="I638" s="811" t="s">
        <v>1654</v>
      </c>
      <c r="J638" s="813">
        <v>12300000</v>
      </c>
      <c r="K638" s="811" t="s">
        <v>1655</v>
      </c>
      <c r="L638" s="811" t="s">
        <v>1212</v>
      </c>
      <c r="M638" s="811" t="s">
        <v>1635</v>
      </c>
      <c r="N638" s="811" t="s">
        <v>1635</v>
      </c>
      <c r="O638" s="811" t="s">
        <v>1667</v>
      </c>
      <c r="P638" s="811" t="s">
        <v>1657</v>
      </c>
      <c r="Q638" s="811" t="s">
        <v>1668</v>
      </c>
    </row>
    <row r="639" spans="1:17" x14ac:dyDescent="0.25">
      <c r="A639" s="811" t="s">
        <v>1649</v>
      </c>
      <c r="B639" s="811" t="s">
        <v>2421</v>
      </c>
      <c r="C639" s="812">
        <v>24600000</v>
      </c>
      <c r="D639" s="811" t="s">
        <v>1454</v>
      </c>
      <c r="E639" s="811" t="s">
        <v>1454</v>
      </c>
      <c r="F639" s="811" t="s">
        <v>1662</v>
      </c>
      <c r="G639" s="811" t="s">
        <v>1652</v>
      </c>
      <c r="H639" s="811" t="s">
        <v>1653</v>
      </c>
      <c r="I639" s="811" t="s">
        <v>1654</v>
      </c>
      <c r="J639" s="813">
        <v>24600000</v>
      </c>
      <c r="K639" s="811" t="s">
        <v>1655</v>
      </c>
      <c r="L639" s="811" t="s">
        <v>1212</v>
      </c>
      <c r="M639" s="811" t="s">
        <v>1635</v>
      </c>
      <c r="N639" s="811" t="s">
        <v>1635</v>
      </c>
      <c r="O639" s="811" t="s">
        <v>1667</v>
      </c>
      <c r="P639" s="811" t="s">
        <v>1657</v>
      </c>
      <c r="Q639" s="811" t="s">
        <v>1668</v>
      </c>
    </row>
    <row r="640" spans="1:17" x14ac:dyDescent="0.25">
      <c r="A640" s="811" t="s">
        <v>1649</v>
      </c>
      <c r="B640" s="811" t="s">
        <v>2422</v>
      </c>
      <c r="C640" s="812">
        <v>84766080</v>
      </c>
      <c r="D640" s="811" t="s">
        <v>1440</v>
      </c>
      <c r="E640" s="811" t="s">
        <v>1440</v>
      </c>
      <c r="F640" s="811" t="s">
        <v>1672</v>
      </c>
      <c r="G640" s="811" t="s">
        <v>1652</v>
      </c>
      <c r="H640" s="811" t="s">
        <v>1653</v>
      </c>
      <c r="I640" s="811" t="s">
        <v>1654</v>
      </c>
      <c r="J640" s="813">
        <v>84766080</v>
      </c>
      <c r="K640" s="811" t="s">
        <v>1655</v>
      </c>
      <c r="L640" s="811" t="s">
        <v>1212</v>
      </c>
      <c r="M640" s="811" t="s">
        <v>1635</v>
      </c>
      <c r="N640" s="811" t="s">
        <v>1635</v>
      </c>
      <c r="O640" s="811" t="s">
        <v>1667</v>
      </c>
      <c r="P640" s="811" t="s">
        <v>1657</v>
      </c>
      <c r="Q640" s="811" t="s">
        <v>1668</v>
      </c>
    </row>
    <row r="641" spans="1:17" x14ac:dyDescent="0.25">
      <c r="A641" s="811" t="s">
        <v>1918</v>
      </c>
      <c r="B641" s="811" t="s">
        <v>2423</v>
      </c>
      <c r="C641" s="812">
        <v>64900000</v>
      </c>
      <c r="D641" s="811" t="s">
        <v>1440</v>
      </c>
      <c r="E641" s="811" t="s">
        <v>1440</v>
      </c>
      <c r="F641" s="811" t="s">
        <v>1689</v>
      </c>
      <c r="G641" s="811" t="s">
        <v>1652</v>
      </c>
      <c r="H641" s="811" t="s">
        <v>1653</v>
      </c>
      <c r="I641" s="811" t="s">
        <v>1654</v>
      </c>
      <c r="J641" s="813">
        <v>64900000</v>
      </c>
      <c r="K641" s="811" t="s">
        <v>1655</v>
      </c>
      <c r="L641" s="811" t="s">
        <v>1212</v>
      </c>
      <c r="M641" s="811" t="s">
        <v>1635</v>
      </c>
      <c r="N641" s="811" t="s">
        <v>1635</v>
      </c>
      <c r="O641" s="811" t="s">
        <v>1667</v>
      </c>
      <c r="P641" s="811" t="s">
        <v>1657</v>
      </c>
      <c r="Q641" s="811" t="s">
        <v>1668</v>
      </c>
    </row>
    <row r="642" spans="1:17" x14ac:dyDescent="0.25">
      <c r="A642" s="811" t="s">
        <v>1918</v>
      </c>
      <c r="B642" s="811" t="s">
        <v>2424</v>
      </c>
      <c r="C642" s="812">
        <v>80896200</v>
      </c>
      <c r="D642" s="811" t="s">
        <v>1440</v>
      </c>
      <c r="E642" s="811" t="s">
        <v>1440</v>
      </c>
      <c r="F642" s="811" t="s">
        <v>1689</v>
      </c>
      <c r="G642" s="811" t="s">
        <v>1652</v>
      </c>
      <c r="H642" s="811" t="s">
        <v>1653</v>
      </c>
      <c r="I642" s="811" t="s">
        <v>1654</v>
      </c>
      <c r="J642" s="813">
        <v>80896200</v>
      </c>
      <c r="K642" s="811" t="s">
        <v>1655</v>
      </c>
      <c r="L642" s="811" t="s">
        <v>1212</v>
      </c>
      <c r="M642" s="811" t="s">
        <v>1635</v>
      </c>
      <c r="N642" s="811" t="s">
        <v>1635</v>
      </c>
      <c r="O642" s="811" t="s">
        <v>1667</v>
      </c>
      <c r="P642" s="811" t="s">
        <v>1657</v>
      </c>
      <c r="Q642" s="811" t="s">
        <v>1668</v>
      </c>
    </row>
    <row r="643" spans="1:17" x14ac:dyDescent="0.25">
      <c r="A643" s="811" t="s">
        <v>1918</v>
      </c>
      <c r="B643" s="811" t="s">
        <v>2425</v>
      </c>
      <c r="C643" s="812">
        <v>134074420</v>
      </c>
      <c r="D643" s="811" t="s">
        <v>1440</v>
      </c>
      <c r="E643" s="811" t="s">
        <v>1440</v>
      </c>
      <c r="F643" s="811" t="s">
        <v>1672</v>
      </c>
      <c r="G643" s="811" t="s">
        <v>1652</v>
      </c>
      <c r="H643" s="811" t="s">
        <v>1653</v>
      </c>
      <c r="I643" s="811" t="s">
        <v>1654</v>
      </c>
      <c r="J643" s="813">
        <v>134074420</v>
      </c>
      <c r="K643" s="811" t="s">
        <v>1655</v>
      </c>
      <c r="L643" s="811" t="s">
        <v>1212</v>
      </c>
      <c r="M643" s="811" t="s">
        <v>1635</v>
      </c>
      <c r="N643" s="811" t="s">
        <v>1635</v>
      </c>
      <c r="O643" s="811" t="s">
        <v>1667</v>
      </c>
      <c r="P643" s="811" t="s">
        <v>1657</v>
      </c>
      <c r="Q643" s="811" t="s">
        <v>1668</v>
      </c>
    </row>
    <row r="644" spans="1:17" x14ac:dyDescent="0.25">
      <c r="A644" s="811" t="s">
        <v>1649</v>
      </c>
      <c r="B644" s="811" t="s">
        <v>2426</v>
      </c>
      <c r="C644" s="812">
        <v>127689924</v>
      </c>
      <c r="D644" s="811" t="s">
        <v>1440</v>
      </c>
      <c r="E644" s="811" t="s">
        <v>1440</v>
      </c>
      <c r="F644" s="811" t="s">
        <v>1672</v>
      </c>
      <c r="G644" s="811" t="s">
        <v>1652</v>
      </c>
      <c r="H644" s="811" t="s">
        <v>1653</v>
      </c>
      <c r="I644" s="811" t="s">
        <v>1654</v>
      </c>
      <c r="J644" s="813">
        <v>127689924</v>
      </c>
      <c r="K644" s="811" t="s">
        <v>1655</v>
      </c>
      <c r="L644" s="811" t="s">
        <v>1212</v>
      </c>
      <c r="M644" s="811" t="s">
        <v>1635</v>
      </c>
      <c r="N644" s="811" t="s">
        <v>1635</v>
      </c>
      <c r="O644" s="811" t="s">
        <v>1667</v>
      </c>
      <c r="P644" s="811" t="s">
        <v>1657</v>
      </c>
      <c r="Q644" s="811" t="s">
        <v>1668</v>
      </c>
    </row>
    <row r="645" spans="1:17" x14ac:dyDescent="0.25">
      <c r="A645" s="811" t="s">
        <v>1649</v>
      </c>
      <c r="B645" s="811" t="s">
        <v>2427</v>
      </c>
      <c r="C645" s="812">
        <v>144585266</v>
      </c>
      <c r="D645" s="811" t="s">
        <v>1440</v>
      </c>
      <c r="E645" s="811" t="s">
        <v>1440</v>
      </c>
      <c r="F645" s="811" t="s">
        <v>1672</v>
      </c>
      <c r="G645" s="811" t="s">
        <v>1652</v>
      </c>
      <c r="H645" s="811" t="s">
        <v>1653</v>
      </c>
      <c r="I645" s="811" t="s">
        <v>1654</v>
      </c>
      <c r="J645" s="813">
        <v>144585266</v>
      </c>
      <c r="K645" s="811" t="s">
        <v>1655</v>
      </c>
      <c r="L645" s="811" t="s">
        <v>1212</v>
      </c>
      <c r="M645" s="811" t="s">
        <v>1635</v>
      </c>
      <c r="N645" s="811" t="s">
        <v>1635</v>
      </c>
      <c r="O645" s="811" t="s">
        <v>1667</v>
      </c>
      <c r="P645" s="811" t="s">
        <v>1657</v>
      </c>
      <c r="Q645" s="811" t="s">
        <v>1668</v>
      </c>
    </row>
    <row r="646" spans="1:17" x14ac:dyDescent="0.25">
      <c r="A646" s="811" t="s">
        <v>1649</v>
      </c>
      <c r="B646" s="811" t="s">
        <v>2428</v>
      </c>
      <c r="C646" s="812">
        <v>66198000</v>
      </c>
      <c r="D646" s="811" t="s">
        <v>1440</v>
      </c>
      <c r="E646" s="811" t="s">
        <v>1440</v>
      </c>
      <c r="F646" s="811" t="s">
        <v>1672</v>
      </c>
      <c r="G646" s="811" t="s">
        <v>1652</v>
      </c>
      <c r="H646" s="811" t="s">
        <v>1653</v>
      </c>
      <c r="I646" s="811" t="s">
        <v>1654</v>
      </c>
      <c r="J646" s="813">
        <v>66198000</v>
      </c>
      <c r="K646" s="811" t="s">
        <v>1655</v>
      </c>
      <c r="L646" s="811" t="s">
        <v>1212</v>
      </c>
      <c r="M646" s="811" t="s">
        <v>1635</v>
      </c>
      <c r="N646" s="811" t="s">
        <v>1635</v>
      </c>
      <c r="O646" s="811" t="s">
        <v>1667</v>
      </c>
      <c r="P646" s="811" t="s">
        <v>1657</v>
      </c>
      <c r="Q646" s="811" t="s">
        <v>1668</v>
      </c>
    </row>
    <row r="647" spans="1:17" x14ac:dyDescent="0.25">
      <c r="A647" s="811" t="s">
        <v>1649</v>
      </c>
      <c r="B647" s="811" t="s">
        <v>2429</v>
      </c>
      <c r="C647" s="812">
        <v>66198000</v>
      </c>
      <c r="D647" s="811" t="s">
        <v>1440</v>
      </c>
      <c r="E647" s="811" t="s">
        <v>1440</v>
      </c>
      <c r="F647" s="811" t="s">
        <v>1672</v>
      </c>
      <c r="G647" s="811" t="s">
        <v>1652</v>
      </c>
      <c r="H647" s="811" t="s">
        <v>1653</v>
      </c>
      <c r="I647" s="811" t="s">
        <v>1654</v>
      </c>
      <c r="J647" s="813">
        <v>66198000</v>
      </c>
      <c r="K647" s="811" t="s">
        <v>1655</v>
      </c>
      <c r="L647" s="811" t="s">
        <v>1212</v>
      </c>
      <c r="M647" s="811" t="s">
        <v>1635</v>
      </c>
      <c r="N647" s="811" t="s">
        <v>1635</v>
      </c>
      <c r="O647" s="811" t="s">
        <v>1667</v>
      </c>
      <c r="P647" s="811" t="s">
        <v>1657</v>
      </c>
      <c r="Q647" s="811" t="s">
        <v>1668</v>
      </c>
    </row>
    <row r="648" spans="1:17" x14ac:dyDescent="0.25">
      <c r="A648" s="811" t="s">
        <v>1649</v>
      </c>
      <c r="B648" s="811" t="s">
        <v>2430</v>
      </c>
      <c r="C648" s="812">
        <v>81844800</v>
      </c>
      <c r="D648" s="811" t="s">
        <v>1440</v>
      </c>
      <c r="E648" s="811" t="s">
        <v>1440</v>
      </c>
      <c r="F648" s="811" t="s">
        <v>1672</v>
      </c>
      <c r="G648" s="811" t="s">
        <v>1652</v>
      </c>
      <c r="H648" s="811" t="s">
        <v>1653</v>
      </c>
      <c r="I648" s="811" t="s">
        <v>1654</v>
      </c>
      <c r="J648" s="813">
        <v>81844800</v>
      </c>
      <c r="K648" s="811" t="s">
        <v>1655</v>
      </c>
      <c r="L648" s="811" t="s">
        <v>1212</v>
      </c>
      <c r="M648" s="811" t="s">
        <v>1635</v>
      </c>
      <c r="N648" s="811" t="s">
        <v>1635</v>
      </c>
      <c r="O648" s="811" t="s">
        <v>1667</v>
      </c>
      <c r="P648" s="811" t="s">
        <v>1657</v>
      </c>
      <c r="Q648" s="811" t="s">
        <v>1668</v>
      </c>
    </row>
    <row r="649" spans="1:17" x14ac:dyDescent="0.25">
      <c r="A649" s="811" t="s">
        <v>1649</v>
      </c>
      <c r="B649" s="811" t="s">
        <v>2431</v>
      </c>
      <c r="C649" s="812">
        <v>44319000</v>
      </c>
      <c r="D649" s="811" t="s">
        <v>1440</v>
      </c>
      <c r="E649" s="811" t="s">
        <v>1440</v>
      </c>
      <c r="F649" s="811" t="s">
        <v>1689</v>
      </c>
      <c r="G649" s="811" t="s">
        <v>1652</v>
      </c>
      <c r="H649" s="811" t="s">
        <v>1653</v>
      </c>
      <c r="I649" s="811" t="s">
        <v>1654</v>
      </c>
      <c r="J649" s="813">
        <v>44319000</v>
      </c>
      <c r="K649" s="811" t="s">
        <v>1655</v>
      </c>
      <c r="L649" s="811" t="s">
        <v>1212</v>
      </c>
      <c r="M649" s="811" t="s">
        <v>1635</v>
      </c>
      <c r="N649" s="811" t="s">
        <v>1635</v>
      </c>
      <c r="O649" s="811" t="s">
        <v>1667</v>
      </c>
      <c r="P649" s="811" t="s">
        <v>1657</v>
      </c>
      <c r="Q649" s="811" t="s">
        <v>1668</v>
      </c>
    </row>
    <row r="650" spans="1:17" x14ac:dyDescent="0.25">
      <c r="A650" s="811" t="s">
        <v>1649</v>
      </c>
      <c r="B650" s="811" t="s">
        <v>2432</v>
      </c>
      <c r="C650" s="812">
        <v>96511665</v>
      </c>
      <c r="D650" s="811" t="s">
        <v>1440</v>
      </c>
      <c r="E650" s="811" t="s">
        <v>1440</v>
      </c>
      <c r="F650" s="811" t="s">
        <v>1672</v>
      </c>
      <c r="G650" s="811" t="s">
        <v>1652</v>
      </c>
      <c r="H650" s="811" t="s">
        <v>1653</v>
      </c>
      <c r="I650" s="811" t="s">
        <v>1654</v>
      </c>
      <c r="J650" s="813">
        <v>96511665</v>
      </c>
      <c r="K650" s="811" t="s">
        <v>1655</v>
      </c>
      <c r="L650" s="811" t="s">
        <v>1212</v>
      </c>
      <c r="M650" s="811" t="s">
        <v>1635</v>
      </c>
      <c r="N650" s="811" t="s">
        <v>1635</v>
      </c>
      <c r="O650" s="811" t="s">
        <v>1667</v>
      </c>
      <c r="P650" s="811" t="s">
        <v>1657</v>
      </c>
      <c r="Q650" s="811" t="s">
        <v>1668</v>
      </c>
    </row>
    <row r="651" spans="1:17" x14ac:dyDescent="0.25">
      <c r="A651" s="811" t="s">
        <v>1649</v>
      </c>
      <c r="B651" s="811" t="s">
        <v>2433</v>
      </c>
      <c r="C651" s="812">
        <v>169075413</v>
      </c>
      <c r="D651" s="811" t="s">
        <v>1440</v>
      </c>
      <c r="E651" s="811" t="s">
        <v>1440</v>
      </c>
      <c r="F651" s="811" t="s">
        <v>1672</v>
      </c>
      <c r="G651" s="811" t="s">
        <v>1652</v>
      </c>
      <c r="H651" s="811" t="s">
        <v>1653</v>
      </c>
      <c r="I651" s="811" t="s">
        <v>1654</v>
      </c>
      <c r="J651" s="813">
        <v>169075413</v>
      </c>
      <c r="K651" s="811" t="s">
        <v>1655</v>
      </c>
      <c r="L651" s="811" t="s">
        <v>1212</v>
      </c>
      <c r="M651" s="811" t="s">
        <v>1635</v>
      </c>
      <c r="N651" s="811" t="s">
        <v>1635</v>
      </c>
      <c r="O651" s="811" t="s">
        <v>1667</v>
      </c>
      <c r="P651" s="811" t="s">
        <v>1657</v>
      </c>
      <c r="Q651" s="811" t="s">
        <v>1668</v>
      </c>
    </row>
    <row r="652" spans="1:17" x14ac:dyDescent="0.25">
      <c r="A652" s="811" t="s">
        <v>1649</v>
      </c>
      <c r="B652" s="811" t="s">
        <v>2434</v>
      </c>
      <c r="C652" s="812">
        <v>84838051</v>
      </c>
      <c r="D652" s="811" t="s">
        <v>1440</v>
      </c>
      <c r="E652" s="811" t="s">
        <v>1440</v>
      </c>
      <c r="F652" s="811" t="s">
        <v>1672</v>
      </c>
      <c r="G652" s="811" t="s">
        <v>1652</v>
      </c>
      <c r="H652" s="811" t="s">
        <v>1653</v>
      </c>
      <c r="I652" s="811" t="s">
        <v>1654</v>
      </c>
      <c r="J652" s="813">
        <v>84838051</v>
      </c>
      <c r="K652" s="811" t="s">
        <v>1655</v>
      </c>
      <c r="L652" s="811" t="s">
        <v>1212</v>
      </c>
      <c r="M652" s="811" t="s">
        <v>1635</v>
      </c>
      <c r="N652" s="811" t="s">
        <v>1635</v>
      </c>
      <c r="O652" s="811" t="s">
        <v>1667</v>
      </c>
      <c r="P652" s="811" t="s">
        <v>1657</v>
      </c>
      <c r="Q652" s="811" t="s">
        <v>1668</v>
      </c>
    </row>
    <row r="653" spans="1:17" x14ac:dyDescent="0.25">
      <c r="A653" s="811" t="s">
        <v>1649</v>
      </c>
      <c r="B653" s="811" t="s">
        <v>2435</v>
      </c>
      <c r="C653" s="812">
        <v>39395799</v>
      </c>
      <c r="D653" s="811" t="s">
        <v>1440</v>
      </c>
      <c r="E653" s="811" t="s">
        <v>1440</v>
      </c>
      <c r="F653" s="811" t="s">
        <v>1689</v>
      </c>
      <c r="G653" s="811" t="s">
        <v>1652</v>
      </c>
      <c r="H653" s="811" t="s">
        <v>1653</v>
      </c>
      <c r="I653" s="811" t="s">
        <v>1654</v>
      </c>
      <c r="J653" s="813">
        <v>39395799</v>
      </c>
      <c r="K653" s="811" t="s">
        <v>1655</v>
      </c>
      <c r="L653" s="811" t="s">
        <v>1212</v>
      </c>
      <c r="M653" s="811" t="s">
        <v>1635</v>
      </c>
      <c r="N653" s="811" t="s">
        <v>1635</v>
      </c>
      <c r="O653" s="811" t="s">
        <v>1667</v>
      </c>
      <c r="P653" s="811" t="s">
        <v>1657</v>
      </c>
      <c r="Q653" s="811" t="s">
        <v>1668</v>
      </c>
    </row>
    <row r="654" spans="1:17" x14ac:dyDescent="0.25">
      <c r="A654" s="811" t="s">
        <v>1649</v>
      </c>
      <c r="B654" s="811" t="s">
        <v>2436</v>
      </c>
      <c r="C654" s="812">
        <v>56202000</v>
      </c>
      <c r="D654" s="811" t="s">
        <v>1445</v>
      </c>
      <c r="E654" s="811" t="s">
        <v>1445</v>
      </c>
      <c r="F654" s="811" t="s">
        <v>1685</v>
      </c>
      <c r="G654" s="811" t="s">
        <v>1652</v>
      </c>
      <c r="H654" s="811" t="s">
        <v>1653</v>
      </c>
      <c r="I654" s="811" t="s">
        <v>1654</v>
      </c>
      <c r="J654" s="813">
        <v>56202000</v>
      </c>
      <c r="K654" s="811" t="s">
        <v>1655</v>
      </c>
      <c r="L654" s="811" t="s">
        <v>1212</v>
      </c>
      <c r="M654" s="811" t="s">
        <v>1635</v>
      </c>
      <c r="N654" s="811" t="s">
        <v>1635</v>
      </c>
      <c r="O654" s="811" t="s">
        <v>1667</v>
      </c>
      <c r="P654" s="811" t="s">
        <v>1657</v>
      </c>
      <c r="Q654" s="811" t="s">
        <v>1668</v>
      </c>
    </row>
    <row r="655" spans="1:17" x14ac:dyDescent="0.25">
      <c r="A655" s="811" t="s">
        <v>1649</v>
      </c>
      <c r="B655" s="811" t="s">
        <v>2437</v>
      </c>
      <c r="C655" s="812">
        <v>48478886</v>
      </c>
      <c r="D655" s="811" t="s">
        <v>1440</v>
      </c>
      <c r="E655" s="811" t="s">
        <v>1440</v>
      </c>
      <c r="F655" s="811" t="s">
        <v>1672</v>
      </c>
      <c r="G655" s="811" t="s">
        <v>1652</v>
      </c>
      <c r="H655" s="811" t="s">
        <v>1653</v>
      </c>
      <c r="I655" s="811" t="s">
        <v>1654</v>
      </c>
      <c r="J655" s="813">
        <v>48478886</v>
      </c>
      <c r="K655" s="811" t="s">
        <v>1655</v>
      </c>
      <c r="L655" s="811" t="s">
        <v>1212</v>
      </c>
      <c r="M655" s="811" t="s">
        <v>1635</v>
      </c>
      <c r="N655" s="811" t="s">
        <v>1635</v>
      </c>
      <c r="O655" s="811" t="s">
        <v>1667</v>
      </c>
      <c r="P655" s="811" t="s">
        <v>1657</v>
      </c>
      <c r="Q655" s="811" t="s">
        <v>1668</v>
      </c>
    </row>
    <row r="656" spans="1:17" x14ac:dyDescent="0.25">
      <c r="A656" s="811" t="s">
        <v>1649</v>
      </c>
      <c r="B656" s="811" t="s">
        <v>2438</v>
      </c>
      <c r="C656" s="812">
        <v>33129600</v>
      </c>
      <c r="D656" s="811" t="s">
        <v>1440</v>
      </c>
      <c r="E656" s="811" t="s">
        <v>1440</v>
      </c>
      <c r="F656" s="811" t="s">
        <v>1672</v>
      </c>
      <c r="G656" s="811" t="s">
        <v>1652</v>
      </c>
      <c r="H656" s="811" t="s">
        <v>1653</v>
      </c>
      <c r="I656" s="811" t="s">
        <v>1654</v>
      </c>
      <c r="J656" s="813">
        <v>33129600</v>
      </c>
      <c r="K656" s="811" t="s">
        <v>1655</v>
      </c>
      <c r="L656" s="811" t="s">
        <v>1212</v>
      </c>
      <c r="M656" s="811" t="s">
        <v>1635</v>
      </c>
      <c r="N656" s="811" t="s">
        <v>1635</v>
      </c>
      <c r="O656" s="811" t="s">
        <v>1667</v>
      </c>
      <c r="P656" s="811" t="s">
        <v>1657</v>
      </c>
      <c r="Q656" s="811" t="s">
        <v>1668</v>
      </c>
    </row>
    <row r="657" spans="1:17" x14ac:dyDescent="0.25">
      <c r="A657" s="811" t="s">
        <v>1649</v>
      </c>
      <c r="B657" s="811" t="s">
        <v>2439</v>
      </c>
      <c r="C657" s="812">
        <v>33129600</v>
      </c>
      <c r="D657" s="811" t="s">
        <v>1440</v>
      </c>
      <c r="E657" s="811" t="s">
        <v>1440</v>
      </c>
      <c r="F657" s="811" t="s">
        <v>1672</v>
      </c>
      <c r="G657" s="811" t="s">
        <v>1652</v>
      </c>
      <c r="H657" s="811" t="s">
        <v>1653</v>
      </c>
      <c r="I657" s="811" t="s">
        <v>1654</v>
      </c>
      <c r="J657" s="813">
        <v>33129600</v>
      </c>
      <c r="K657" s="811" t="s">
        <v>1655</v>
      </c>
      <c r="L657" s="811" t="s">
        <v>1212</v>
      </c>
      <c r="M657" s="811" t="s">
        <v>1635</v>
      </c>
      <c r="N657" s="811" t="s">
        <v>1635</v>
      </c>
      <c r="O657" s="811" t="s">
        <v>1667</v>
      </c>
      <c r="P657" s="811" t="s">
        <v>1657</v>
      </c>
      <c r="Q657" s="811" t="s">
        <v>1668</v>
      </c>
    </row>
    <row r="658" spans="1:17" x14ac:dyDescent="0.25">
      <c r="A658" s="811" t="s">
        <v>1649</v>
      </c>
      <c r="B658" s="811" t="s">
        <v>2440</v>
      </c>
      <c r="C658" s="812">
        <v>33129600</v>
      </c>
      <c r="D658" s="811" t="s">
        <v>1440</v>
      </c>
      <c r="E658" s="811" t="s">
        <v>1440</v>
      </c>
      <c r="F658" s="811" t="s">
        <v>1672</v>
      </c>
      <c r="G658" s="811" t="s">
        <v>1652</v>
      </c>
      <c r="H658" s="811" t="s">
        <v>1653</v>
      </c>
      <c r="I658" s="811" t="s">
        <v>1654</v>
      </c>
      <c r="J658" s="813">
        <v>33129600</v>
      </c>
      <c r="K658" s="811" t="s">
        <v>1655</v>
      </c>
      <c r="L658" s="811" t="s">
        <v>1212</v>
      </c>
      <c r="M658" s="811" t="s">
        <v>1635</v>
      </c>
      <c r="N658" s="811" t="s">
        <v>1635</v>
      </c>
      <c r="O658" s="811" t="s">
        <v>1667</v>
      </c>
      <c r="P658" s="811" t="s">
        <v>1657</v>
      </c>
      <c r="Q658" s="811" t="s">
        <v>1668</v>
      </c>
    </row>
    <row r="659" spans="1:17" x14ac:dyDescent="0.25">
      <c r="A659" s="811" t="s">
        <v>1649</v>
      </c>
      <c r="B659" s="811" t="s">
        <v>2441</v>
      </c>
      <c r="C659" s="812">
        <v>42636000</v>
      </c>
      <c r="D659" s="811" t="s">
        <v>1440</v>
      </c>
      <c r="E659" s="811" t="s">
        <v>1440</v>
      </c>
      <c r="F659" s="811" t="s">
        <v>1689</v>
      </c>
      <c r="G659" s="811" t="s">
        <v>1652</v>
      </c>
      <c r="H659" s="811" t="s">
        <v>1653</v>
      </c>
      <c r="I659" s="811" t="s">
        <v>1654</v>
      </c>
      <c r="J659" s="813">
        <v>42636000</v>
      </c>
      <c r="K659" s="811" t="s">
        <v>1655</v>
      </c>
      <c r="L659" s="811" t="s">
        <v>1212</v>
      </c>
      <c r="M659" s="811" t="s">
        <v>1635</v>
      </c>
      <c r="N659" s="811" t="s">
        <v>1635</v>
      </c>
      <c r="O659" s="811" t="s">
        <v>1667</v>
      </c>
      <c r="P659" s="811" t="s">
        <v>1657</v>
      </c>
      <c r="Q659" s="811" t="s">
        <v>1668</v>
      </c>
    </row>
    <row r="660" spans="1:17" x14ac:dyDescent="0.25">
      <c r="A660" s="811" t="s">
        <v>1649</v>
      </c>
      <c r="B660" s="811" t="s">
        <v>2442</v>
      </c>
      <c r="C660" s="812">
        <v>72000000</v>
      </c>
      <c r="D660" s="811" t="s">
        <v>1445</v>
      </c>
      <c r="E660" s="811" t="s">
        <v>1445</v>
      </c>
      <c r="F660" s="811" t="s">
        <v>1651</v>
      </c>
      <c r="G660" s="811" t="s">
        <v>1652</v>
      </c>
      <c r="H660" s="811" t="s">
        <v>1653</v>
      </c>
      <c r="I660" s="811" t="s">
        <v>1654</v>
      </c>
      <c r="J660" s="813">
        <v>72000000</v>
      </c>
      <c r="K660" s="811" t="s">
        <v>1655</v>
      </c>
      <c r="L660" s="811" t="s">
        <v>1212</v>
      </c>
      <c r="M660" s="811" t="s">
        <v>1635</v>
      </c>
      <c r="N660" s="811" t="s">
        <v>1635</v>
      </c>
      <c r="O660" s="811" t="s">
        <v>1729</v>
      </c>
      <c r="P660" s="811" t="s">
        <v>1657</v>
      </c>
      <c r="Q660" s="811" t="s">
        <v>1664</v>
      </c>
    </row>
    <row r="661" spans="1:17" x14ac:dyDescent="0.25">
      <c r="A661" s="811" t="s">
        <v>1649</v>
      </c>
      <c r="B661" s="811" t="s">
        <v>2443</v>
      </c>
      <c r="C661" s="812">
        <v>60000000</v>
      </c>
      <c r="D661" s="811" t="s">
        <v>1445</v>
      </c>
      <c r="E661" s="811" t="s">
        <v>1445</v>
      </c>
      <c r="F661" s="811" t="s">
        <v>1651</v>
      </c>
      <c r="G661" s="811" t="s">
        <v>1652</v>
      </c>
      <c r="H661" s="811" t="s">
        <v>1653</v>
      </c>
      <c r="I661" s="811" t="s">
        <v>1654</v>
      </c>
      <c r="J661" s="813">
        <v>60000000</v>
      </c>
      <c r="K661" s="811" t="s">
        <v>1655</v>
      </c>
      <c r="L661" s="811" t="s">
        <v>1212</v>
      </c>
      <c r="M661" s="811" t="s">
        <v>1635</v>
      </c>
      <c r="N661" s="811" t="s">
        <v>1635</v>
      </c>
      <c r="O661" s="811" t="s">
        <v>1729</v>
      </c>
      <c r="P661" s="811" t="s">
        <v>1657</v>
      </c>
      <c r="Q661" s="811" t="s">
        <v>1664</v>
      </c>
    </row>
    <row r="662" spans="1:17" x14ac:dyDescent="0.25">
      <c r="A662" s="811" t="s">
        <v>1649</v>
      </c>
      <c r="B662" s="811" t="s">
        <v>2444</v>
      </c>
      <c r="C662" s="812">
        <v>96000000</v>
      </c>
      <c r="D662" s="811" t="s">
        <v>1445</v>
      </c>
      <c r="E662" s="811" t="s">
        <v>1445</v>
      </c>
      <c r="F662" s="811" t="s">
        <v>1651</v>
      </c>
      <c r="G662" s="811" t="s">
        <v>1652</v>
      </c>
      <c r="H662" s="811" t="s">
        <v>1653</v>
      </c>
      <c r="I662" s="811" t="s">
        <v>1654</v>
      </c>
      <c r="J662" s="813">
        <v>96000000</v>
      </c>
      <c r="K662" s="811" t="s">
        <v>1655</v>
      </c>
      <c r="L662" s="811" t="s">
        <v>1212</v>
      </c>
      <c r="M662" s="811" t="s">
        <v>1635</v>
      </c>
      <c r="N662" s="811" t="s">
        <v>1635</v>
      </c>
      <c r="O662" s="811" t="s">
        <v>1729</v>
      </c>
      <c r="P662" s="811" t="s">
        <v>1657</v>
      </c>
      <c r="Q662" s="811" t="s">
        <v>1664</v>
      </c>
    </row>
    <row r="663" spans="1:17" x14ac:dyDescent="0.25">
      <c r="A663" s="811" t="s">
        <v>1649</v>
      </c>
      <c r="B663" s="811" t="s">
        <v>2445</v>
      </c>
      <c r="C663" s="812">
        <v>72000000</v>
      </c>
      <c r="D663" s="811" t="s">
        <v>1445</v>
      </c>
      <c r="E663" s="811" t="s">
        <v>1445</v>
      </c>
      <c r="F663" s="811" t="s">
        <v>1651</v>
      </c>
      <c r="G663" s="811" t="s">
        <v>1652</v>
      </c>
      <c r="H663" s="811" t="s">
        <v>1653</v>
      </c>
      <c r="I663" s="811" t="s">
        <v>1654</v>
      </c>
      <c r="J663" s="813">
        <v>72000000</v>
      </c>
      <c r="K663" s="811" t="s">
        <v>1655</v>
      </c>
      <c r="L663" s="811" t="s">
        <v>1212</v>
      </c>
      <c r="M663" s="811" t="s">
        <v>1635</v>
      </c>
      <c r="N663" s="811" t="s">
        <v>1635</v>
      </c>
      <c r="O663" s="811" t="s">
        <v>1729</v>
      </c>
      <c r="P663" s="811" t="s">
        <v>1657</v>
      </c>
      <c r="Q663" s="811" t="s">
        <v>1664</v>
      </c>
    </row>
    <row r="664" spans="1:17" x14ac:dyDescent="0.25">
      <c r="A664" s="811" t="s">
        <v>1649</v>
      </c>
      <c r="B664" s="811" t="s">
        <v>2446</v>
      </c>
      <c r="C664" s="812">
        <v>56000000</v>
      </c>
      <c r="D664" s="811" t="s">
        <v>1445</v>
      </c>
      <c r="E664" s="811" t="s">
        <v>1445</v>
      </c>
      <c r="F664" s="811" t="s">
        <v>1651</v>
      </c>
      <c r="G664" s="811" t="s">
        <v>1652</v>
      </c>
      <c r="H664" s="811" t="s">
        <v>1653</v>
      </c>
      <c r="I664" s="811" t="s">
        <v>1654</v>
      </c>
      <c r="J664" s="813">
        <v>56000000</v>
      </c>
      <c r="K664" s="811" t="s">
        <v>1655</v>
      </c>
      <c r="L664" s="811" t="s">
        <v>1212</v>
      </c>
      <c r="M664" s="811" t="s">
        <v>1635</v>
      </c>
      <c r="N664" s="811" t="s">
        <v>1635</v>
      </c>
      <c r="O664" s="811" t="s">
        <v>1729</v>
      </c>
      <c r="P664" s="811" t="s">
        <v>1657</v>
      </c>
      <c r="Q664" s="811" t="s">
        <v>1664</v>
      </c>
    </row>
    <row r="665" spans="1:17" x14ac:dyDescent="0.25">
      <c r="A665" s="811" t="s">
        <v>1649</v>
      </c>
      <c r="B665" s="811" t="s">
        <v>2447</v>
      </c>
      <c r="C665" s="812">
        <v>63000000</v>
      </c>
      <c r="D665" s="811" t="s">
        <v>1445</v>
      </c>
      <c r="E665" s="811" t="s">
        <v>1445</v>
      </c>
      <c r="F665" s="811" t="s">
        <v>1666</v>
      </c>
      <c r="G665" s="811" t="s">
        <v>1652</v>
      </c>
      <c r="H665" s="811" t="s">
        <v>1653</v>
      </c>
      <c r="I665" s="811" t="s">
        <v>1654</v>
      </c>
      <c r="J665" s="813">
        <v>63000000</v>
      </c>
      <c r="K665" s="811" t="s">
        <v>1655</v>
      </c>
      <c r="L665" s="811" t="s">
        <v>1212</v>
      </c>
      <c r="M665" s="811" t="s">
        <v>1635</v>
      </c>
      <c r="N665" s="811" t="s">
        <v>1635</v>
      </c>
      <c r="O665" s="811" t="s">
        <v>1729</v>
      </c>
      <c r="P665" s="811" t="s">
        <v>1657</v>
      </c>
      <c r="Q665" s="811" t="s">
        <v>1664</v>
      </c>
    </row>
    <row r="666" spans="1:17" x14ac:dyDescent="0.25">
      <c r="A666" s="811" t="s">
        <v>1649</v>
      </c>
      <c r="B666" s="811" t="s">
        <v>2448</v>
      </c>
      <c r="C666" s="812">
        <v>61600000</v>
      </c>
      <c r="D666" s="811" t="s">
        <v>1445</v>
      </c>
      <c r="E666" s="811" t="s">
        <v>1445</v>
      </c>
      <c r="F666" s="811" t="s">
        <v>1651</v>
      </c>
      <c r="G666" s="811" t="s">
        <v>1652</v>
      </c>
      <c r="H666" s="811" t="s">
        <v>1653</v>
      </c>
      <c r="I666" s="811" t="s">
        <v>1654</v>
      </c>
      <c r="J666" s="813">
        <v>61600000</v>
      </c>
      <c r="K666" s="811" t="s">
        <v>1655</v>
      </c>
      <c r="L666" s="811" t="s">
        <v>1212</v>
      </c>
      <c r="M666" s="811" t="s">
        <v>1635</v>
      </c>
      <c r="N666" s="811" t="s">
        <v>1635</v>
      </c>
      <c r="O666" s="811" t="s">
        <v>1729</v>
      </c>
      <c r="P666" s="811" t="s">
        <v>1657</v>
      </c>
      <c r="Q666" s="811" t="s">
        <v>1664</v>
      </c>
    </row>
    <row r="667" spans="1:17" x14ac:dyDescent="0.25">
      <c r="A667" s="811" t="s">
        <v>1649</v>
      </c>
      <c r="B667" s="811" t="s">
        <v>2449</v>
      </c>
      <c r="C667" s="812">
        <v>39975144</v>
      </c>
      <c r="D667" s="811" t="s">
        <v>1445</v>
      </c>
      <c r="E667" s="811" t="s">
        <v>1445</v>
      </c>
      <c r="F667" s="811" t="s">
        <v>1651</v>
      </c>
      <c r="G667" s="811" t="s">
        <v>1652</v>
      </c>
      <c r="H667" s="811" t="s">
        <v>1653</v>
      </c>
      <c r="I667" s="811" t="s">
        <v>1654</v>
      </c>
      <c r="J667" s="813">
        <v>39975144</v>
      </c>
      <c r="K667" s="811" t="s">
        <v>1655</v>
      </c>
      <c r="L667" s="811" t="s">
        <v>1212</v>
      </c>
      <c r="M667" s="811" t="s">
        <v>1635</v>
      </c>
      <c r="N667" s="811" t="s">
        <v>1635</v>
      </c>
      <c r="O667" s="811" t="s">
        <v>1729</v>
      </c>
      <c r="P667" s="811" t="s">
        <v>1657</v>
      </c>
      <c r="Q667" s="811" t="s">
        <v>1664</v>
      </c>
    </row>
    <row r="668" spans="1:17" x14ac:dyDescent="0.25">
      <c r="A668" s="811" t="s">
        <v>1649</v>
      </c>
      <c r="B668" s="811" t="s">
        <v>2450</v>
      </c>
      <c r="C668" s="812">
        <v>90000000</v>
      </c>
      <c r="D668" s="811" t="s">
        <v>1445</v>
      </c>
      <c r="E668" s="811" t="s">
        <v>1445</v>
      </c>
      <c r="F668" s="811" t="s">
        <v>1666</v>
      </c>
      <c r="G668" s="811" t="s">
        <v>1652</v>
      </c>
      <c r="H668" s="811" t="s">
        <v>1653</v>
      </c>
      <c r="I668" s="811" t="s">
        <v>1654</v>
      </c>
      <c r="J668" s="813">
        <v>90000000</v>
      </c>
      <c r="K668" s="811" t="s">
        <v>1655</v>
      </c>
      <c r="L668" s="811" t="s">
        <v>1212</v>
      </c>
      <c r="M668" s="811" t="s">
        <v>1635</v>
      </c>
      <c r="N668" s="811" t="s">
        <v>1635</v>
      </c>
      <c r="O668" s="811" t="s">
        <v>1681</v>
      </c>
      <c r="P668" s="811" t="s">
        <v>1657</v>
      </c>
      <c r="Q668" s="811" t="s">
        <v>1682</v>
      </c>
    </row>
    <row r="669" spans="1:17" x14ac:dyDescent="0.25">
      <c r="A669" s="811" t="s">
        <v>1649</v>
      </c>
      <c r="B669" s="811" t="s">
        <v>2451</v>
      </c>
      <c r="C669" s="812">
        <v>36794250</v>
      </c>
      <c r="D669" s="811" t="s">
        <v>1445</v>
      </c>
      <c r="E669" s="811" t="s">
        <v>1445</v>
      </c>
      <c r="F669" s="811" t="s">
        <v>1666</v>
      </c>
      <c r="G669" s="811" t="s">
        <v>1652</v>
      </c>
      <c r="H669" s="811" t="s">
        <v>1653</v>
      </c>
      <c r="I669" s="811" t="s">
        <v>1654</v>
      </c>
      <c r="J669" s="813">
        <v>36794250</v>
      </c>
      <c r="K669" s="811" t="s">
        <v>1655</v>
      </c>
      <c r="L669" s="811" t="s">
        <v>1212</v>
      </c>
      <c r="M669" s="811" t="s">
        <v>1635</v>
      </c>
      <c r="N669" s="811" t="s">
        <v>1635</v>
      </c>
      <c r="O669" s="811" t="s">
        <v>1681</v>
      </c>
      <c r="P669" s="811" t="s">
        <v>1657</v>
      </c>
      <c r="Q669" s="811" t="s">
        <v>1682</v>
      </c>
    </row>
    <row r="670" spans="1:17" x14ac:dyDescent="0.25">
      <c r="A670" s="811" t="s">
        <v>1649</v>
      </c>
      <c r="B670" s="811" t="s">
        <v>1978</v>
      </c>
      <c r="C670" s="812">
        <v>64900000</v>
      </c>
      <c r="D670" s="811" t="s">
        <v>1449</v>
      </c>
      <c r="E670" s="811" t="s">
        <v>1449</v>
      </c>
      <c r="F670" s="811" t="s">
        <v>1689</v>
      </c>
      <c r="G670" s="811" t="s">
        <v>1652</v>
      </c>
      <c r="H670" s="811" t="s">
        <v>1653</v>
      </c>
      <c r="I670" s="811" t="s">
        <v>1654</v>
      </c>
      <c r="J670" s="813">
        <v>64900000</v>
      </c>
      <c r="K670" s="811" t="s">
        <v>1655</v>
      </c>
      <c r="L670" s="811" t="s">
        <v>1212</v>
      </c>
      <c r="M670" s="811" t="s">
        <v>1635</v>
      </c>
      <c r="N670" s="811" t="s">
        <v>1635</v>
      </c>
      <c r="O670" s="811" t="s">
        <v>1686</v>
      </c>
      <c r="P670" s="811" t="s">
        <v>1657</v>
      </c>
      <c r="Q670" s="811" t="s">
        <v>1658</v>
      </c>
    </row>
    <row r="671" spans="1:17" x14ac:dyDescent="0.25">
      <c r="A671" s="811" t="s">
        <v>1649</v>
      </c>
      <c r="B671" s="811" t="s">
        <v>1978</v>
      </c>
      <c r="C671" s="812">
        <v>64900000</v>
      </c>
      <c r="D671" s="811" t="s">
        <v>1449</v>
      </c>
      <c r="E671" s="811" t="s">
        <v>1449</v>
      </c>
      <c r="F671" s="811" t="s">
        <v>1689</v>
      </c>
      <c r="G671" s="811" t="s">
        <v>1652</v>
      </c>
      <c r="H671" s="811" t="s">
        <v>1653</v>
      </c>
      <c r="I671" s="811" t="s">
        <v>1654</v>
      </c>
      <c r="J671" s="813">
        <v>64900000</v>
      </c>
      <c r="K671" s="811" t="s">
        <v>1655</v>
      </c>
      <c r="L671" s="811" t="s">
        <v>1212</v>
      </c>
      <c r="M671" s="811" t="s">
        <v>1635</v>
      </c>
      <c r="N671" s="811" t="s">
        <v>1635</v>
      </c>
      <c r="O671" s="811" t="s">
        <v>1686</v>
      </c>
      <c r="P671" s="811" t="s">
        <v>1657</v>
      </c>
      <c r="Q671" s="811" t="s">
        <v>1658</v>
      </c>
    </row>
    <row r="672" spans="1:17" x14ac:dyDescent="0.25">
      <c r="A672" s="811" t="s">
        <v>1649</v>
      </c>
      <c r="B672" s="811" t="s">
        <v>1978</v>
      </c>
      <c r="C672" s="812">
        <v>64900000</v>
      </c>
      <c r="D672" s="811" t="s">
        <v>1449</v>
      </c>
      <c r="E672" s="811" t="s">
        <v>1449</v>
      </c>
      <c r="F672" s="811" t="s">
        <v>1672</v>
      </c>
      <c r="G672" s="811" t="s">
        <v>1652</v>
      </c>
      <c r="H672" s="811" t="s">
        <v>1653</v>
      </c>
      <c r="I672" s="811" t="s">
        <v>1654</v>
      </c>
      <c r="J672" s="813">
        <v>64900000</v>
      </c>
      <c r="K672" s="811" t="s">
        <v>1655</v>
      </c>
      <c r="L672" s="811" t="s">
        <v>1212</v>
      </c>
      <c r="M672" s="811" t="s">
        <v>1635</v>
      </c>
      <c r="N672" s="811" t="s">
        <v>1635</v>
      </c>
      <c r="O672" s="811" t="s">
        <v>1686</v>
      </c>
      <c r="P672" s="811" t="s">
        <v>1657</v>
      </c>
      <c r="Q672" s="811" t="s">
        <v>1658</v>
      </c>
    </row>
    <row r="673" spans="1:17" x14ac:dyDescent="0.25">
      <c r="A673" s="811" t="s">
        <v>1649</v>
      </c>
      <c r="B673" s="811" t="s">
        <v>1978</v>
      </c>
      <c r="C673" s="812">
        <v>64900000</v>
      </c>
      <c r="D673" s="811" t="s">
        <v>1449</v>
      </c>
      <c r="E673" s="811" t="s">
        <v>1449</v>
      </c>
      <c r="F673" s="811" t="s">
        <v>1672</v>
      </c>
      <c r="G673" s="811" t="s">
        <v>1652</v>
      </c>
      <c r="H673" s="811" t="s">
        <v>1653</v>
      </c>
      <c r="I673" s="811" t="s">
        <v>1654</v>
      </c>
      <c r="J673" s="813">
        <v>64900000</v>
      </c>
      <c r="K673" s="811" t="s">
        <v>1655</v>
      </c>
      <c r="L673" s="811" t="s">
        <v>1212</v>
      </c>
      <c r="M673" s="811" t="s">
        <v>1635</v>
      </c>
      <c r="N673" s="811" t="s">
        <v>1635</v>
      </c>
      <c r="O673" s="811" t="s">
        <v>1686</v>
      </c>
      <c r="P673" s="811" t="s">
        <v>1657</v>
      </c>
      <c r="Q673" s="811" t="s">
        <v>1658</v>
      </c>
    </row>
    <row r="674" spans="1:17" x14ac:dyDescent="0.25">
      <c r="A674" s="811" t="s">
        <v>1649</v>
      </c>
      <c r="B674" s="811" t="s">
        <v>1978</v>
      </c>
      <c r="C674" s="812">
        <v>64900000</v>
      </c>
      <c r="D674" s="811" t="s">
        <v>1449</v>
      </c>
      <c r="E674" s="811" t="s">
        <v>1449</v>
      </c>
      <c r="F674" s="811" t="s">
        <v>1672</v>
      </c>
      <c r="G674" s="811" t="s">
        <v>1652</v>
      </c>
      <c r="H674" s="811" t="s">
        <v>1653</v>
      </c>
      <c r="I674" s="811" t="s">
        <v>1654</v>
      </c>
      <c r="J674" s="813">
        <v>64900000</v>
      </c>
      <c r="K674" s="811" t="s">
        <v>1655</v>
      </c>
      <c r="L674" s="811" t="s">
        <v>1212</v>
      </c>
      <c r="M674" s="811" t="s">
        <v>1635</v>
      </c>
      <c r="N674" s="811" t="s">
        <v>1635</v>
      </c>
      <c r="O674" s="811" t="s">
        <v>1686</v>
      </c>
      <c r="P674" s="811" t="s">
        <v>1657</v>
      </c>
      <c r="Q674" s="811" t="s">
        <v>1658</v>
      </c>
    </row>
    <row r="675" spans="1:17" x14ac:dyDescent="0.25">
      <c r="A675" s="811" t="s">
        <v>1649</v>
      </c>
      <c r="B675" s="811" t="s">
        <v>1978</v>
      </c>
      <c r="C675" s="812">
        <v>64900000</v>
      </c>
      <c r="D675" s="811" t="s">
        <v>1449</v>
      </c>
      <c r="E675" s="811" t="s">
        <v>1449</v>
      </c>
      <c r="F675" s="811" t="s">
        <v>1672</v>
      </c>
      <c r="G675" s="811" t="s">
        <v>1652</v>
      </c>
      <c r="H675" s="811" t="s">
        <v>1653</v>
      </c>
      <c r="I675" s="811" t="s">
        <v>1654</v>
      </c>
      <c r="J675" s="813">
        <v>64900000</v>
      </c>
      <c r="K675" s="811" t="s">
        <v>1655</v>
      </c>
      <c r="L675" s="811" t="s">
        <v>1212</v>
      </c>
      <c r="M675" s="811" t="s">
        <v>1635</v>
      </c>
      <c r="N675" s="811" t="s">
        <v>1635</v>
      </c>
      <c r="O675" s="811" t="s">
        <v>1686</v>
      </c>
      <c r="P675" s="811" t="s">
        <v>1657</v>
      </c>
      <c r="Q675" s="811" t="s">
        <v>1658</v>
      </c>
    </row>
    <row r="676" spans="1:17" x14ac:dyDescent="0.25">
      <c r="A676" s="811" t="s">
        <v>1649</v>
      </c>
      <c r="B676" s="811" t="s">
        <v>2452</v>
      </c>
      <c r="C676" s="812">
        <v>58900000</v>
      </c>
      <c r="D676" s="811" t="s">
        <v>1449</v>
      </c>
      <c r="E676" s="811" t="s">
        <v>1449</v>
      </c>
      <c r="F676" s="811" t="s">
        <v>1685</v>
      </c>
      <c r="G676" s="811" t="s">
        <v>1652</v>
      </c>
      <c r="H676" s="811" t="s">
        <v>1653</v>
      </c>
      <c r="I676" s="811" t="s">
        <v>1654</v>
      </c>
      <c r="J676" s="813">
        <v>58900000</v>
      </c>
      <c r="K676" s="811" t="s">
        <v>1655</v>
      </c>
      <c r="L676" s="811" t="s">
        <v>1212</v>
      </c>
      <c r="M676" s="811" t="s">
        <v>1635</v>
      </c>
      <c r="N676" s="811" t="s">
        <v>1635</v>
      </c>
      <c r="O676" s="811" t="s">
        <v>1769</v>
      </c>
      <c r="P676" s="811" t="s">
        <v>1657</v>
      </c>
      <c r="Q676" s="811" t="s">
        <v>1705</v>
      </c>
    </row>
    <row r="677" spans="1:17" x14ac:dyDescent="0.25">
      <c r="A677" s="811" t="s">
        <v>1649</v>
      </c>
      <c r="B677" s="811" t="s">
        <v>2453</v>
      </c>
      <c r="C677" s="812">
        <v>54000000</v>
      </c>
      <c r="D677" s="811" t="s">
        <v>1449</v>
      </c>
      <c r="E677" s="811" t="s">
        <v>1449</v>
      </c>
      <c r="F677" s="811" t="s">
        <v>1685</v>
      </c>
      <c r="G677" s="811" t="s">
        <v>1652</v>
      </c>
      <c r="H677" s="811" t="s">
        <v>1653</v>
      </c>
      <c r="I677" s="811" t="s">
        <v>1654</v>
      </c>
      <c r="J677" s="813">
        <v>54000000</v>
      </c>
      <c r="K677" s="811" t="s">
        <v>1655</v>
      </c>
      <c r="L677" s="811" t="s">
        <v>1212</v>
      </c>
      <c r="M677" s="811" t="s">
        <v>1635</v>
      </c>
      <c r="N677" s="811" t="s">
        <v>1635</v>
      </c>
      <c r="O677" s="811" t="s">
        <v>1769</v>
      </c>
      <c r="P677" s="811" t="s">
        <v>1657</v>
      </c>
      <c r="Q677" s="811" t="s">
        <v>1705</v>
      </c>
    </row>
    <row r="678" spans="1:17" x14ac:dyDescent="0.25">
      <c r="A678" s="811" t="s">
        <v>1649</v>
      </c>
      <c r="B678" s="811" t="s">
        <v>2454</v>
      </c>
      <c r="C678" s="812">
        <v>136056666</v>
      </c>
      <c r="D678" s="811" t="s">
        <v>1440</v>
      </c>
      <c r="E678" s="811" t="s">
        <v>1440</v>
      </c>
      <c r="F678" s="811" t="s">
        <v>1672</v>
      </c>
      <c r="G678" s="811" t="s">
        <v>1652</v>
      </c>
      <c r="H678" s="811" t="s">
        <v>1653</v>
      </c>
      <c r="I678" s="811" t="s">
        <v>1654</v>
      </c>
      <c r="J678" s="813">
        <v>136056666</v>
      </c>
      <c r="K678" s="811" t="s">
        <v>1655</v>
      </c>
      <c r="L678" s="811" t="s">
        <v>1212</v>
      </c>
      <c r="M678" s="811" t="s">
        <v>1635</v>
      </c>
      <c r="N678" s="811" t="s">
        <v>1635</v>
      </c>
      <c r="O678" s="811" t="s">
        <v>1769</v>
      </c>
      <c r="P678" s="811" t="s">
        <v>1657</v>
      </c>
      <c r="Q678" s="811" t="s">
        <v>1705</v>
      </c>
    </row>
    <row r="679" spans="1:17" x14ac:dyDescent="0.25">
      <c r="A679" s="811" t="s">
        <v>1649</v>
      </c>
      <c r="B679" s="811" t="s">
        <v>2455</v>
      </c>
      <c r="C679" s="812">
        <v>80000000</v>
      </c>
      <c r="D679" s="811" t="s">
        <v>1449</v>
      </c>
      <c r="E679" s="811" t="s">
        <v>1449</v>
      </c>
      <c r="F679" s="811" t="s">
        <v>1685</v>
      </c>
      <c r="G679" s="811" t="s">
        <v>1652</v>
      </c>
      <c r="H679" s="811" t="s">
        <v>1653</v>
      </c>
      <c r="I679" s="811" t="s">
        <v>1654</v>
      </c>
      <c r="J679" s="813">
        <v>80000000</v>
      </c>
      <c r="K679" s="811" t="s">
        <v>1655</v>
      </c>
      <c r="L679" s="811" t="s">
        <v>1212</v>
      </c>
      <c r="M679" s="811" t="s">
        <v>1635</v>
      </c>
      <c r="N679" s="811" t="s">
        <v>1635</v>
      </c>
      <c r="O679" s="811" t="s">
        <v>1769</v>
      </c>
      <c r="P679" s="811" t="s">
        <v>1657</v>
      </c>
      <c r="Q679" s="811" t="s">
        <v>1705</v>
      </c>
    </row>
    <row r="680" spans="1:17" x14ac:dyDescent="0.25">
      <c r="A680" s="811" t="s">
        <v>1649</v>
      </c>
      <c r="B680" s="811" t="s">
        <v>2456</v>
      </c>
      <c r="C680" s="812">
        <v>24000000</v>
      </c>
      <c r="D680" s="811" t="s">
        <v>1445</v>
      </c>
      <c r="E680" s="811" t="s">
        <v>1445</v>
      </c>
      <c r="F680" s="811" t="s">
        <v>1718</v>
      </c>
      <c r="G680" s="811" t="s">
        <v>1652</v>
      </c>
      <c r="H680" s="811" t="s">
        <v>1653</v>
      </c>
      <c r="I680" s="811" t="s">
        <v>1654</v>
      </c>
      <c r="J680" s="813">
        <v>24000000</v>
      </c>
      <c r="K680" s="811" t="s">
        <v>1655</v>
      </c>
      <c r="L680" s="811" t="s">
        <v>1212</v>
      </c>
      <c r="M680" s="811" t="s">
        <v>1635</v>
      </c>
      <c r="N680" s="811" t="s">
        <v>1635</v>
      </c>
      <c r="O680" s="811" t="s">
        <v>1769</v>
      </c>
      <c r="P680" s="811" t="s">
        <v>1657</v>
      </c>
      <c r="Q680" s="811" t="s">
        <v>1705</v>
      </c>
    </row>
    <row r="681" spans="1:17" x14ac:dyDescent="0.25">
      <c r="A681" s="811" t="s">
        <v>1649</v>
      </c>
      <c r="B681" s="811" t="s">
        <v>2457</v>
      </c>
      <c r="C681" s="812">
        <v>18000000</v>
      </c>
      <c r="D681" s="811" t="s">
        <v>1449</v>
      </c>
      <c r="E681" s="811" t="s">
        <v>1449</v>
      </c>
      <c r="F681" s="811" t="s">
        <v>1718</v>
      </c>
      <c r="G681" s="811" t="s">
        <v>1652</v>
      </c>
      <c r="H681" s="811" t="s">
        <v>1653</v>
      </c>
      <c r="I681" s="811" t="s">
        <v>1654</v>
      </c>
      <c r="J681" s="813">
        <v>18000000</v>
      </c>
      <c r="K681" s="811" t="s">
        <v>1655</v>
      </c>
      <c r="L681" s="811" t="s">
        <v>1212</v>
      </c>
      <c r="M681" s="811" t="s">
        <v>1635</v>
      </c>
      <c r="N681" s="811" t="s">
        <v>1635</v>
      </c>
      <c r="O681" s="811" t="s">
        <v>1769</v>
      </c>
      <c r="P681" s="811" t="s">
        <v>1657</v>
      </c>
      <c r="Q681" s="811" t="s">
        <v>1705</v>
      </c>
    </row>
    <row r="682" spans="1:17" x14ac:dyDescent="0.25">
      <c r="A682" s="811" t="s">
        <v>1649</v>
      </c>
      <c r="B682" s="811" t="s">
        <v>2458</v>
      </c>
      <c r="C682" s="812">
        <v>55000000</v>
      </c>
      <c r="D682" s="811" t="s">
        <v>1449</v>
      </c>
      <c r="E682" s="811" t="s">
        <v>1449</v>
      </c>
      <c r="F682" s="811" t="s">
        <v>1685</v>
      </c>
      <c r="G682" s="811" t="s">
        <v>1652</v>
      </c>
      <c r="H682" s="811" t="s">
        <v>1653</v>
      </c>
      <c r="I682" s="811" t="s">
        <v>1654</v>
      </c>
      <c r="J682" s="813">
        <v>55000000</v>
      </c>
      <c r="K682" s="811" t="s">
        <v>1655</v>
      </c>
      <c r="L682" s="811" t="s">
        <v>1212</v>
      </c>
      <c r="M682" s="811" t="s">
        <v>1635</v>
      </c>
      <c r="N682" s="811" t="s">
        <v>1635</v>
      </c>
      <c r="O682" s="811" t="s">
        <v>1769</v>
      </c>
      <c r="P682" s="811" t="s">
        <v>1657</v>
      </c>
      <c r="Q682" s="811" t="s">
        <v>1705</v>
      </c>
    </row>
    <row r="683" spans="1:17" x14ac:dyDescent="0.25">
      <c r="A683" s="811" t="s">
        <v>1649</v>
      </c>
      <c r="B683" s="811" t="s">
        <v>2459</v>
      </c>
      <c r="C683" s="812">
        <v>52833333</v>
      </c>
      <c r="D683" s="811" t="s">
        <v>1449</v>
      </c>
      <c r="E683" s="811" t="s">
        <v>1449</v>
      </c>
      <c r="F683" s="811" t="s">
        <v>1689</v>
      </c>
      <c r="G683" s="811" t="s">
        <v>1652</v>
      </c>
      <c r="H683" s="811" t="s">
        <v>1653</v>
      </c>
      <c r="I683" s="811" t="s">
        <v>1654</v>
      </c>
      <c r="J683" s="813">
        <v>52833333</v>
      </c>
      <c r="K683" s="811" t="s">
        <v>1655</v>
      </c>
      <c r="L683" s="811" t="s">
        <v>1212</v>
      </c>
      <c r="M683" s="811" t="s">
        <v>1635</v>
      </c>
      <c r="N683" s="811" t="s">
        <v>1635</v>
      </c>
      <c r="O683" s="811" t="s">
        <v>1769</v>
      </c>
      <c r="P683" s="811" t="s">
        <v>1657</v>
      </c>
      <c r="Q683" s="811" t="s">
        <v>1705</v>
      </c>
    </row>
    <row r="684" spans="1:17" x14ac:dyDescent="0.25">
      <c r="A684" s="811" t="s">
        <v>1649</v>
      </c>
      <c r="B684" s="811" t="s">
        <v>2460</v>
      </c>
      <c r="C684" s="812">
        <v>60282833</v>
      </c>
      <c r="D684" s="811" t="s">
        <v>1449</v>
      </c>
      <c r="E684" s="811" t="s">
        <v>1449</v>
      </c>
      <c r="F684" s="811" t="s">
        <v>1689</v>
      </c>
      <c r="G684" s="811" t="s">
        <v>1652</v>
      </c>
      <c r="H684" s="811" t="s">
        <v>1653</v>
      </c>
      <c r="I684" s="811" t="s">
        <v>1654</v>
      </c>
      <c r="J684" s="813">
        <v>60282833</v>
      </c>
      <c r="K684" s="811" t="s">
        <v>1655</v>
      </c>
      <c r="L684" s="811" t="s">
        <v>1212</v>
      </c>
      <c r="M684" s="811" t="s">
        <v>1635</v>
      </c>
      <c r="N684" s="811" t="s">
        <v>1635</v>
      </c>
      <c r="O684" s="811" t="s">
        <v>1769</v>
      </c>
      <c r="P684" s="811" t="s">
        <v>1657</v>
      </c>
      <c r="Q684" s="811" t="s">
        <v>1705</v>
      </c>
    </row>
    <row r="685" spans="1:17" x14ac:dyDescent="0.25">
      <c r="A685" s="811" t="s">
        <v>1649</v>
      </c>
      <c r="B685" s="811" t="s">
        <v>2057</v>
      </c>
      <c r="C685" s="812">
        <v>54661018</v>
      </c>
      <c r="D685" s="811" t="s">
        <v>1440</v>
      </c>
      <c r="E685" s="811" t="s">
        <v>1440</v>
      </c>
      <c r="F685" s="811" t="s">
        <v>1672</v>
      </c>
      <c r="G685" s="811" t="s">
        <v>1652</v>
      </c>
      <c r="H685" s="811" t="s">
        <v>1653</v>
      </c>
      <c r="I685" s="811" t="s">
        <v>1654</v>
      </c>
      <c r="J685" s="813">
        <v>54661018</v>
      </c>
      <c r="K685" s="811" t="s">
        <v>1655</v>
      </c>
      <c r="L685" s="811" t="s">
        <v>1212</v>
      </c>
      <c r="M685" s="811" t="s">
        <v>1635</v>
      </c>
      <c r="N685" s="811" t="s">
        <v>1635</v>
      </c>
      <c r="O685" s="811" t="s">
        <v>1769</v>
      </c>
      <c r="P685" s="811" t="s">
        <v>1657</v>
      </c>
      <c r="Q685" s="811" t="s">
        <v>1705</v>
      </c>
    </row>
    <row r="686" spans="1:17" x14ac:dyDescent="0.25">
      <c r="A686" s="811" t="s">
        <v>1649</v>
      </c>
      <c r="B686" s="811" t="s">
        <v>2461</v>
      </c>
      <c r="C686" s="812">
        <v>72000000</v>
      </c>
      <c r="D686" s="811" t="s">
        <v>1449</v>
      </c>
      <c r="E686" s="811" t="s">
        <v>1449</v>
      </c>
      <c r="F686" s="811" t="s">
        <v>1685</v>
      </c>
      <c r="G686" s="811" t="s">
        <v>1652</v>
      </c>
      <c r="H686" s="811" t="s">
        <v>1653</v>
      </c>
      <c r="I686" s="811" t="s">
        <v>1654</v>
      </c>
      <c r="J686" s="813">
        <v>72000000</v>
      </c>
      <c r="K686" s="811" t="s">
        <v>1655</v>
      </c>
      <c r="L686" s="811" t="s">
        <v>1212</v>
      </c>
      <c r="M686" s="811" t="s">
        <v>1635</v>
      </c>
      <c r="N686" s="811" t="s">
        <v>1635</v>
      </c>
      <c r="O686" s="811" t="s">
        <v>1769</v>
      </c>
      <c r="P686" s="811" t="s">
        <v>1657</v>
      </c>
      <c r="Q686" s="811" t="s">
        <v>1705</v>
      </c>
    </row>
    <row r="687" spans="1:17" x14ac:dyDescent="0.25">
      <c r="A687" s="811" t="s">
        <v>1649</v>
      </c>
      <c r="B687" s="811" t="s">
        <v>2462</v>
      </c>
      <c r="C687" s="812">
        <v>77500000</v>
      </c>
      <c r="D687" s="811" t="s">
        <v>1449</v>
      </c>
      <c r="E687" s="811" t="s">
        <v>1449</v>
      </c>
      <c r="F687" s="811" t="s">
        <v>1689</v>
      </c>
      <c r="G687" s="811" t="s">
        <v>1652</v>
      </c>
      <c r="H687" s="811" t="s">
        <v>1653</v>
      </c>
      <c r="I687" s="811" t="s">
        <v>1654</v>
      </c>
      <c r="J687" s="813">
        <v>77500000</v>
      </c>
      <c r="K687" s="811" t="s">
        <v>1655</v>
      </c>
      <c r="L687" s="811" t="s">
        <v>1212</v>
      </c>
      <c r="M687" s="811" t="s">
        <v>1635</v>
      </c>
      <c r="N687" s="811" t="s">
        <v>1635</v>
      </c>
      <c r="O687" s="811" t="s">
        <v>1769</v>
      </c>
      <c r="P687" s="811" t="s">
        <v>1657</v>
      </c>
      <c r="Q687" s="811" t="s">
        <v>1705</v>
      </c>
    </row>
    <row r="688" spans="1:17" x14ac:dyDescent="0.25">
      <c r="A688" s="811" t="s">
        <v>1967</v>
      </c>
      <c r="B688" s="811" t="s">
        <v>2463</v>
      </c>
      <c r="C688" s="812">
        <v>5580000000</v>
      </c>
      <c r="D688" s="811" t="s">
        <v>1446</v>
      </c>
      <c r="E688" s="811" t="s">
        <v>1453</v>
      </c>
      <c r="F688" s="811" t="s">
        <v>1718</v>
      </c>
      <c r="G688" s="811" t="s">
        <v>1652</v>
      </c>
      <c r="H688" s="811" t="s">
        <v>1784</v>
      </c>
      <c r="I688" s="811" t="s">
        <v>1654</v>
      </c>
      <c r="J688" s="813">
        <v>5580000000</v>
      </c>
      <c r="K688" s="811" t="s">
        <v>1655</v>
      </c>
      <c r="L688" s="811" t="s">
        <v>1212</v>
      </c>
      <c r="M688" s="811" t="s">
        <v>1635</v>
      </c>
      <c r="N688" s="811" t="s">
        <v>1635</v>
      </c>
      <c r="O688" s="811" t="s">
        <v>1686</v>
      </c>
      <c r="P688" s="811" t="s">
        <v>1657</v>
      </c>
      <c r="Q688" s="811" t="s">
        <v>1658</v>
      </c>
    </row>
    <row r="689" spans="1:17" x14ac:dyDescent="0.25">
      <c r="A689" s="811" t="s">
        <v>2464</v>
      </c>
      <c r="B689" s="811" t="s">
        <v>2465</v>
      </c>
      <c r="C689" s="812">
        <v>3720000000</v>
      </c>
      <c r="D689" s="811" t="s">
        <v>2161</v>
      </c>
      <c r="E689" s="811" t="s">
        <v>2161</v>
      </c>
      <c r="F689" s="811" t="s">
        <v>1662</v>
      </c>
      <c r="G689" s="811" t="s">
        <v>1652</v>
      </c>
      <c r="H689" s="811" t="s">
        <v>1653</v>
      </c>
      <c r="I689" s="811" t="s">
        <v>1654</v>
      </c>
      <c r="J689" s="813">
        <v>3720000000</v>
      </c>
      <c r="K689" s="811" t="s">
        <v>1655</v>
      </c>
      <c r="L689" s="811" t="s">
        <v>1212</v>
      </c>
      <c r="M689" s="811" t="s">
        <v>1635</v>
      </c>
      <c r="N689" s="811" t="s">
        <v>1635</v>
      </c>
      <c r="O689" s="811" t="s">
        <v>1686</v>
      </c>
      <c r="P689" s="811" t="s">
        <v>1657</v>
      </c>
      <c r="Q689" s="811" t="s">
        <v>1658</v>
      </c>
    </row>
    <row r="690" spans="1:17" x14ac:dyDescent="0.25">
      <c r="A690" s="811" t="s">
        <v>1649</v>
      </c>
      <c r="B690" s="811" t="s">
        <v>2466</v>
      </c>
      <c r="C690" s="812">
        <v>90000000</v>
      </c>
      <c r="D690" s="811" t="s">
        <v>1445</v>
      </c>
      <c r="E690" s="811" t="s">
        <v>1445</v>
      </c>
      <c r="F690" s="811" t="s">
        <v>1662</v>
      </c>
      <c r="G690" s="811" t="s">
        <v>1652</v>
      </c>
      <c r="H690" s="811" t="s">
        <v>1653</v>
      </c>
      <c r="I690" s="811" t="s">
        <v>1654</v>
      </c>
      <c r="J690" s="813">
        <v>90000000</v>
      </c>
      <c r="K690" s="811" t="s">
        <v>1655</v>
      </c>
      <c r="L690" s="811" t="s">
        <v>1212</v>
      </c>
      <c r="M690" s="811" t="s">
        <v>1635</v>
      </c>
      <c r="N690" s="811" t="s">
        <v>1635</v>
      </c>
      <c r="O690" s="811" t="s">
        <v>1729</v>
      </c>
      <c r="P690" s="811" t="s">
        <v>1657</v>
      </c>
      <c r="Q690" s="811" t="s">
        <v>1664</v>
      </c>
    </row>
    <row r="691" spans="1:17" x14ac:dyDescent="0.25">
      <c r="A691" s="811" t="s">
        <v>1649</v>
      </c>
      <c r="B691" s="811" t="s">
        <v>2467</v>
      </c>
      <c r="C691" s="812">
        <v>90000000</v>
      </c>
      <c r="D691" s="811" t="s">
        <v>1445</v>
      </c>
      <c r="E691" s="811" t="s">
        <v>1445</v>
      </c>
      <c r="F691" s="811" t="s">
        <v>1662</v>
      </c>
      <c r="G691" s="811" t="s">
        <v>1652</v>
      </c>
      <c r="H691" s="811" t="s">
        <v>1653</v>
      </c>
      <c r="I691" s="811" t="s">
        <v>1654</v>
      </c>
      <c r="J691" s="813">
        <v>90000000</v>
      </c>
      <c r="K691" s="811" t="s">
        <v>1655</v>
      </c>
      <c r="L691" s="811" t="s">
        <v>1212</v>
      </c>
      <c r="M691" s="811" t="s">
        <v>1635</v>
      </c>
      <c r="N691" s="811" t="s">
        <v>1635</v>
      </c>
      <c r="O691" s="811" t="s">
        <v>1729</v>
      </c>
      <c r="P691" s="811" t="s">
        <v>1657</v>
      </c>
      <c r="Q691" s="811" t="s">
        <v>1664</v>
      </c>
    </row>
    <row r="692" spans="1:17" x14ac:dyDescent="0.25">
      <c r="A692" s="811" t="s">
        <v>1649</v>
      </c>
      <c r="B692" s="811" t="s">
        <v>2468</v>
      </c>
      <c r="C692" s="812">
        <v>72000000</v>
      </c>
      <c r="D692" s="811" t="s">
        <v>1445</v>
      </c>
      <c r="E692" s="811" t="s">
        <v>1445</v>
      </c>
      <c r="F692" s="811" t="s">
        <v>1662</v>
      </c>
      <c r="G692" s="811" t="s">
        <v>1652</v>
      </c>
      <c r="H692" s="811" t="s">
        <v>1653</v>
      </c>
      <c r="I692" s="811" t="s">
        <v>1654</v>
      </c>
      <c r="J692" s="813">
        <v>72000000</v>
      </c>
      <c r="K692" s="811" t="s">
        <v>1655</v>
      </c>
      <c r="L692" s="811" t="s">
        <v>1212</v>
      </c>
      <c r="M692" s="811" t="s">
        <v>1635</v>
      </c>
      <c r="N692" s="811" t="s">
        <v>1635</v>
      </c>
      <c r="O692" s="811" t="s">
        <v>1729</v>
      </c>
      <c r="P692" s="811" t="s">
        <v>1657</v>
      </c>
      <c r="Q692" s="811" t="s">
        <v>1664</v>
      </c>
    </row>
    <row r="693" spans="1:17" x14ac:dyDescent="0.25">
      <c r="A693" s="811" t="s">
        <v>1649</v>
      </c>
      <c r="B693" s="811" t="s">
        <v>2469</v>
      </c>
      <c r="C693" s="812">
        <v>72000000</v>
      </c>
      <c r="D693" s="811" t="s">
        <v>1445</v>
      </c>
      <c r="E693" s="811" t="s">
        <v>1445</v>
      </c>
      <c r="F693" s="811" t="s">
        <v>1662</v>
      </c>
      <c r="G693" s="811" t="s">
        <v>1652</v>
      </c>
      <c r="H693" s="811" t="s">
        <v>1653</v>
      </c>
      <c r="I693" s="811" t="s">
        <v>1654</v>
      </c>
      <c r="J693" s="813">
        <v>72000000</v>
      </c>
      <c r="K693" s="811" t="s">
        <v>1655</v>
      </c>
      <c r="L693" s="811" t="s">
        <v>1212</v>
      </c>
      <c r="M693" s="811" t="s">
        <v>1635</v>
      </c>
      <c r="N693" s="811" t="s">
        <v>1635</v>
      </c>
      <c r="O693" s="811" t="s">
        <v>1729</v>
      </c>
      <c r="P693" s="811" t="s">
        <v>1657</v>
      </c>
      <c r="Q693" s="811" t="s">
        <v>1664</v>
      </c>
    </row>
    <row r="694" spans="1:17" x14ac:dyDescent="0.25">
      <c r="A694" s="811" t="s">
        <v>1649</v>
      </c>
      <c r="B694" s="811" t="s">
        <v>2470</v>
      </c>
      <c r="C694" s="812">
        <v>48000000</v>
      </c>
      <c r="D694" s="811" t="s">
        <v>1445</v>
      </c>
      <c r="E694" s="811" t="s">
        <v>1445</v>
      </c>
      <c r="F694" s="811" t="s">
        <v>1662</v>
      </c>
      <c r="G694" s="811" t="s">
        <v>1652</v>
      </c>
      <c r="H694" s="811" t="s">
        <v>1653</v>
      </c>
      <c r="I694" s="811" t="s">
        <v>1654</v>
      </c>
      <c r="J694" s="813">
        <v>48000000</v>
      </c>
      <c r="K694" s="811" t="s">
        <v>1655</v>
      </c>
      <c r="L694" s="811" t="s">
        <v>1212</v>
      </c>
      <c r="M694" s="811" t="s">
        <v>1635</v>
      </c>
      <c r="N694" s="811" t="s">
        <v>1635</v>
      </c>
      <c r="O694" s="811" t="s">
        <v>1729</v>
      </c>
      <c r="P694" s="811" t="s">
        <v>1657</v>
      </c>
      <c r="Q694" s="811" t="s">
        <v>1664</v>
      </c>
    </row>
    <row r="695" spans="1:17" x14ac:dyDescent="0.25">
      <c r="A695" s="811" t="s">
        <v>1649</v>
      </c>
      <c r="B695" s="811" t="s">
        <v>2471</v>
      </c>
      <c r="C695" s="812">
        <v>48000000</v>
      </c>
      <c r="D695" s="811" t="s">
        <v>1445</v>
      </c>
      <c r="E695" s="811" t="s">
        <v>1445</v>
      </c>
      <c r="F695" s="811" t="s">
        <v>1662</v>
      </c>
      <c r="G695" s="811" t="s">
        <v>1652</v>
      </c>
      <c r="H695" s="811" t="s">
        <v>1653</v>
      </c>
      <c r="I695" s="811" t="s">
        <v>1654</v>
      </c>
      <c r="J695" s="813">
        <v>48000000</v>
      </c>
      <c r="K695" s="811" t="s">
        <v>1655</v>
      </c>
      <c r="L695" s="811" t="s">
        <v>1212</v>
      </c>
      <c r="M695" s="811" t="s">
        <v>1635</v>
      </c>
      <c r="N695" s="811" t="s">
        <v>1635</v>
      </c>
      <c r="O695" s="811" t="s">
        <v>1729</v>
      </c>
      <c r="P695" s="811" t="s">
        <v>1657</v>
      </c>
      <c r="Q695" s="811" t="s">
        <v>1664</v>
      </c>
    </row>
    <row r="696" spans="1:17" x14ac:dyDescent="0.25">
      <c r="A696" s="811" t="s">
        <v>1649</v>
      </c>
      <c r="B696" s="811" t="s">
        <v>2472</v>
      </c>
      <c r="C696" s="812">
        <v>48000000</v>
      </c>
      <c r="D696" s="811" t="s">
        <v>1445</v>
      </c>
      <c r="E696" s="811" t="s">
        <v>1445</v>
      </c>
      <c r="F696" s="811" t="s">
        <v>1662</v>
      </c>
      <c r="G696" s="811" t="s">
        <v>1652</v>
      </c>
      <c r="H696" s="811" t="s">
        <v>1653</v>
      </c>
      <c r="I696" s="811" t="s">
        <v>1654</v>
      </c>
      <c r="J696" s="813">
        <v>48000000</v>
      </c>
      <c r="K696" s="811" t="s">
        <v>1655</v>
      </c>
      <c r="L696" s="811" t="s">
        <v>1212</v>
      </c>
      <c r="M696" s="811" t="s">
        <v>1635</v>
      </c>
      <c r="N696" s="811" t="s">
        <v>1635</v>
      </c>
      <c r="O696" s="811" t="s">
        <v>1729</v>
      </c>
      <c r="P696" s="811" t="s">
        <v>1657</v>
      </c>
      <c r="Q696" s="811" t="s">
        <v>1664</v>
      </c>
    </row>
    <row r="697" spans="1:17" x14ac:dyDescent="0.25">
      <c r="A697" s="811" t="s">
        <v>1649</v>
      </c>
      <c r="B697" s="811" t="s">
        <v>2473</v>
      </c>
      <c r="C697" s="812">
        <v>48000000</v>
      </c>
      <c r="D697" s="811" t="s">
        <v>1445</v>
      </c>
      <c r="E697" s="811" t="s">
        <v>1445</v>
      </c>
      <c r="F697" s="811" t="s">
        <v>1662</v>
      </c>
      <c r="G697" s="811" t="s">
        <v>1652</v>
      </c>
      <c r="H697" s="811" t="s">
        <v>1653</v>
      </c>
      <c r="I697" s="811" t="s">
        <v>1654</v>
      </c>
      <c r="J697" s="813">
        <v>48000000</v>
      </c>
      <c r="K697" s="811" t="s">
        <v>1655</v>
      </c>
      <c r="L697" s="811" t="s">
        <v>1212</v>
      </c>
      <c r="M697" s="811" t="s">
        <v>1635</v>
      </c>
      <c r="N697" s="811" t="s">
        <v>1635</v>
      </c>
      <c r="O697" s="811" t="s">
        <v>1729</v>
      </c>
      <c r="P697" s="811" t="s">
        <v>1657</v>
      </c>
      <c r="Q697" s="811" t="s">
        <v>1664</v>
      </c>
    </row>
    <row r="698" spans="1:17" x14ac:dyDescent="0.25">
      <c r="A698" s="811" t="s">
        <v>1649</v>
      </c>
      <c r="B698" s="811" t="s">
        <v>2474</v>
      </c>
      <c r="C698" s="812">
        <v>13625000</v>
      </c>
      <c r="D698" s="811" t="s">
        <v>1469</v>
      </c>
      <c r="E698" s="811" t="s">
        <v>1469</v>
      </c>
      <c r="F698" s="811" t="s">
        <v>1739</v>
      </c>
      <c r="G698" s="811" t="s">
        <v>1652</v>
      </c>
      <c r="H698" s="811" t="s">
        <v>1653</v>
      </c>
      <c r="I698" s="811" t="s">
        <v>1654</v>
      </c>
      <c r="J698" s="813">
        <v>13625000</v>
      </c>
      <c r="K698" s="811" t="s">
        <v>1655</v>
      </c>
      <c r="L698" s="811" t="s">
        <v>1212</v>
      </c>
      <c r="M698" s="811" t="s">
        <v>1635</v>
      </c>
      <c r="N698" s="811" t="s">
        <v>1635</v>
      </c>
      <c r="O698" s="811" t="s">
        <v>1667</v>
      </c>
      <c r="P698" s="811" t="s">
        <v>1657</v>
      </c>
      <c r="Q698" s="811" t="s">
        <v>1668</v>
      </c>
    </row>
    <row r="699" spans="1:17" x14ac:dyDescent="0.25">
      <c r="A699" s="811" t="s">
        <v>1649</v>
      </c>
      <c r="B699" s="811" t="s">
        <v>2475</v>
      </c>
      <c r="C699" s="812">
        <v>13625000</v>
      </c>
      <c r="D699" s="811" t="s">
        <v>1469</v>
      </c>
      <c r="E699" s="811" t="s">
        <v>1469</v>
      </c>
      <c r="F699" s="811" t="s">
        <v>1739</v>
      </c>
      <c r="G699" s="811" t="s">
        <v>1652</v>
      </c>
      <c r="H699" s="811" t="s">
        <v>1653</v>
      </c>
      <c r="I699" s="811" t="s">
        <v>1654</v>
      </c>
      <c r="J699" s="813">
        <v>13625000</v>
      </c>
      <c r="K699" s="811" t="s">
        <v>1655</v>
      </c>
      <c r="L699" s="811" t="s">
        <v>1212</v>
      </c>
      <c r="M699" s="811" t="s">
        <v>1635</v>
      </c>
      <c r="N699" s="811" t="s">
        <v>1635</v>
      </c>
      <c r="O699" s="811" t="s">
        <v>1667</v>
      </c>
      <c r="P699" s="811" t="s">
        <v>1657</v>
      </c>
      <c r="Q699" s="811" t="s">
        <v>1668</v>
      </c>
    </row>
    <row r="700" spans="1:17" x14ac:dyDescent="0.25">
      <c r="A700" s="811" t="s">
        <v>1649</v>
      </c>
      <c r="B700" s="811" t="s">
        <v>2476</v>
      </c>
      <c r="C700" s="812">
        <v>13625000</v>
      </c>
      <c r="D700" s="811" t="s">
        <v>1469</v>
      </c>
      <c r="E700" s="811" t="s">
        <v>1469</v>
      </c>
      <c r="F700" s="811" t="s">
        <v>1739</v>
      </c>
      <c r="G700" s="811" t="s">
        <v>1652</v>
      </c>
      <c r="H700" s="811" t="s">
        <v>1653</v>
      </c>
      <c r="I700" s="811" t="s">
        <v>1654</v>
      </c>
      <c r="J700" s="813">
        <v>13625000</v>
      </c>
      <c r="K700" s="811" t="s">
        <v>1655</v>
      </c>
      <c r="L700" s="811" t="s">
        <v>1212</v>
      </c>
      <c r="M700" s="811" t="s">
        <v>1635</v>
      </c>
      <c r="N700" s="811" t="s">
        <v>1635</v>
      </c>
      <c r="O700" s="811" t="s">
        <v>1667</v>
      </c>
      <c r="P700" s="811" t="s">
        <v>1657</v>
      </c>
      <c r="Q700" s="811" t="s">
        <v>1668</v>
      </c>
    </row>
    <row r="701" spans="1:17" x14ac:dyDescent="0.25">
      <c r="A701" s="811" t="s">
        <v>1649</v>
      </c>
      <c r="B701" s="811" t="s">
        <v>2477</v>
      </c>
      <c r="C701" s="812">
        <v>13625000</v>
      </c>
      <c r="D701" s="811" t="s">
        <v>1469</v>
      </c>
      <c r="E701" s="811" t="s">
        <v>1469</v>
      </c>
      <c r="F701" s="811" t="s">
        <v>1739</v>
      </c>
      <c r="G701" s="811" t="s">
        <v>1652</v>
      </c>
      <c r="H701" s="811" t="s">
        <v>1653</v>
      </c>
      <c r="I701" s="811" t="s">
        <v>1654</v>
      </c>
      <c r="J701" s="813">
        <v>13625000</v>
      </c>
      <c r="K701" s="811" t="s">
        <v>1655</v>
      </c>
      <c r="L701" s="811" t="s">
        <v>1212</v>
      </c>
      <c r="M701" s="811" t="s">
        <v>1635</v>
      </c>
      <c r="N701" s="811" t="s">
        <v>1635</v>
      </c>
      <c r="O701" s="811" t="s">
        <v>1667</v>
      </c>
      <c r="P701" s="811" t="s">
        <v>1657</v>
      </c>
      <c r="Q701" s="811" t="s">
        <v>1668</v>
      </c>
    </row>
    <row r="702" spans="1:17" x14ac:dyDescent="0.25">
      <c r="A702" s="811" t="s">
        <v>1649</v>
      </c>
      <c r="B702" s="811" t="s">
        <v>2478</v>
      </c>
      <c r="C702" s="812">
        <v>13625000</v>
      </c>
      <c r="D702" s="811" t="s">
        <v>1469</v>
      </c>
      <c r="E702" s="811" t="s">
        <v>1469</v>
      </c>
      <c r="F702" s="811" t="s">
        <v>1739</v>
      </c>
      <c r="G702" s="811" t="s">
        <v>1652</v>
      </c>
      <c r="H702" s="811" t="s">
        <v>1653</v>
      </c>
      <c r="I702" s="811" t="s">
        <v>1654</v>
      </c>
      <c r="J702" s="813">
        <v>13625000</v>
      </c>
      <c r="K702" s="811" t="s">
        <v>1655</v>
      </c>
      <c r="L702" s="811" t="s">
        <v>1212</v>
      </c>
      <c r="M702" s="811" t="s">
        <v>1635</v>
      </c>
      <c r="N702" s="811" t="s">
        <v>1635</v>
      </c>
      <c r="O702" s="811" t="s">
        <v>1667</v>
      </c>
      <c r="P702" s="811" t="s">
        <v>1657</v>
      </c>
      <c r="Q702" s="811" t="s">
        <v>1668</v>
      </c>
    </row>
    <row r="703" spans="1:17" x14ac:dyDescent="0.25">
      <c r="A703" s="811" t="s">
        <v>1649</v>
      </c>
      <c r="B703" s="811" t="s">
        <v>2479</v>
      </c>
      <c r="C703" s="812">
        <v>13625000</v>
      </c>
      <c r="D703" s="811" t="s">
        <v>1469</v>
      </c>
      <c r="E703" s="811" t="s">
        <v>1469</v>
      </c>
      <c r="F703" s="811" t="s">
        <v>1739</v>
      </c>
      <c r="G703" s="811" t="s">
        <v>1652</v>
      </c>
      <c r="H703" s="811" t="s">
        <v>1653</v>
      </c>
      <c r="I703" s="811" t="s">
        <v>1654</v>
      </c>
      <c r="J703" s="813">
        <v>13625000</v>
      </c>
      <c r="K703" s="811" t="s">
        <v>1655</v>
      </c>
      <c r="L703" s="811" t="s">
        <v>1212</v>
      </c>
      <c r="M703" s="811" t="s">
        <v>1635</v>
      </c>
      <c r="N703" s="811" t="s">
        <v>1635</v>
      </c>
      <c r="O703" s="811" t="s">
        <v>1667</v>
      </c>
      <c r="P703" s="811" t="s">
        <v>1657</v>
      </c>
      <c r="Q703" s="811" t="s">
        <v>1668</v>
      </c>
    </row>
    <row r="704" spans="1:17" x14ac:dyDescent="0.25">
      <c r="A704" s="811" t="s">
        <v>1649</v>
      </c>
      <c r="B704" s="811" t="s">
        <v>2480</v>
      </c>
      <c r="C704" s="812">
        <v>13625000</v>
      </c>
      <c r="D704" s="811" t="s">
        <v>1469</v>
      </c>
      <c r="E704" s="811" t="s">
        <v>1469</v>
      </c>
      <c r="F704" s="811" t="s">
        <v>1739</v>
      </c>
      <c r="G704" s="811" t="s">
        <v>1652</v>
      </c>
      <c r="H704" s="811" t="s">
        <v>1653</v>
      </c>
      <c r="I704" s="811" t="s">
        <v>1654</v>
      </c>
      <c r="J704" s="813">
        <v>13625000</v>
      </c>
      <c r="K704" s="811" t="s">
        <v>1655</v>
      </c>
      <c r="L704" s="811" t="s">
        <v>1212</v>
      </c>
      <c r="M704" s="811" t="s">
        <v>1635</v>
      </c>
      <c r="N704" s="811" t="s">
        <v>1635</v>
      </c>
      <c r="O704" s="811" t="s">
        <v>1667</v>
      </c>
      <c r="P704" s="811" t="s">
        <v>1657</v>
      </c>
      <c r="Q704" s="811" t="s">
        <v>1668</v>
      </c>
    </row>
    <row r="705" spans="1:17" x14ac:dyDescent="0.25">
      <c r="A705" s="811" t="s">
        <v>1649</v>
      </c>
      <c r="B705" s="811" t="s">
        <v>2481</v>
      </c>
      <c r="C705" s="812">
        <v>13625000</v>
      </c>
      <c r="D705" s="811" t="s">
        <v>1469</v>
      </c>
      <c r="E705" s="811" t="s">
        <v>1469</v>
      </c>
      <c r="F705" s="811" t="s">
        <v>1739</v>
      </c>
      <c r="G705" s="811" t="s">
        <v>1652</v>
      </c>
      <c r="H705" s="811" t="s">
        <v>1653</v>
      </c>
      <c r="I705" s="811" t="s">
        <v>1654</v>
      </c>
      <c r="J705" s="813">
        <v>13625000</v>
      </c>
      <c r="K705" s="811" t="s">
        <v>1655</v>
      </c>
      <c r="L705" s="811" t="s">
        <v>1212</v>
      </c>
      <c r="M705" s="811" t="s">
        <v>1635</v>
      </c>
      <c r="N705" s="811" t="s">
        <v>1635</v>
      </c>
      <c r="O705" s="811" t="s">
        <v>1667</v>
      </c>
      <c r="P705" s="811" t="s">
        <v>1657</v>
      </c>
      <c r="Q705" s="811" t="s">
        <v>1668</v>
      </c>
    </row>
    <row r="706" spans="1:17" x14ac:dyDescent="0.25">
      <c r="A706" s="811" t="s">
        <v>1649</v>
      </c>
      <c r="B706" s="811" t="s">
        <v>2482</v>
      </c>
      <c r="C706" s="812">
        <v>13625000</v>
      </c>
      <c r="D706" s="811" t="s">
        <v>1469</v>
      </c>
      <c r="E706" s="811" t="s">
        <v>1469</v>
      </c>
      <c r="F706" s="811" t="s">
        <v>1739</v>
      </c>
      <c r="G706" s="811" t="s">
        <v>1652</v>
      </c>
      <c r="H706" s="811" t="s">
        <v>1653</v>
      </c>
      <c r="I706" s="811" t="s">
        <v>1654</v>
      </c>
      <c r="J706" s="813">
        <v>13625000</v>
      </c>
      <c r="K706" s="811" t="s">
        <v>1655</v>
      </c>
      <c r="L706" s="811" t="s">
        <v>1212</v>
      </c>
      <c r="M706" s="811" t="s">
        <v>1635</v>
      </c>
      <c r="N706" s="811" t="s">
        <v>1635</v>
      </c>
      <c r="O706" s="811" t="s">
        <v>1667</v>
      </c>
      <c r="P706" s="811" t="s">
        <v>1657</v>
      </c>
      <c r="Q706" s="811" t="s">
        <v>1668</v>
      </c>
    </row>
    <row r="707" spans="1:17" x14ac:dyDescent="0.25">
      <c r="A707" s="811" t="s">
        <v>1649</v>
      </c>
      <c r="B707" s="811" t="s">
        <v>2483</v>
      </c>
      <c r="C707" s="812">
        <v>13625000</v>
      </c>
      <c r="D707" s="811" t="s">
        <v>1469</v>
      </c>
      <c r="E707" s="811" t="s">
        <v>1469</v>
      </c>
      <c r="F707" s="811" t="s">
        <v>1739</v>
      </c>
      <c r="G707" s="811" t="s">
        <v>1652</v>
      </c>
      <c r="H707" s="811" t="s">
        <v>1653</v>
      </c>
      <c r="I707" s="811" t="s">
        <v>1654</v>
      </c>
      <c r="J707" s="813">
        <v>13625000</v>
      </c>
      <c r="K707" s="811" t="s">
        <v>1655</v>
      </c>
      <c r="L707" s="811" t="s">
        <v>1212</v>
      </c>
      <c r="M707" s="811" t="s">
        <v>1635</v>
      </c>
      <c r="N707" s="811" t="s">
        <v>1635</v>
      </c>
      <c r="O707" s="811" t="s">
        <v>1667</v>
      </c>
      <c r="P707" s="811" t="s">
        <v>1657</v>
      </c>
      <c r="Q707" s="811" t="s">
        <v>1668</v>
      </c>
    </row>
    <row r="708" spans="1:17" x14ac:dyDescent="0.25">
      <c r="A708" s="811" t="s">
        <v>1649</v>
      </c>
      <c r="B708" s="811" t="s">
        <v>2484</v>
      </c>
      <c r="C708" s="812">
        <v>13625000</v>
      </c>
      <c r="D708" s="811" t="s">
        <v>1469</v>
      </c>
      <c r="E708" s="811" t="s">
        <v>1469</v>
      </c>
      <c r="F708" s="811" t="s">
        <v>1739</v>
      </c>
      <c r="G708" s="811" t="s">
        <v>1652</v>
      </c>
      <c r="H708" s="811" t="s">
        <v>1653</v>
      </c>
      <c r="I708" s="811" t="s">
        <v>1654</v>
      </c>
      <c r="J708" s="813">
        <v>13625000</v>
      </c>
      <c r="K708" s="811" t="s">
        <v>1655</v>
      </c>
      <c r="L708" s="811" t="s">
        <v>1212</v>
      </c>
      <c r="M708" s="811" t="s">
        <v>1635</v>
      </c>
      <c r="N708" s="811" t="s">
        <v>1635</v>
      </c>
      <c r="O708" s="811" t="s">
        <v>1667</v>
      </c>
      <c r="P708" s="811" t="s">
        <v>1657</v>
      </c>
      <c r="Q708" s="811" t="s">
        <v>1668</v>
      </c>
    </row>
    <row r="709" spans="1:17" x14ac:dyDescent="0.25">
      <c r="A709" s="811" t="s">
        <v>1649</v>
      </c>
      <c r="B709" s="811" t="s">
        <v>2485</v>
      </c>
      <c r="C709" s="812">
        <v>13625000</v>
      </c>
      <c r="D709" s="811" t="s">
        <v>1469</v>
      </c>
      <c r="E709" s="811" t="s">
        <v>1469</v>
      </c>
      <c r="F709" s="811" t="s">
        <v>1739</v>
      </c>
      <c r="G709" s="811" t="s">
        <v>1652</v>
      </c>
      <c r="H709" s="811" t="s">
        <v>1653</v>
      </c>
      <c r="I709" s="811" t="s">
        <v>1654</v>
      </c>
      <c r="J709" s="813">
        <v>13625000</v>
      </c>
      <c r="K709" s="811" t="s">
        <v>1655</v>
      </c>
      <c r="L709" s="811" t="s">
        <v>1212</v>
      </c>
      <c r="M709" s="811" t="s">
        <v>1635</v>
      </c>
      <c r="N709" s="811" t="s">
        <v>1635</v>
      </c>
      <c r="O709" s="811" t="s">
        <v>1667</v>
      </c>
      <c r="P709" s="811" t="s">
        <v>1657</v>
      </c>
      <c r="Q709" s="811" t="s">
        <v>1668</v>
      </c>
    </row>
    <row r="710" spans="1:17" x14ac:dyDescent="0.25">
      <c r="A710" s="811" t="s">
        <v>1649</v>
      </c>
      <c r="B710" s="811" t="s">
        <v>2486</v>
      </c>
      <c r="C710" s="812">
        <v>13625000</v>
      </c>
      <c r="D710" s="811" t="s">
        <v>1469</v>
      </c>
      <c r="E710" s="811" t="s">
        <v>1469</v>
      </c>
      <c r="F710" s="811" t="s">
        <v>1739</v>
      </c>
      <c r="G710" s="811" t="s">
        <v>1652</v>
      </c>
      <c r="H710" s="811" t="s">
        <v>1653</v>
      </c>
      <c r="I710" s="811" t="s">
        <v>1654</v>
      </c>
      <c r="J710" s="813">
        <v>13625000</v>
      </c>
      <c r="K710" s="811" t="s">
        <v>1655</v>
      </c>
      <c r="L710" s="811" t="s">
        <v>1212</v>
      </c>
      <c r="M710" s="811" t="s">
        <v>1635</v>
      </c>
      <c r="N710" s="811" t="s">
        <v>1635</v>
      </c>
      <c r="O710" s="811" t="s">
        <v>1667</v>
      </c>
      <c r="P710" s="811" t="s">
        <v>1657</v>
      </c>
      <c r="Q710" s="811" t="s">
        <v>1668</v>
      </c>
    </row>
    <row r="711" spans="1:17" x14ac:dyDescent="0.25">
      <c r="A711" s="811" t="s">
        <v>1649</v>
      </c>
      <c r="B711" s="811" t="s">
        <v>2487</v>
      </c>
      <c r="C711" s="812">
        <v>13625000</v>
      </c>
      <c r="D711" s="811" t="s">
        <v>1469</v>
      </c>
      <c r="E711" s="811" t="s">
        <v>1469</v>
      </c>
      <c r="F711" s="811" t="s">
        <v>1739</v>
      </c>
      <c r="G711" s="811" t="s">
        <v>1652</v>
      </c>
      <c r="H711" s="811" t="s">
        <v>1653</v>
      </c>
      <c r="I711" s="811" t="s">
        <v>1654</v>
      </c>
      <c r="J711" s="813">
        <v>13625000</v>
      </c>
      <c r="K711" s="811" t="s">
        <v>1655</v>
      </c>
      <c r="L711" s="811" t="s">
        <v>1212</v>
      </c>
      <c r="M711" s="811" t="s">
        <v>1635</v>
      </c>
      <c r="N711" s="811" t="s">
        <v>1635</v>
      </c>
      <c r="O711" s="811" t="s">
        <v>1667</v>
      </c>
      <c r="P711" s="811" t="s">
        <v>1657</v>
      </c>
      <c r="Q711" s="811" t="s">
        <v>1668</v>
      </c>
    </row>
    <row r="712" spans="1:17" x14ac:dyDescent="0.25">
      <c r="A712" s="811" t="s">
        <v>1649</v>
      </c>
      <c r="B712" s="811" t="s">
        <v>2488</v>
      </c>
      <c r="C712" s="812">
        <v>13625000</v>
      </c>
      <c r="D712" s="811" t="s">
        <v>1469</v>
      </c>
      <c r="E712" s="811" t="s">
        <v>1469</v>
      </c>
      <c r="F712" s="811" t="s">
        <v>1739</v>
      </c>
      <c r="G712" s="811" t="s">
        <v>1652</v>
      </c>
      <c r="H712" s="811" t="s">
        <v>1653</v>
      </c>
      <c r="I712" s="811" t="s">
        <v>1654</v>
      </c>
      <c r="J712" s="813">
        <v>13625000</v>
      </c>
      <c r="K712" s="811" t="s">
        <v>1655</v>
      </c>
      <c r="L712" s="811" t="s">
        <v>1212</v>
      </c>
      <c r="M712" s="811" t="s">
        <v>1635</v>
      </c>
      <c r="N712" s="811" t="s">
        <v>1635</v>
      </c>
      <c r="O712" s="811" t="s">
        <v>1667</v>
      </c>
      <c r="P712" s="811" t="s">
        <v>1657</v>
      </c>
      <c r="Q712" s="811" t="s">
        <v>1668</v>
      </c>
    </row>
    <row r="713" spans="1:17" x14ac:dyDescent="0.25">
      <c r="A713" s="811" t="s">
        <v>1649</v>
      </c>
      <c r="B713" s="811" t="s">
        <v>2489</v>
      </c>
      <c r="C713" s="812">
        <v>24950000</v>
      </c>
      <c r="D713" s="811" t="s">
        <v>1454</v>
      </c>
      <c r="E713" s="811" t="s">
        <v>1454</v>
      </c>
      <c r="F713" s="811" t="s">
        <v>1739</v>
      </c>
      <c r="G713" s="811" t="s">
        <v>1652</v>
      </c>
      <c r="H713" s="811" t="s">
        <v>1653</v>
      </c>
      <c r="I713" s="811" t="s">
        <v>1654</v>
      </c>
      <c r="J713" s="813">
        <v>24950000</v>
      </c>
      <c r="K713" s="811" t="s">
        <v>1655</v>
      </c>
      <c r="L713" s="811" t="s">
        <v>1212</v>
      </c>
      <c r="M713" s="811" t="s">
        <v>1635</v>
      </c>
      <c r="N713" s="811" t="s">
        <v>1635</v>
      </c>
      <c r="O713" s="811" t="s">
        <v>1696</v>
      </c>
      <c r="P713" s="811" t="s">
        <v>1657</v>
      </c>
      <c r="Q713" s="811" t="s">
        <v>1682</v>
      </c>
    </row>
    <row r="714" spans="1:17" x14ac:dyDescent="0.25">
      <c r="A714" s="811" t="s">
        <v>1649</v>
      </c>
      <c r="B714" s="811" t="s">
        <v>2490</v>
      </c>
      <c r="C714" s="812">
        <v>24000000</v>
      </c>
      <c r="D714" s="811" t="s">
        <v>1454</v>
      </c>
      <c r="E714" s="811" t="s">
        <v>1454</v>
      </c>
      <c r="F714" s="811" t="s">
        <v>1739</v>
      </c>
      <c r="G714" s="811" t="s">
        <v>1652</v>
      </c>
      <c r="H714" s="811" t="s">
        <v>1653</v>
      </c>
      <c r="I714" s="811" t="s">
        <v>1654</v>
      </c>
      <c r="J714" s="813">
        <v>24000000</v>
      </c>
      <c r="K714" s="811" t="s">
        <v>1655</v>
      </c>
      <c r="L714" s="811" t="s">
        <v>1212</v>
      </c>
      <c r="M714" s="811" t="s">
        <v>1635</v>
      </c>
      <c r="N714" s="811" t="s">
        <v>1635</v>
      </c>
      <c r="O714" s="811" t="s">
        <v>1696</v>
      </c>
      <c r="P714" s="811" t="s">
        <v>1657</v>
      </c>
      <c r="Q714" s="811" t="s">
        <v>1682</v>
      </c>
    </row>
    <row r="715" spans="1:17" x14ac:dyDescent="0.25">
      <c r="A715" s="811" t="s">
        <v>1649</v>
      </c>
      <c r="B715" s="811" t="s">
        <v>2491</v>
      </c>
      <c r="C715" s="812">
        <v>54000000</v>
      </c>
      <c r="D715" s="811" t="s">
        <v>1454</v>
      </c>
      <c r="E715" s="811" t="s">
        <v>1454</v>
      </c>
      <c r="F715" s="811" t="s">
        <v>1739</v>
      </c>
      <c r="G715" s="811" t="s">
        <v>1652</v>
      </c>
      <c r="H715" s="811" t="s">
        <v>1653</v>
      </c>
      <c r="I715" s="811" t="s">
        <v>1654</v>
      </c>
      <c r="J715" s="813">
        <v>54000000</v>
      </c>
      <c r="K715" s="811" t="s">
        <v>1655</v>
      </c>
      <c r="L715" s="811" t="s">
        <v>1212</v>
      </c>
      <c r="M715" s="811" t="s">
        <v>1635</v>
      </c>
      <c r="N715" s="811" t="s">
        <v>1635</v>
      </c>
      <c r="O715" s="811" t="s">
        <v>1696</v>
      </c>
      <c r="P715" s="811" t="s">
        <v>1657</v>
      </c>
      <c r="Q715" s="811" t="s">
        <v>1682</v>
      </c>
    </row>
    <row r="716" spans="1:17" x14ac:dyDescent="0.25">
      <c r="A716" s="811" t="s">
        <v>1649</v>
      </c>
      <c r="B716" s="811" t="s">
        <v>2492</v>
      </c>
      <c r="C716" s="812">
        <v>15900000</v>
      </c>
      <c r="D716" s="811" t="s">
        <v>1469</v>
      </c>
      <c r="E716" s="811" t="s">
        <v>1469</v>
      </c>
      <c r="F716" s="811" t="s">
        <v>1739</v>
      </c>
      <c r="G716" s="811" t="s">
        <v>1652</v>
      </c>
      <c r="H716" s="811" t="s">
        <v>1653</v>
      </c>
      <c r="I716" s="811" t="s">
        <v>1654</v>
      </c>
      <c r="J716" s="813">
        <v>15900000</v>
      </c>
      <c r="K716" s="811" t="s">
        <v>1655</v>
      </c>
      <c r="L716" s="811" t="s">
        <v>1212</v>
      </c>
      <c r="M716" s="811" t="s">
        <v>1635</v>
      </c>
      <c r="N716" s="811" t="s">
        <v>1635</v>
      </c>
      <c r="O716" s="811" t="s">
        <v>1793</v>
      </c>
      <c r="P716" s="811" t="s">
        <v>1657</v>
      </c>
      <c r="Q716" s="811" t="s">
        <v>1710</v>
      </c>
    </row>
    <row r="717" spans="1:17" x14ac:dyDescent="0.25">
      <c r="A717" s="811" t="s">
        <v>1649</v>
      </c>
      <c r="B717" s="811" t="s">
        <v>2493</v>
      </c>
      <c r="C717" s="812">
        <v>15900000</v>
      </c>
      <c r="D717" s="811" t="s">
        <v>1469</v>
      </c>
      <c r="E717" s="811" t="s">
        <v>1469</v>
      </c>
      <c r="F717" s="811" t="s">
        <v>1739</v>
      </c>
      <c r="G717" s="811" t="s">
        <v>1652</v>
      </c>
      <c r="H717" s="811" t="s">
        <v>1653</v>
      </c>
      <c r="I717" s="811" t="s">
        <v>1654</v>
      </c>
      <c r="J717" s="813">
        <v>15900000</v>
      </c>
      <c r="K717" s="811" t="s">
        <v>1655</v>
      </c>
      <c r="L717" s="811" t="s">
        <v>1212</v>
      </c>
      <c r="M717" s="811" t="s">
        <v>1635</v>
      </c>
      <c r="N717" s="811" t="s">
        <v>1635</v>
      </c>
      <c r="O717" s="811" t="s">
        <v>1793</v>
      </c>
      <c r="P717" s="811" t="s">
        <v>1657</v>
      </c>
      <c r="Q717" s="811" t="s">
        <v>1710</v>
      </c>
    </row>
    <row r="718" spans="1:17" x14ac:dyDescent="0.25">
      <c r="A718" s="811" t="s">
        <v>1649</v>
      </c>
      <c r="B718" s="811" t="s">
        <v>2494</v>
      </c>
      <c r="C718" s="812">
        <v>15900000</v>
      </c>
      <c r="D718" s="811" t="s">
        <v>1469</v>
      </c>
      <c r="E718" s="811" t="s">
        <v>1469</v>
      </c>
      <c r="F718" s="811" t="s">
        <v>1739</v>
      </c>
      <c r="G718" s="811" t="s">
        <v>1652</v>
      </c>
      <c r="H718" s="811" t="s">
        <v>1653</v>
      </c>
      <c r="I718" s="811" t="s">
        <v>1654</v>
      </c>
      <c r="J718" s="813">
        <v>15900000</v>
      </c>
      <c r="K718" s="811" t="s">
        <v>1655</v>
      </c>
      <c r="L718" s="811" t="s">
        <v>1212</v>
      </c>
      <c r="M718" s="811" t="s">
        <v>1635</v>
      </c>
      <c r="N718" s="811" t="s">
        <v>1635</v>
      </c>
      <c r="O718" s="811" t="s">
        <v>1793</v>
      </c>
      <c r="P718" s="811" t="s">
        <v>1657</v>
      </c>
      <c r="Q718" s="811" t="s">
        <v>1710</v>
      </c>
    </row>
    <row r="719" spans="1:17" x14ac:dyDescent="0.25">
      <c r="A719" s="811" t="s">
        <v>1649</v>
      </c>
      <c r="B719" s="811" t="s">
        <v>2495</v>
      </c>
      <c r="C719" s="812">
        <v>16000000</v>
      </c>
      <c r="D719" s="811" t="s">
        <v>1469</v>
      </c>
      <c r="E719" s="811" t="s">
        <v>1469</v>
      </c>
      <c r="F719" s="811" t="s">
        <v>1739</v>
      </c>
      <c r="G719" s="811" t="s">
        <v>1652</v>
      </c>
      <c r="H719" s="811" t="s">
        <v>1653</v>
      </c>
      <c r="I719" s="811" t="s">
        <v>1654</v>
      </c>
      <c r="J719" s="813">
        <v>16000000</v>
      </c>
      <c r="K719" s="811" t="s">
        <v>1655</v>
      </c>
      <c r="L719" s="811" t="s">
        <v>1212</v>
      </c>
      <c r="M719" s="811" t="s">
        <v>1635</v>
      </c>
      <c r="N719" s="811" t="s">
        <v>1635</v>
      </c>
      <c r="O719" s="811" t="s">
        <v>1793</v>
      </c>
      <c r="P719" s="811" t="s">
        <v>1657</v>
      </c>
      <c r="Q719" s="811" t="s">
        <v>1710</v>
      </c>
    </row>
    <row r="720" spans="1:17" x14ac:dyDescent="0.25">
      <c r="A720" s="811" t="s">
        <v>1649</v>
      </c>
      <c r="B720" s="811" t="s">
        <v>2496</v>
      </c>
      <c r="C720" s="812">
        <v>25000000</v>
      </c>
      <c r="D720" s="811" t="s">
        <v>1469</v>
      </c>
      <c r="E720" s="811" t="s">
        <v>1469</v>
      </c>
      <c r="F720" s="811" t="s">
        <v>1739</v>
      </c>
      <c r="G720" s="811" t="s">
        <v>1652</v>
      </c>
      <c r="H720" s="811" t="s">
        <v>1653</v>
      </c>
      <c r="I720" s="811" t="s">
        <v>1654</v>
      </c>
      <c r="J720" s="813">
        <v>25000000</v>
      </c>
      <c r="K720" s="811" t="s">
        <v>1655</v>
      </c>
      <c r="L720" s="811" t="s">
        <v>1212</v>
      </c>
      <c r="M720" s="811" t="s">
        <v>1635</v>
      </c>
      <c r="N720" s="811" t="s">
        <v>1635</v>
      </c>
      <c r="O720" s="811" t="s">
        <v>1793</v>
      </c>
      <c r="P720" s="811" t="s">
        <v>1657</v>
      </c>
      <c r="Q720" s="811" t="s">
        <v>1710</v>
      </c>
    </row>
    <row r="721" spans="1:17" x14ac:dyDescent="0.25">
      <c r="A721" s="811" t="s">
        <v>1649</v>
      </c>
      <c r="B721" s="811" t="s">
        <v>2497</v>
      </c>
      <c r="C721" s="812">
        <v>24500000</v>
      </c>
      <c r="D721" s="811" t="s">
        <v>1469</v>
      </c>
      <c r="E721" s="811" t="s">
        <v>1469</v>
      </c>
      <c r="F721" s="811" t="s">
        <v>1739</v>
      </c>
      <c r="G721" s="811" t="s">
        <v>1652</v>
      </c>
      <c r="H721" s="811" t="s">
        <v>1653</v>
      </c>
      <c r="I721" s="811" t="s">
        <v>1654</v>
      </c>
      <c r="J721" s="813">
        <v>24500000</v>
      </c>
      <c r="K721" s="811" t="s">
        <v>1655</v>
      </c>
      <c r="L721" s="811" t="s">
        <v>1212</v>
      </c>
      <c r="M721" s="811" t="s">
        <v>1635</v>
      </c>
      <c r="N721" s="811" t="s">
        <v>1635</v>
      </c>
      <c r="O721" s="811" t="s">
        <v>1793</v>
      </c>
      <c r="P721" s="811" t="s">
        <v>1657</v>
      </c>
      <c r="Q721" s="811" t="s">
        <v>1710</v>
      </c>
    </row>
    <row r="722" spans="1:17" x14ac:dyDescent="0.25">
      <c r="A722" s="811" t="s">
        <v>1649</v>
      </c>
      <c r="B722" s="811" t="s">
        <v>2498</v>
      </c>
      <c r="C722" s="812">
        <v>15900000</v>
      </c>
      <c r="D722" s="811" t="s">
        <v>1469</v>
      </c>
      <c r="E722" s="811" t="s">
        <v>1469</v>
      </c>
      <c r="F722" s="811" t="s">
        <v>1739</v>
      </c>
      <c r="G722" s="811" t="s">
        <v>1652</v>
      </c>
      <c r="H722" s="811" t="s">
        <v>1653</v>
      </c>
      <c r="I722" s="811" t="s">
        <v>1654</v>
      </c>
      <c r="J722" s="813">
        <v>15900000</v>
      </c>
      <c r="K722" s="811" t="s">
        <v>1655</v>
      </c>
      <c r="L722" s="811" t="s">
        <v>1212</v>
      </c>
      <c r="M722" s="811" t="s">
        <v>1635</v>
      </c>
      <c r="N722" s="811" t="s">
        <v>1635</v>
      </c>
      <c r="O722" s="811" t="s">
        <v>1793</v>
      </c>
      <c r="P722" s="811" t="s">
        <v>1657</v>
      </c>
      <c r="Q722" s="811" t="s">
        <v>1710</v>
      </c>
    </row>
    <row r="723" spans="1:17" x14ac:dyDescent="0.25">
      <c r="A723" s="811" t="s">
        <v>1649</v>
      </c>
      <c r="B723" s="811" t="s">
        <v>2499</v>
      </c>
      <c r="C723" s="812">
        <v>36345000</v>
      </c>
      <c r="D723" s="811" t="s">
        <v>1469</v>
      </c>
      <c r="E723" s="811" t="s">
        <v>1469</v>
      </c>
      <c r="F723" s="811" t="s">
        <v>1739</v>
      </c>
      <c r="G723" s="811" t="s">
        <v>1652</v>
      </c>
      <c r="H723" s="811" t="s">
        <v>1653</v>
      </c>
      <c r="I723" s="811" t="s">
        <v>1654</v>
      </c>
      <c r="J723" s="813">
        <v>36345000</v>
      </c>
      <c r="K723" s="811" t="s">
        <v>1655</v>
      </c>
      <c r="L723" s="811" t="s">
        <v>1212</v>
      </c>
      <c r="M723" s="811" t="s">
        <v>1635</v>
      </c>
      <c r="N723" s="811" t="s">
        <v>1635</v>
      </c>
      <c r="O723" s="811" t="s">
        <v>1793</v>
      </c>
      <c r="P723" s="811" t="s">
        <v>1657</v>
      </c>
      <c r="Q723" s="811" t="s">
        <v>1710</v>
      </c>
    </row>
    <row r="724" spans="1:17" x14ac:dyDescent="0.25">
      <c r="A724" s="811" t="s">
        <v>1649</v>
      </c>
      <c r="B724" s="811" t="s">
        <v>2500</v>
      </c>
      <c r="C724" s="812">
        <v>49608000</v>
      </c>
      <c r="D724" s="811" t="s">
        <v>1449</v>
      </c>
      <c r="E724" s="811" t="s">
        <v>1449</v>
      </c>
      <c r="F724" s="811" t="s">
        <v>1689</v>
      </c>
      <c r="G724" s="811" t="s">
        <v>1652</v>
      </c>
      <c r="H724" s="811" t="s">
        <v>1653</v>
      </c>
      <c r="I724" s="811" t="s">
        <v>1654</v>
      </c>
      <c r="J724" s="813">
        <v>49608000</v>
      </c>
      <c r="K724" s="811" t="s">
        <v>1655</v>
      </c>
      <c r="L724" s="811" t="s">
        <v>1212</v>
      </c>
      <c r="M724" s="811" t="s">
        <v>1635</v>
      </c>
      <c r="N724" s="811" t="s">
        <v>1635</v>
      </c>
      <c r="O724" s="811" t="s">
        <v>1686</v>
      </c>
      <c r="P724" s="811" t="s">
        <v>1657</v>
      </c>
      <c r="Q724" s="811" t="s">
        <v>1658</v>
      </c>
    </row>
    <row r="725" spans="1:17" x14ac:dyDescent="0.25">
      <c r="A725" s="811" t="s">
        <v>1649</v>
      </c>
      <c r="B725" s="811" t="s">
        <v>2501</v>
      </c>
      <c r="C725" s="812">
        <v>67500000</v>
      </c>
      <c r="D725" s="811" t="s">
        <v>1445</v>
      </c>
      <c r="E725" s="811" t="s">
        <v>1445</v>
      </c>
      <c r="F725" s="811" t="s">
        <v>1666</v>
      </c>
      <c r="G725" s="811" t="s">
        <v>1652</v>
      </c>
      <c r="H725" s="811" t="s">
        <v>1653</v>
      </c>
      <c r="I725" s="811" t="s">
        <v>1654</v>
      </c>
      <c r="J725" s="813">
        <v>67500000</v>
      </c>
      <c r="K725" s="811" t="s">
        <v>1655</v>
      </c>
      <c r="L725" s="811" t="s">
        <v>1212</v>
      </c>
      <c r="M725" s="811" t="s">
        <v>1635</v>
      </c>
      <c r="N725" s="811" t="s">
        <v>1635</v>
      </c>
      <c r="O725" s="811" t="s">
        <v>1704</v>
      </c>
      <c r="P725" s="811" t="s">
        <v>1657</v>
      </c>
      <c r="Q725" s="811" t="s">
        <v>1705</v>
      </c>
    </row>
    <row r="726" spans="1:17" x14ac:dyDescent="0.25">
      <c r="A726" s="811" t="s">
        <v>1649</v>
      </c>
      <c r="B726" s="811" t="s">
        <v>2502</v>
      </c>
      <c r="C726" s="812">
        <v>35550000</v>
      </c>
      <c r="D726" s="811" t="s">
        <v>1542</v>
      </c>
      <c r="E726" s="811" t="s">
        <v>1542</v>
      </c>
      <c r="F726" s="811" t="s">
        <v>1666</v>
      </c>
      <c r="G726" s="811" t="s">
        <v>1652</v>
      </c>
      <c r="H726" s="811" t="s">
        <v>1653</v>
      </c>
      <c r="I726" s="811" t="s">
        <v>1654</v>
      </c>
      <c r="J726" s="813">
        <v>35550000</v>
      </c>
      <c r="K726" s="811" t="s">
        <v>1655</v>
      </c>
      <c r="L726" s="811" t="s">
        <v>1212</v>
      </c>
      <c r="M726" s="811" t="s">
        <v>1635</v>
      </c>
      <c r="N726" s="811" t="s">
        <v>1635</v>
      </c>
      <c r="O726" s="811" t="s">
        <v>1704</v>
      </c>
      <c r="P726" s="811" t="s">
        <v>1657</v>
      </c>
      <c r="Q726" s="811" t="s">
        <v>1705</v>
      </c>
    </row>
    <row r="727" spans="1:17" x14ac:dyDescent="0.25">
      <c r="A727" s="811" t="s">
        <v>1649</v>
      </c>
      <c r="B727" s="811" t="s">
        <v>2503</v>
      </c>
      <c r="C727" s="812">
        <v>18800000</v>
      </c>
      <c r="D727" s="811" t="s">
        <v>1449</v>
      </c>
      <c r="E727" s="811" t="s">
        <v>1449</v>
      </c>
      <c r="F727" s="811" t="s">
        <v>1718</v>
      </c>
      <c r="G727" s="811" t="s">
        <v>1652</v>
      </c>
      <c r="H727" s="811" t="s">
        <v>1653</v>
      </c>
      <c r="I727" s="811" t="s">
        <v>1654</v>
      </c>
      <c r="J727" s="813">
        <v>18800000</v>
      </c>
      <c r="K727" s="811" t="s">
        <v>1655</v>
      </c>
      <c r="L727" s="811" t="s">
        <v>1212</v>
      </c>
      <c r="M727" s="811" t="s">
        <v>1635</v>
      </c>
      <c r="N727" s="811" t="s">
        <v>1635</v>
      </c>
      <c r="O727" s="811" t="s">
        <v>1704</v>
      </c>
      <c r="P727" s="811" t="s">
        <v>1657</v>
      </c>
      <c r="Q727" s="811" t="s">
        <v>1705</v>
      </c>
    </row>
    <row r="728" spans="1:17" x14ac:dyDescent="0.25">
      <c r="A728" s="811" t="s">
        <v>1649</v>
      </c>
      <c r="B728" s="811" t="s">
        <v>2504</v>
      </c>
      <c r="C728" s="812">
        <v>48000000</v>
      </c>
      <c r="D728" s="811" t="s">
        <v>1446</v>
      </c>
      <c r="E728" s="811" t="s">
        <v>1446</v>
      </c>
      <c r="F728" s="811" t="s">
        <v>1651</v>
      </c>
      <c r="G728" s="811" t="s">
        <v>1652</v>
      </c>
      <c r="H728" s="811" t="s">
        <v>1653</v>
      </c>
      <c r="I728" s="811" t="s">
        <v>1654</v>
      </c>
      <c r="J728" s="813">
        <v>48000000</v>
      </c>
      <c r="K728" s="811" t="s">
        <v>1655</v>
      </c>
      <c r="L728" s="811" t="s">
        <v>1212</v>
      </c>
      <c r="M728" s="811" t="s">
        <v>1635</v>
      </c>
      <c r="N728" s="811" t="s">
        <v>1635</v>
      </c>
      <c r="O728" s="811" t="s">
        <v>1704</v>
      </c>
      <c r="P728" s="811" t="s">
        <v>1657</v>
      </c>
      <c r="Q728" s="811" t="s">
        <v>1705</v>
      </c>
    </row>
    <row r="729" spans="1:17" x14ac:dyDescent="0.25">
      <c r="A729" s="811" t="s">
        <v>1649</v>
      </c>
      <c r="B729" s="811" t="s">
        <v>2505</v>
      </c>
      <c r="C729" s="812">
        <v>20000000</v>
      </c>
      <c r="D729" s="811" t="s">
        <v>1449</v>
      </c>
      <c r="E729" s="811" t="s">
        <v>1449</v>
      </c>
      <c r="F729" s="811" t="s">
        <v>1718</v>
      </c>
      <c r="G729" s="811" t="s">
        <v>1652</v>
      </c>
      <c r="H729" s="811" t="s">
        <v>1653</v>
      </c>
      <c r="I729" s="811" t="s">
        <v>1654</v>
      </c>
      <c r="J729" s="813">
        <v>20000000</v>
      </c>
      <c r="K729" s="811" t="s">
        <v>1655</v>
      </c>
      <c r="L729" s="811" t="s">
        <v>1212</v>
      </c>
      <c r="M729" s="811" t="s">
        <v>1635</v>
      </c>
      <c r="N729" s="811" t="s">
        <v>1635</v>
      </c>
      <c r="O729" s="811" t="s">
        <v>1704</v>
      </c>
      <c r="P729" s="811" t="s">
        <v>1657</v>
      </c>
      <c r="Q729" s="811" t="s">
        <v>1705</v>
      </c>
    </row>
    <row r="730" spans="1:17" x14ac:dyDescent="0.25">
      <c r="A730" s="811" t="s">
        <v>1649</v>
      </c>
      <c r="B730" s="811" t="s">
        <v>2506</v>
      </c>
      <c r="C730" s="812">
        <v>52500000</v>
      </c>
      <c r="D730" s="811" t="s">
        <v>1446</v>
      </c>
      <c r="E730" s="811" t="s">
        <v>1446</v>
      </c>
      <c r="F730" s="811" t="s">
        <v>1698</v>
      </c>
      <c r="G730" s="811" t="s">
        <v>1652</v>
      </c>
      <c r="H730" s="811" t="s">
        <v>1653</v>
      </c>
      <c r="I730" s="811" t="s">
        <v>1654</v>
      </c>
      <c r="J730" s="813">
        <v>52500000</v>
      </c>
      <c r="K730" s="811" t="s">
        <v>1655</v>
      </c>
      <c r="L730" s="811" t="s">
        <v>1212</v>
      </c>
      <c r="M730" s="811" t="s">
        <v>1635</v>
      </c>
      <c r="N730" s="811" t="s">
        <v>1635</v>
      </c>
      <c r="O730" s="811" t="s">
        <v>1704</v>
      </c>
      <c r="P730" s="811" t="s">
        <v>1657</v>
      </c>
      <c r="Q730" s="811" t="s">
        <v>1705</v>
      </c>
    </row>
    <row r="731" spans="1:17" x14ac:dyDescent="0.25">
      <c r="A731" s="811" t="s">
        <v>1649</v>
      </c>
      <c r="B731" s="811" t="s">
        <v>2507</v>
      </c>
      <c r="C731" s="812">
        <v>27000000</v>
      </c>
      <c r="D731" s="811" t="s">
        <v>1445</v>
      </c>
      <c r="E731" s="811" t="s">
        <v>1445</v>
      </c>
      <c r="F731" s="811" t="s">
        <v>1666</v>
      </c>
      <c r="G731" s="811" t="s">
        <v>1652</v>
      </c>
      <c r="H731" s="811" t="s">
        <v>1653</v>
      </c>
      <c r="I731" s="811" t="s">
        <v>1654</v>
      </c>
      <c r="J731" s="813">
        <v>27000000</v>
      </c>
      <c r="K731" s="811" t="s">
        <v>1655</v>
      </c>
      <c r="L731" s="811" t="s">
        <v>1212</v>
      </c>
      <c r="M731" s="811" t="s">
        <v>1635</v>
      </c>
      <c r="N731" s="811" t="s">
        <v>1635</v>
      </c>
      <c r="O731" s="811" t="s">
        <v>1704</v>
      </c>
      <c r="P731" s="811" t="s">
        <v>1657</v>
      </c>
      <c r="Q731" s="811" t="s">
        <v>1705</v>
      </c>
    </row>
    <row r="732" spans="1:17" x14ac:dyDescent="0.25">
      <c r="A732" s="811" t="s">
        <v>1649</v>
      </c>
      <c r="B732" s="811" t="s">
        <v>2508</v>
      </c>
      <c r="C732" s="812">
        <v>33900000</v>
      </c>
      <c r="D732" s="811" t="s">
        <v>1440</v>
      </c>
      <c r="E732" s="811" t="s">
        <v>1440</v>
      </c>
      <c r="F732" s="811" t="s">
        <v>1672</v>
      </c>
      <c r="G732" s="811" t="s">
        <v>1652</v>
      </c>
      <c r="H732" s="811" t="s">
        <v>1653</v>
      </c>
      <c r="I732" s="811" t="s">
        <v>1654</v>
      </c>
      <c r="J732" s="813">
        <v>33900000</v>
      </c>
      <c r="K732" s="811" t="s">
        <v>1655</v>
      </c>
      <c r="L732" s="811" t="s">
        <v>1212</v>
      </c>
      <c r="M732" s="811" t="s">
        <v>1635</v>
      </c>
      <c r="N732" s="811" t="s">
        <v>1635</v>
      </c>
      <c r="O732" s="811" t="s">
        <v>1704</v>
      </c>
      <c r="P732" s="811" t="s">
        <v>1657</v>
      </c>
      <c r="Q732" s="811" t="s">
        <v>1705</v>
      </c>
    </row>
    <row r="733" spans="1:17" x14ac:dyDescent="0.25">
      <c r="A733" s="811" t="s">
        <v>1649</v>
      </c>
      <c r="B733" s="811" t="s">
        <v>2509</v>
      </c>
      <c r="C733" s="812">
        <v>72000000</v>
      </c>
      <c r="D733" s="811" t="s">
        <v>1445</v>
      </c>
      <c r="E733" s="811" t="s">
        <v>1445</v>
      </c>
      <c r="F733" s="811" t="s">
        <v>1666</v>
      </c>
      <c r="G733" s="811" t="s">
        <v>1652</v>
      </c>
      <c r="H733" s="811" t="s">
        <v>1653</v>
      </c>
      <c r="I733" s="811" t="s">
        <v>1654</v>
      </c>
      <c r="J733" s="813">
        <v>72000000</v>
      </c>
      <c r="K733" s="811" t="s">
        <v>1655</v>
      </c>
      <c r="L733" s="811" t="s">
        <v>1212</v>
      </c>
      <c r="M733" s="811" t="s">
        <v>1635</v>
      </c>
      <c r="N733" s="811" t="s">
        <v>1635</v>
      </c>
      <c r="O733" s="811" t="s">
        <v>1704</v>
      </c>
      <c r="P733" s="811" t="s">
        <v>1657</v>
      </c>
      <c r="Q733" s="811" t="s">
        <v>1705</v>
      </c>
    </row>
    <row r="734" spans="1:17" x14ac:dyDescent="0.25">
      <c r="A734" s="811" t="s">
        <v>1649</v>
      </c>
      <c r="B734" s="811" t="s">
        <v>2510</v>
      </c>
      <c r="C734" s="812">
        <v>52000000</v>
      </c>
      <c r="D734" s="811" t="s">
        <v>1445</v>
      </c>
      <c r="E734" s="811" t="s">
        <v>1445</v>
      </c>
      <c r="F734" s="811" t="s">
        <v>1651</v>
      </c>
      <c r="G734" s="811" t="s">
        <v>1652</v>
      </c>
      <c r="H734" s="811" t="s">
        <v>1653</v>
      </c>
      <c r="I734" s="811" t="s">
        <v>1654</v>
      </c>
      <c r="J734" s="813">
        <v>52000000</v>
      </c>
      <c r="K734" s="811" t="s">
        <v>1655</v>
      </c>
      <c r="L734" s="811" t="s">
        <v>1212</v>
      </c>
      <c r="M734" s="811" t="s">
        <v>1635</v>
      </c>
      <c r="N734" s="811" t="s">
        <v>1635</v>
      </c>
      <c r="O734" s="811" t="s">
        <v>1729</v>
      </c>
      <c r="P734" s="811" t="s">
        <v>1657</v>
      </c>
      <c r="Q734" s="811" t="s">
        <v>1664</v>
      </c>
    </row>
    <row r="735" spans="1:17" x14ac:dyDescent="0.25">
      <c r="A735" s="811" t="s">
        <v>1649</v>
      </c>
      <c r="B735" s="811" t="s">
        <v>2511</v>
      </c>
      <c r="C735" s="812">
        <v>22400000</v>
      </c>
      <c r="D735" s="811" t="s">
        <v>1445</v>
      </c>
      <c r="E735" s="811" t="s">
        <v>1445</v>
      </c>
      <c r="F735" s="811" t="s">
        <v>1651</v>
      </c>
      <c r="G735" s="811" t="s">
        <v>1652</v>
      </c>
      <c r="H735" s="811" t="s">
        <v>1653</v>
      </c>
      <c r="I735" s="811" t="s">
        <v>1654</v>
      </c>
      <c r="J735" s="813">
        <v>22400000</v>
      </c>
      <c r="K735" s="811" t="s">
        <v>1655</v>
      </c>
      <c r="L735" s="811" t="s">
        <v>1212</v>
      </c>
      <c r="M735" s="811" t="s">
        <v>1635</v>
      </c>
      <c r="N735" s="811" t="s">
        <v>1635</v>
      </c>
      <c r="O735" s="811" t="s">
        <v>1729</v>
      </c>
      <c r="P735" s="811" t="s">
        <v>1657</v>
      </c>
      <c r="Q735" s="811" t="s">
        <v>1664</v>
      </c>
    </row>
    <row r="736" spans="1:17" x14ac:dyDescent="0.25">
      <c r="A736" s="811" t="s">
        <v>1649</v>
      </c>
      <c r="B736" s="811" t="s">
        <v>2512</v>
      </c>
      <c r="C736" s="812">
        <v>90000000</v>
      </c>
      <c r="D736" s="811" t="s">
        <v>1445</v>
      </c>
      <c r="E736" s="811" t="s">
        <v>1445</v>
      </c>
      <c r="F736" s="811" t="s">
        <v>1685</v>
      </c>
      <c r="G736" s="811" t="s">
        <v>1652</v>
      </c>
      <c r="H736" s="811" t="s">
        <v>1653</v>
      </c>
      <c r="I736" s="811" t="s">
        <v>1654</v>
      </c>
      <c r="J736" s="813">
        <v>90000000</v>
      </c>
      <c r="K736" s="811" t="s">
        <v>1655</v>
      </c>
      <c r="L736" s="811" t="s">
        <v>1212</v>
      </c>
      <c r="M736" s="811" t="s">
        <v>1635</v>
      </c>
      <c r="N736" s="811" t="s">
        <v>1635</v>
      </c>
      <c r="O736" s="811" t="s">
        <v>1729</v>
      </c>
      <c r="P736" s="811" t="s">
        <v>1657</v>
      </c>
      <c r="Q736" s="811" t="s">
        <v>1664</v>
      </c>
    </row>
    <row r="737" spans="1:17" x14ac:dyDescent="0.25">
      <c r="A737" s="811" t="s">
        <v>1649</v>
      </c>
      <c r="B737" s="811" t="s">
        <v>2513</v>
      </c>
      <c r="C737" s="812">
        <v>21804000</v>
      </c>
      <c r="D737" s="811" t="s">
        <v>1454</v>
      </c>
      <c r="E737" s="811" t="s">
        <v>1454</v>
      </c>
      <c r="F737" s="811" t="s">
        <v>1662</v>
      </c>
      <c r="G737" s="811" t="s">
        <v>1652</v>
      </c>
      <c r="H737" s="811" t="s">
        <v>1653</v>
      </c>
      <c r="I737" s="811" t="s">
        <v>1654</v>
      </c>
      <c r="J737" s="813">
        <v>21804000</v>
      </c>
      <c r="K737" s="811" t="s">
        <v>1655</v>
      </c>
      <c r="L737" s="811" t="s">
        <v>1212</v>
      </c>
      <c r="M737" s="811" t="s">
        <v>1635</v>
      </c>
      <c r="N737" s="811" t="s">
        <v>1635</v>
      </c>
      <c r="O737" s="811" t="s">
        <v>1769</v>
      </c>
      <c r="P737" s="811" t="s">
        <v>1657</v>
      </c>
      <c r="Q737" s="811" t="s">
        <v>1705</v>
      </c>
    </row>
    <row r="738" spans="1:17" x14ac:dyDescent="0.25">
      <c r="A738" s="811" t="s">
        <v>1649</v>
      </c>
      <c r="B738" s="811" t="s">
        <v>2514</v>
      </c>
      <c r="C738" s="812">
        <v>21000000</v>
      </c>
      <c r="D738" s="811" t="s">
        <v>1453</v>
      </c>
      <c r="E738" s="811" t="s">
        <v>1453</v>
      </c>
      <c r="F738" s="811" t="s">
        <v>1698</v>
      </c>
      <c r="G738" s="811" t="s">
        <v>1652</v>
      </c>
      <c r="H738" s="811" t="s">
        <v>1653</v>
      </c>
      <c r="I738" s="811" t="s">
        <v>1654</v>
      </c>
      <c r="J738" s="813">
        <v>21000000</v>
      </c>
      <c r="K738" s="811" t="s">
        <v>1655</v>
      </c>
      <c r="L738" s="811" t="s">
        <v>1212</v>
      </c>
      <c r="M738" s="811" t="s">
        <v>1635</v>
      </c>
      <c r="N738" s="811" t="s">
        <v>1635</v>
      </c>
      <c r="O738" s="811" t="s">
        <v>1769</v>
      </c>
      <c r="P738" s="811" t="s">
        <v>1657</v>
      </c>
      <c r="Q738" s="811" t="s">
        <v>1705</v>
      </c>
    </row>
    <row r="740" spans="1:17" x14ac:dyDescent="0.25">
      <c r="C740" s="815">
        <f>SUBTOTAL(9,C6:C739)</f>
        <v>156031739796</v>
      </c>
    </row>
  </sheetData>
  <autoFilter ref="A2:R2"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2578125" defaultRowHeight="15" x14ac:dyDescent="0.25"/>
  <cols>
    <col min="1" max="1" width="15.85546875" style="476" customWidth="1"/>
    <col min="2" max="2" width="17" style="477" customWidth="1"/>
    <col min="3" max="3" width="13" style="212" customWidth="1"/>
    <col min="4" max="4" width="11.42578125" style="478" customWidth="1"/>
    <col min="5" max="5" width="16.42578125" style="478" customWidth="1"/>
    <col min="6" max="6" width="11.42578125" style="479" customWidth="1"/>
    <col min="7" max="7" width="23.140625" style="478" customWidth="1"/>
    <col min="8" max="8" width="11.42578125" style="212" customWidth="1"/>
    <col min="9" max="9" width="27.5703125" style="212" customWidth="1"/>
    <col min="10" max="10" width="16.7109375" style="475" customWidth="1"/>
    <col min="11" max="11" width="14.140625" style="212" customWidth="1"/>
    <col min="12" max="12" width="14.85546875" style="212" customWidth="1"/>
    <col min="13" max="17" width="11.42578125" style="212" customWidth="1"/>
    <col min="18" max="18" width="9.140625" style="212" customWidth="1"/>
    <col min="19" max="19" width="11.42578125" style="479" customWidth="1"/>
    <col min="20" max="20" width="13.5703125" style="212" customWidth="1"/>
    <col min="21" max="21" width="18.85546875" style="475" customWidth="1"/>
    <col min="22" max="22" width="17.28515625" style="405" customWidth="1"/>
    <col min="23" max="23" width="16.5703125" style="307" customWidth="1"/>
    <col min="24" max="24" width="11.42578125" style="308" customWidth="1"/>
    <col min="25" max="25" width="11.42578125" style="472" customWidth="1"/>
    <col min="26" max="26" width="15.140625" style="472" customWidth="1"/>
    <col min="27" max="27" width="11.42578125" style="472" customWidth="1"/>
    <col min="28" max="28" width="11.42578125" style="2" customWidth="1"/>
    <col min="29" max="29" width="15.85546875" style="211" customWidth="1"/>
    <col min="30" max="30" width="12" style="2" customWidth="1"/>
    <col min="31" max="31" width="20.42578125" style="212" customWidth="1"/>
    <col min="32" max="32" width="16.7109375" style="473" customWidth="1"/>
    <col min="33" max="33" width="16.42578125" style="212" customWidth="1"/>
    <col min="34" max="34" width="14.85546875" style="475" customWidth="1"/>
    <col min="35" max="35" width="16.42578125" style="475" customWidth="1"/>
    <col min="36" max="38" width="15.5703125" style="475" customWidth="1"/>
    <col min="39" max="39" width="17.85546875" style="306" customWidth="1"/>
    <col min="40" max="16384" width="11.42578125" style="212"/>
  </cols>
  <sheetData>
    <row r="1" spans="1:50" s="389" customFormat="1" x14ac:dyDescent="0.25">
      <c r="A1" s="689" t="s">
        <v>2515</v>
      </c>
      <c r="B1" s="416" t="s">
        <v>2516</v>
      </c>
      <c r="C1" s="367" t="s">
        <v>2517</v>
      </c>
      <c r="D1" s="368" t="s">
        <v>2518</v>
      </c>
      <c r="E1" s="368" t="s">
        <v>2519</v>
      </c>
      <c r="F1" s="369" t="s">
        <v>2520</v>
      </c>
      <c r="G1" s="368" t="s">
        <v>2521</v>
      </c>
      <c r="H1" s="367" t="s">
        <v>2522</v>
      </c>
      <c r="I1" s="367" t="s">
        <v>2523</v>
      </c>
      <c r="J1" s="423" t="s">
        <v>2524</v>
      </c>
      <c r="K1" s="367" t="s">
        <v>12</v>
      </c>
      <c r="L1" s="367" t="s">
        <v>2525</v>
      </c>
      <c r="M1" s="367" t="s">
        <v>2526</v>
      </c>
      <c r="N1" s="367" t="s">
        <v>2527</v>
      </c>
      <c r="O1" s="367" t="s">
        <v>2528</v>
      </c>
      <c r="P1" s="367" t="s">
        <v>2529</v>
      </c>
      <c r="Q1" s="367" t="s">
        <v>2530</v>
      </c>
      <c r="R1" s="370" t="s">
        <v>2531</v>
      </c>
      <c r="S1" s="371" t="s">
        <v>2532</v>
      </c>
      <c r="T1" s="370" t="s">
        <v>2515</v>
      </c>
      <c r="U1" s="412" t="s">
        <v>2533</v>
      </c>
      <c r="V1" s="413" t="s">
        <v>2534</v>
      </c>
      <c r="W1" s="372" t="s">
        <v>2535</v>
      </c>
      <c r="X1" s="373" t="s">
        <v>2536</v>
      </c>
      <c r="Y1" s="374" t="s">
        <v>2537</v>
      </c>
      <c r="Z1" s="374" t="s">
        <v>2538</v>
      </c>
      <c r="AA1" s="374" t="s">
        <v>2539</v>
      </c>
      <c r="AB1" s="375" t="s">
        <v>2540</v>
      </c>
      <c r="AC1" s="462" t="s">
        <v>2541</v>
      </c>
      <c r="AD1" s="375" t="s">
        <v>2542</v>
      </c>
      <c r="AE1" s="376" t="s">
        <v>2543</v>
      </c>
      <c r="AF1" s="409" t="s">
        <v>2544</v>
      </c>
      <c r="AG1" s="376" t="s">
        <v>2545</v>
      </c>
      <c r="AH1" s="403" t="s">
        <v>2546</v>
      </c>
      <c r="AI1" s="404" t="s">
        <v>2547</v>
      </c>
      <c r="AJ1" s="404" t="s">
        <v>2548</v>
      </c>
      <c r="AK1" s="404" t="s">
        <v>2549</v>
      </c>
      <c r="AL1" s="404" t="s">
        <v>2550</v>
      </c>
      <c r="AM1" s="702" t="s">
        <v>2551</v>
      </c>
      <c r="AN1" s="389" t="s">
        <v>2552</v>
      </c>
      <c r="AO1" s="389" t="s">
        <v>2553</v>
      </c>
      <c r="AP1" s="389" t="s">
        <v>2554</v>
      </c>
      <c r="AQ1" s="389" t="s">
        <v>2555</v>
      </c>
      <c r="AR1" s="389" t="s">
        <v>2556</v>
      </c>
      <c r="AS1" s="389" t="s">
        <v>2557</v>
      </c>
      <c r="AT1" s="389" t="s">
        <v>2558</v>
      </c>
      <c r="AU1" s="389" t="s">
        <v>2559</v>
      </c>
      <c r="AV1" s="389" t="s">
        <v>2560</v>
      </c>
      <c r="AW1" s="389" t="s">
        <v>2561</v>
      </c>
      <c r="AX1" s="389" t="s">
        <v>2562</v>
      </c>
    </row>
    <row r="2" spans="1:50" ht="15" hidden="1" customHeight="1" x14ac:dyDescent="0.25">
      <c r="A2" s="466" t="s">
        <v>2563</v>
      </c>
      <c r="B2" s="467" t="s">
        <v>97</v>
      </c>
      <c r="C2" s="468" t="s">
        <v>2564</v>
      </c>
      <c r="D2" s="468">
        <v>1</v>
      </c>
      <c r="E2" s="469">
        <v>20213000000153</v>
      </c>
      <c r="F2" s="470">
        <v>44202</v>
      </c>
      <c r="G2" s="469" t="s">
        <v>2565</v>
      </c>
      <c r="H2" s="468" t="s">
        <v>2566</v>
      </c>
      <c r="I2" s="468" t="s">
        <v>432</v>
      </c>
      <c r="J2" s="471">
        <v>2000000</v>
      </c>
      <c r="K2" s="212" t="s">
        <v>342</v>
      </c>
      <c r="L2" s="468" t="s">
        <v>351</v>
      </c>
      <c r="M2" s="468" t="s">
        <v>149</v>
      </c>
      <c r="N2" s="468" t="s">
        <v>150</v>
      </c>
      <c r="O2" s="468" t="s">
        <v>251</v>
      </c>
      <c r="P2" s="468" t="s">
        <v>676</v>
      </c>
      <c r="Q2" s="468"/>
      <c r="R2" s="468">
        <v>1</v>
      </c>
      <c r="S2" s="470">
        <v>44202</v>
      </c>
      <c r="T2" s="468" t="s">
        <v>2567</v>
      </c>
      <c r="U2" s="471">
        <v>2000000</v>
      </c>
      <c r="V2" s="414"/>
      <c r="W2" s="379"/>
      <c r="X2" s="211">
        <v>1</v>
      </c>
      <c r="Y2" s="472">
        <v>44204</v>
      </c>
      <c r="Z2" s="472">
        <v>44204</v>
      </c>
      <c r="AA2" s="472">
        <v>44227</v>
      </c>
      <c r="AB2" s="2" t="s">
        <v>2568</v>
      </c>
      <c r="AC2" s="211">
        <v>6198641399</v>
      </c>
      <c r="AD2" s="2">
        <v>830037248</v>
      </c>
      <c r="AE2" s="212" t="s">
        <v>2569</v>
      </c>
      <c r="AF2" s="473">
        <f>108350+16900+35446</f>
        <v>160696</v>
      </c>
      <c r="AG2" s="474">
        <f t="shared" ref="AG2:AG65" si="0">+U2-AF2</f>
        <v>1839304</v>
      </c>
      <c r="AH2" s="475">
        <v>108350</v>
      </c>
      <c r="AI2" s="471">
        <v>16900</v>
      </c>
      <c r="AJ2" s="471"/>
      <c r="AK2" s="471"/>
      <c r="AL2" s="471">
        <f>70892-35446</f>
        <v>35446</v>
      </c>
      <c r="AM2" s="212"/>
    </row>
    <row r="3" spans="1:50" ht="15" hidden="1" customHeight="1" x14ac:dyDescent="0.25">
      <c r="A3" s="476" t="s">
        <v>2563</v>
      </c>
      <c r="B3" s="477" t="s">
        <v>2570</v>
      </c>
      <c r="C3" s="212" t="s">
        <v>2571</v>
      </c>
      <c r="D3" s="212">
        <v>2</v>
      </c>
      <c r="E3" s="478">
        <v>20217000000203</v>
      </c>
      <c r="F3" s="479">
        <v>44200</v>
      </c>
      <c r="G3" s="478" t="s">
        <v>2572</v>
      </c>
      <c r="H3" s="212" t="s">
        <v>2573</v>
      </c>
      <c r="I3" s="212" t="s">
        <v>164</v>
      </c>
      <c r="J3" s="475">
        <v>19662787</v>
      </c>
      <c r="K3" s="212" t="s">
        <v>138</v>
      </c>
      <c r="L3" s="212" t="s">
        <v>139</v>
      </c>
      <c r="M3" s="212" t="s">
        <v>44</v>
      </c>
      <c r="N3" s="212" t="s">
        <v>45</v>
      </c>
      <c r="O3" s="212" t="s">
        <v>142</v>
      </c>
      <c r="P3" s="212" t="s">
        <v>43</v>
      </c>
      <c r="R3" s="212">
        <v>2</v>
      </c>
      <c r="S3" s="479">
        <v>44204</v>
      </c>
      <c r="T3" s="212" t="s">
        <v>2574</v>
      </c>
      <c r="U3" s="475">
        <v>19662787</v>
      </c>
      <c r="V3" s="406"/>
      <c r="W3" s="362"/>
      <c r="X3" s="211">
        <v>2</v>
      </c>
      <c r="Y3" s="472">
        <v>44204</v>
      </c>
      <c r="Z3" s="472">
        <v>44204</v>
      </c>
      <c r="AA3" s="472">
        <v>44287</v>
      </c>
      <c r="AB3" s="2" t="s">
        <v>2575</v>
      </c>
      <c r="AC3" s="211">
        <v>311</v>
      </c>
      <c r="AD3" s="2">
        <v>1020743056</v>
      </c>
      <c r="AE3" s="212" t="s">
        <v>2576</v>
      </c>
      <c r="AF3" s="473">
        <v>19662787</v>
      </c>
      <c r="AG3" s="474">
        <f t="shared" si="0"/>
        <v>0</v>
      </c>
      <c r="AI3" s="480">
        <v>7022424</v>
      </c>
      <c r="AJ3" s="475">
        <v>7022424</v>
      </c>
      <c r="AK3" s="475">
        <v>5383859</v>
      </c>
      <c r="AM3" s="212"/>
    </row>
    <row r="4" spans="1:50" s="312" customFormat="1" ht="15" hidden="1" customHeight="1" x14ac:dyDescent="0.25">
      <c r="A4" s="361" t="s">
        <v>1837</v>
      </c>
      <c r="B4" s="417">
        <v>29700000</v>
      </c>
      <c r="C4" s="312" t="s">
        <v>2571</v>
      </c>
      <c r="D4" s="312">
        <v>3</v>
      </c>
      <c r="E4" s="325">
        <v>20211400000233</v>
      </c>
      <c r="F4" s="315">
        <v>44204</v>
      </c>
      <c r="G4" s="325" t="s">
        <v>2572</v>
      </c>
      <c r="H4" s="312" t="s">
        <v>2573</v>
      </c>
      <c r="I4" s="312" t="s">
        <v>184</v>
      </c>
      <c r="J4" s="405">
        <v>22500000</v>
      </c>
      <c r="K4" s="312" t="s">
        <v>138</v>
      </c>
      <c r="L4" s="312" t="s">
        <v>2577</v>
      </c>
      <c r="M4" s="312" t="s">
        <v>44</v>
      </c>
      <c r="N4" s="312" t="s">
        <v>45</v>
      </c>
      <c r="O4" s="312" t="s">
        <v>142</v>
      </c>
      <c r="P4" s="312" t="s">
        <v>43</v>
      </c>
      <c r="R4" s="312">
        <v>9</v>
      </c>
      <c r="S4" s="315">
        <v>44204</v>
      </c>
      <c r="T4" s="312" t="s">
        <v>2578</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x14ac:dyDescent="0.25">
      <c r="A5" s="476" t="s">
        <v>1838</v>
      </c>
      <c r="B5" s="477">
        <v>68000000</v>
      </c>
      <c r="C5" s="212" t="s">
        <v>2571</v>
      </c>
      <c r="D5" s="212">
        <v>4</v>
      </c>
      <c r="E5" s="478">
        <v>20211400000243</v>
      </c>
      <c r="F5" s="479">
        <v>44204</v>
      </c>
      <c r="G5" s="478" t="s">
        <v>2572</v>
      </c>
      <c r="H5" s="212" t="s">
        <v>2573</v>
      </c>
      <c r="I5" s="212" t="s">
        <v>184</v>
      </c>
      <c r="J5" s="475">
        <v>68000000</v>
      </c>
      <c r="K5" s="212" t="s">
        <v>138</v>
      </c>
      <c r="L5" s="212" t="s">
        <v>2577</v>
      </c>
      <c r="M5" s="212" t="s">
        <v>44</v>
      </c>
      <c r="N5" s="212" t="s">
        <v>45</v>
      </c>
      <c r="O5" s="212" t="s">
        <v>142</v>
      </c>
      <c r="P5" s="212" t="s">
        <v>43</v>
      </c>
      <c r="R5" s="212">
        <v>10</v>
      </c>
      <c r="S5" s="479">
        <v>44204</v>
      </c>
      <c r="T5" s="212" t="s">
        <v>2579</v>
      </c>
      <c r="U5" s="475">
        <f>68000000-8500000</f>
        <v>59500000</v>
      </c>
      <c r="V5" s="406">
        <v>8500000</v>
      </c>
      <c r="W5" s="362"/>
      <c r="X5" s="211">
        <v>32</v>
      </c>
      <c r="Y5" s="472">
        <v>44222</v>
      </c>
      <c r="Z5" s="472">
        <v>44222</v>
      </c>
      <c r="AA5" s="472">
        <v>44434</v>
      </c>
      <c r="AB5" s="2" t="s">
        <v>2575</v>
      </c>
      <c r="AC5" s="211">
        <v>13</v>
      </c>
      <c r="AD5" s="2">
        <v>79755928</v>
      </c>
      <c r="AE5" s="212" t="s">
        <v>2580</v>
      </c>
      <c r="AF5" s="473">
        <v>59500000</v>
      </c>
      <c r="AG5" s="474">
        <f t="shared" si="0"/>
        <v>0</v>
      </c>
      <c r="AJ5" s="481">
        <v>9350000</v>
      </c>
      <c r="AK5" s="475">
        <v>8500000</v>
      </c>
      <c r="AL5" s="475">
        <v>8500000</v>
      </c>
      <c r="AM5" s="306">
        <v>8500000</v>
      </c>
    </row>
    <row r="6" spans="1:50" ht="15" hidden="1" customHeight="1" x14ac:dyDescent="0.25">
      <c r="A6" s="476" t="s">
        <v>1773</v>
      </c>
      <c r="B6" s="477">
        <v>112560000</v>
      </c>
      <c r="C6" s="212" t="s">
        <v>2571</v>
      </c>
      <c r="D6" s="212">
        <v>5</v>
      </c>
      <c r="E6" s="478">
        <v>20215000000073</v>
      </c>
      <c r="F6" s="479">
        <v>44204</v>
      </c>
      <c r="G6" s="478" t="s">
        <v>2565</v>
      </c>
      <c r="H6" s="212" t="s">
        <v>2566</v>
      </c>
      <c r="I6" s="212" t="s">
        <v>228</v>
      </c>
      <c r="J6" s="475">
        <v>112560000</v>
      </c>
      <c r="K6" s="212" t="s">
        <v>223</v>
      </c>
      <c r="L6" s="212" t="s">
        <v>233</v>
      </c>
      <c r="M6" s="212" t="s">
        <v>44</v>
      </c>
      <c r="N6" s="212" t="s">
        <v>45</v>
      </c>
      <c r="O6" s="212" t="s">
        <v>63</v>
      </c>
      <c r="P6" s="212" t="s">
        <v>676</v>
      </c>
      <c r="R6" s="212">
        <v>3</v>
      </c>
      <c r="S6" s="479">
        <v>44204</v>
      </c>
      <c r="T6" s="212" t="s">
        <v>2581</v>
      </c>
      <c r="U6" s="475">
        <f>112560000-9380000</f>
        <v>103180000</v>
      </c>
      <c r="V6" s="411">
        <v>9380000</v>
      </c>
      <c r="W6" s="397"/>
      <c r="X6" s="211">
        <v>15</v>
      </c>
      <c r="Y6" s="472">
        <v>44215</v>
      </c>
      <c r="Z6" s="472">
        <v>44215</v>
      </c>
      <c r="AA6" s="472">
        <v>44549</v>
      </c>
      <c r="AB6" s="2" t="s">
        <v>2575</v>
      </c>
      <c r="AC6" s="211">
        <v>1</v>
      </c>
      <c r="AD6" s="2">
        <v>1026260799</v>
      </c>
      <c r="AE6" s="212" t="s">
        <v>2582</v>
      </c>
      <c r="AF6" s="473">
        <v>103180000</v>
      </c>
      <c r="AG6" s="474">
        <f t="shared" si="0"/>
        <v>0</v>
      </c>
      <c r="AI6" s="475">
        <v>3126667</v>
      </c>
      <c r="AJ6" s="475">
        <v>9380000</v>
      </c>
      <c r="AK6" s="475">
        <v>9380000</v>
      </c>
      <c r="AL6" s="475">
        <v>9380000</v>
      </c>
      <c r="AM6" s="306">
        <v>9380000</v>
      </c>
    </row>
    <row r="7" spans="1:50" ht="15" hidden="1" customHeight="1" x14ac:dyDescent="0.25">
      <c r="A7" s="476" t="s">
        <v>1691</v>
      </c>
      <c r="B7" s="477">
        <v>112604000</v>
      </c>
      <c r="C7" s="212" t="s">
        <v>2571</v>
      </c>
      <c r="D7" s="212">
        <v>6</v>
      </c>
      <c r="E7" s="478">
        <v>20215000000083</v>
      </c>
      <c r="F7" s="479">
        <v>44204</v>
      </c>
      <c r="G7" s="478" t="s">
        <v>2565</v>
      </c>
      <c r="H7" s="212" t="s">
        <v>2566</v>
      </c>
      <c r="I7" s="212" t="s">
        <v>228</v>
      </c>
      <c r="J7" s="475">
        <v>112604000</v>
      </c>
      <c r="K7" s="212" t="s">
        <v>223</v>
      </c>
      <c r="L7" s="212" t="s">
        <v>283</v>
      </c>
      <c r="M7" s="212" t="s">
        <v>44</v>
      </c>
      <c r="N7" s="212" t="s">
        <v>45</v>
      </c>
      <c r="O7" s="212" t="s">
        <v>63</v>
      </c>
      <c r="P7" s="212" t="s">
        <v>676</v>
      </c>
      <c r="R7" s="212">
        <v>4</v>
      </c>
      <c r="S7" s="479">
        <v>44204</v>
      </c>
      <c r="T7" s="212" t="s">
        <v>2583</v>
      </c>
      <c r="U7" s="475">
        <f>112604000-6297333</f>
        <v>106306667</v>
      </c>
      <c r="V7" s="411">
        <v>6297333</v>
      </c>
      <c r="W7" s="397"/>
      <c r="X7" s="211">
        <v>21</v>
      </c>
      <c r="Y7" s="472">
        <v>44216</v>
      </c>
      <c r="Z7" s="472">
        <v>44216</v>
      </c>
      <c r="AA7" s="472">
        <v>44550</v>
      </c>
      <c r="AB7" s="2" t="s">
        <v>2575</v>
      </c>
      <c r="AC7" s="211">
        <v>9</v>
      </c>
      <c r="AD7" s="2">
        <v>80171259</v>
      </c>
      <c r="AE7" s="212" t="s">
        <v>2584</v>
      </c>
      <c r="AF7" s="473">
        <v>106306667</v>
      </c>
      <c r="AG7" s="474">
        <f t="shared" si="0"/>
        <v>0</v>
      </c>
      <c r="AI7" s="475">
        <v>3126667</v>
      </c>
      <c r="AJ7" s="475">
        <v>9380000</v>
      </c>
      <c r="AK7" s="475">
        <v>9380000</v>
      </c>
      <c r="AL7" s="475">
        <v>9380000</v>
      </c>
      <c r="AM7" s="212"/>
    </row>
    <row r="8" spans="1:50" ht="15" hidden="1" customHeight="1" x14ac:dyDescent="0.25">
      <c r="A8" s="476" t="s">
        <v>1774</v>
      </c>
      <c r="B8" s="477">
        <v>112604000</v>
      </c>
      <c r="C8" s="212" t="s">
        <v>2571</v>
      </c>
      <c r="D8" s="212">
        <v>7</v>
      </c>
      <c r="E8" s="478">
        <v>20215000000093</v>
      </c>
      <c r="F8" s="479">
        <v>44204</v>
      </c>
      <c r="G8" s="478" t="s">
        <v>2565</v>
      </c>
      <c r="H8" s="212" t="s">
        <v>2566</v>
      </c>
      <c r="I8" s="212" t="s">
        <v>228</v>
      </c>
      <c r="J8" s="475">
        <v>112604000</v>
      </c>
      <c r="K8" s="212" t="s">
        <v>223</v>
      </c>
      <c r="L8" s="212" t="s">
        <v>269</v>
      </c>
      <c r="M8" s="212" t="s">
        <v>44</v>
      </c>
      <c r="N8" s="212" t="s">
        <v>45</v>
      </c>
      <c r="O8" s="212" t="s">
        <v>63</v>
      </c>
      <c r="P8" s="212" t="s">
        <v>676</v>
      </c>
      <c r="R8" s="212">
        <v>5</v>
      </c>
      <c r="S8" s="479">
        <v>44204</v>
      </c>
      <c r="T8" s="212" t="s">
        <v>2585</v>
      </c>
      <c r="U8" s="475">
        <f>112604000-24604000</f>
        <v>88000000</v>
      </c>
      <c r="V8" s="411">
        <v>24604000</v>
      </c>
      <c r="W8" s="397"/>
      <c r="X8" s="211">
        <v>16</v>
      </c>
      <c r="Y8" s="472">
        <v>44216</v>
      </c>
      <c r="Z8" s="472">
        <v>44216</v>
      </c>
      <c r="AA8" s="472">
        <v>44550</v>
      </c>
      <c r="AB8" s="2" t="s">
        <v>2575</v>
      </c>
      <c r="AC8" s="211">
        <v>6</v>
      </c>
      <c r="AD8" s="2">
        <v>79910411</v>
      </c>
      <c r="AE8" s="212" t="s">
        <v>2586</v>
      </c>
      <c r="AF8" s="473">
        <v>88000000</v>
      </c>
      <c r="AG8" s="474">
        <f t="shared" si="0"/>
        <v>0</v>
      </c>
      <c r="AI8" s="475">
        <v>2666666</v>
      </c>
      <c r="AJ8" s="475">
        <v>8000000</v>
      </c>
      <c r="AK8" s="475">
        <v>8000000</v>
      </c>
      <c r="AL8" s="475">
        <v>8000000</v>
      </c>
      <c r="AM8" s="306">
        <v>8000000</v>
      </c>
    </row>
    <row r="9" spans="1:50" ht="15" hidden="1" customHeight="1" x14ac:dyDescent="0.25">
      <c r="A9" s="476" t="s">
        <v>1691</v>
      </c>
      <c r="B9" s="477">
        <v>47736000</v>
      </c>
      <c r="C9" s="212" t="s">
        <v>2571</v>
      </c>
      <c r="D9" s="212">
        <v>8</v>
      </c>
      <c r="E9" s="478">
        <v>20215000000123</v>
      </c>
      <c r="F9" s="479">
        <v>44204</v>
      </c>
      <c r="G9" s="478" t="s">
        <v>2565</v>
      </c>
      <c r="H9" s="212" t="s">
        <v>2566</v>
      </c>
      <c r="I9" s="212" t="s">
        <v>228</v>
      </c>
      <c r="J9" s="475">
        <v>47736000</v>
      </c>
      <c r="K9" s="212" t="s">
        <v>223</v>
      </c>
      <c r="L9" s="212" t="s">
        <v>283</v>
      </c>
      <c r="M9" s="212" t="s">
        <v>44</v>
      </c>
      <c r="N9" s="212" t="s">
        <v>45</v>
      </c>
      <c r="O9" s="212" t="s">
        <v>63</v>
      </c>
      <c r="P9" s="212" t="s">
        <v>676</v>
      </c>
      <c r="R9" s="212">
        <v>6</v>
      </c>
      <c r="S9" s="479">
        <v>44204</v>
      </c>
      <c r="T9" s="212" t="s">
        <v>2583</v>
      </c>
      <c r="U9" s="475">
        <f>47736000-3978000</f>
        <v>43758000</v>
      </c>
      <c r="V9" s="411">
        <v>3978000</v>
      </c>
      <c r="W9" s="397"/>
      <c r="X9" s="211">
        <v>22</v>
      </c>
      <c r="Y9" s="472">
        <v>44216</v>
      </c>
      <c r="Z9" s="472">
        <v>44216</v>
      </c>
      <c r="AA9" s="472">
        <v>44550</v>
      </c>
      <c r="AB9" s="2" t="s">
        <v>2575</v>
      </c>
      <c r="AC9" s="211">
        <v>3</v>
      </c>
      <c r="AD9" s="2">
        <v>1121706848</v>
      </c>
      <c r="AE9" s="212" t="s">
        <v>2587</v>
      </c>
      <c r="AF9" s="473">
        <v>43758000</v>
      </c>
      <c r="AG9" s="474">
        <f t="shared" si="0"/>
        <v>0</v>
      </c>
      <c r="AI9" s="475">
        <v>1458600</v>
      </c>
      <c r="AJ9" s="475">
        <v>3978000</v>
      </c>
      <c r="AK9" s="475">
        <v>3978000</v>
      </c>
      <c r="AL9" s="475">
        <v>3978000</v>
      </c>
      <c r="AM9" s="306">
        <v>3978000</v>
      </c>
    </row>
    <row r="10" spans="1:50" ht="15" hidden="1" customHeight="1" x14ac:dyDescent="0.25">
      <c r="A10" s="476" t="s">
        <v>2588</v>
      </c>
      <c r="B10" s="477">
        <v>57000000</v>
      </c>
      <c r="C10" s="212" t="s">
        <v>2589</v>
      </c>
      <c r="D10" s="212">
        <v>9</v>
      </c>
      <c r="E10" s="478">
        <v>20215000000133</v>
      </c>
      <c r="F10" s="479">
        <v>44204</v>
      </c>
      <c r="G10" s="478" t="s">
        <v>2565</v>
      </c>
      <c r="H10" s="212" t="s">
        <v>2566</v>
      </c>
      <c r="I10" s="212" t="s">
        <v>228</v>
      </c>
      <c r="J10" s="475">
        <v>57000000</v>
      </c>
      <c r="K10" s="212" t="s">
        <v>223</v>
      </c>
      <c r="L10" s="212" t="s">
        <v>257</v>
      </c>
      <c r="M10" s="212" t="s">
        <v>44</v>
      </c>
      <c r="N10" s="212" t="s">
        <v>45</v>
      </c>
      <c r="O10" s="212" t="s">
        <v>46</v>
      </c>
      <c r="P10" s="212" t="s">
        <v>676</v>
      </c>
      <c r="R10" s="212">
        <v>7</v>
      </c>
      <c r="S10" s="479">
        <v>44204</v>
      </c>
      <c r="T10" s="212" t="s">
        <v>2590</v>
      </c>
      <c r="U10" s="475">
        <f>57000000-9300040</f>
        <v>47699960</v>
      </c>
      <c r="V10" s="411">
        <v>9300040</v>
      </c>
      <c r="W10" s="397"/>
      <c r="X10" s="211">
        <v>4</v>
      </c>
      <c r="Y10" s="472">
        <v>44210</v>
      </c>
      <c r="Z10" s="472">
        <v>44210</v>
      </c>
      <c r="AA10" s="472">
        <v>44269</v>
      </c>
      <c r="AB10" s="2" t="s">
        <v>2591</v>
      </c>
      <c r="AC10" s="211">
        <v>707</v>
      </c>
      <c r="AD10" s="2">
        <v>800199498</v>
      </c>
      <c r="AE10" s="212" t="s">
        <v>2592</v>
      </c>
      <c r="AF10" s="473">
        <v>47699960</v>
      </c>
      <c r="AG10" s="474">
        <f t="shared" si="0"/>
        <v>0</v>
      </c>
      <c r="AK10" s="475">
        <v>47699960</v>
      </c>
      <c r="AM10" s="212"/>
    </row>
    <row r="11" spans="1:50" ht="15" hidden="1" customHeight="1" x14ac:dyDescent="0.25">
      <c r="A11" s="476" t="s">
        <v>2593</v>
      </c>
      <c r="B11" s="477">
        <v>936991795</v>
      </c>
      <c r="C11" s="212" t="s">
        <v>350</v>
      </c>
      <c r="D11" s="212">
        <v>10</v>
      </c>
      <c r="E11" s="478">
        <v>20213000000143</v>
      </c>
      <c r="F11" s="479">
        <v>44204</v>
      </c>
      <c r="G11" s="478" t="s">
        <v>2565</v>
      </c>
      <c r="H11" s="212" t="s">
        <v>2566</v>
      </c>
      <c r="I11" s="212" t="s">
        <v>432</v>
      </c>
      <c r="J11" s="475">
        <v>563008205</v>
      </c>
      <c r="K11" s="212" t="s">
        <v>342</v>
      </c>
      <c r="L11" s="212" t="s">
        <v>343</v>
      </c>
      <c r="M11" s="212" t="s">
        <v>44</v>
      </c>
      <c r="N11" s="212" t="s">
        <v>45</v>
      </c>
      <c r="O11" s="212" t="s">
        <v>310</v>
      </c>
      <c r="P11" s="212" t="s">
        <v>676</v>
      </c>
      <c r="R11" s="212">
        <v>8</v>
      </c>
      <c r="S11" s="479">
        <v>44204</v>
      </c>
      <c r="T11" s="212" t="s">
        <v>2594</v>
      </c>
      <c r="U11" s="475">
        <v>563008205</v>
      </c>
      <c r="V11" s="406"/>
      <c r="W11" s="362"/>
      <c r="X11" s="211">
        <v>7</v>
      </c>
      <c r="Y11" s="472">
        <v>44210</v>
      </c>
      <c r="Z11" s="472">
        <v>44210</v>
      </c>
      <c r="AA11" s="472">
        <v>44269</v>
      </c>
      <c r="AB11" s="2" t="s">
        <v>2595</v>
      </c>
      <c r="AC11" s="211">
        <v>749</v>
      </c>
      <c r="AD11" s="2">
        <v>18412092</v>
      </c>
      <c r="AE11" s="212" t="s">
        <v>2596</v>
      </c>
      <c r="AF11" s="473">
        <v>563008205</v>
      </c>
      <c r="AG11" s="474">
        <f t="shared" si="0"/>
        <v>0</v>
      </c>
      <c r="AK11" s="475">
        <v>225203282</v>
      </c>
      <c r="AM11" s="212"/>
    </row>
    <row r="12" spans="1:50" ht="15" hidden="1" customHeight="1" x14ac:dyDescent="0.25">
      <c r="A12" s="476" t="s">
        <v>2597</v>
      </c>
      <c r="B12" s="477">
        <v>84000000</v>
      </c>
      <c r="C12" s="212" t="s">
        <v>2571</v>
      </c>
      <c r="D12" s="212">
        <v>11</v>
      </c>
      <c r="E12" s="478">
        <v>20214000000463</v>
      </c>
      <c r="F12" s="479">
        <v>44208</v>
      </c>
      <c r="G12" s="478" t="s">
        <v>2598</v>
      </c>
      <c r="H12" s="212" t="s">
        <v>2599</v>
      </c>
      <c r="I12" s="212" t="s">
        <v>117</v>
      </c>
      <c r="J12" s="475">
        <v>80033333</v>
      </c>
      <c r="K12" s="212" t="s">
        <v>112</v>
      </c>
      <c r="L12" s="212" t="s">
        <v>2600</v>
      </c>
      <c r="M12" s="212" t="s">
        <v>44</v>
      </c>
      <c r="N12" s="212" t="s">
        <v>45</v>
      </c>
      <c r="O12" s="212" t="s">
        <v>63</v>
      </c>
      <c r="P12" s="212" t="s">
        <v>43</v>
      </c>
      <c r="R12" s="212">
        <v>12</v>
      </c>
      <c r="S12" s="479">
        <v>44209</v>
      </c>
      <c r="T12" s="212" t="s">
        <v>2601</v>
      </c>
      <c r="U12" s="475">
        <v>80033333</v>
      </c>
      <c r="V12" s="406"/>
      <c r="W12" s="362"/>
      <c r="X12" s="211">
        <v>31</v>
      </c>
      <c r="Y12" s="472">
        <v>44222</v>
      </c>
      <c r="Z12" s="472">
        <v>44222</v>
      </c>
      <c r="AA12" s="472">
        <v>44556</v>
      </c>
      <c r="AB12" s="2" t="s">
        <v>2575</v>
      </c>
      <c r="AC12" s="211">
        <v>11</v>
      </c>
      <c r="AD12" s="2">
        <v>79284479</v>
      </c>
      <c r="AE12" s="212" t="s">
        <v>2602</v>
      </c>
      <c r="AF12" s="473">
        <v>77000000</v>
      </c>
      <c r="AG12" s="474">
        <f t="shared" si="0"/>
        <v>3033333</v>
      </c>
      <c r="AK12" s="475">
        <v>7933333</v>
      </c>
      <c r="AL12" s="475">
        <v>7000000</v>
      </c>
      <c r="AM12" s="306">
        <v>7000000</v>
      </c>
    </row>
    <row r="13" spans="1:50" ht="15" hidden="1" customHeight="1" x14ac:dyDescent="0.25">
      <c r="A13" s="476" t="s">
        <v>2057</v>
      </c>
      <c r="B13" s="477">
        <v>54661018</v>
      </c>
      <c r="C13" s="212" t="s">
        <v>2571</v>
      </c>
      <c r="D13" s="212">
        <v>12</v>
      </c>
      <c r="E13" s="478">
        <v>20214000000473</v>
      </c>
      <c r="F13" s="479">
        <v>44208</v>
      </c>
      <c r="G13" s="478" t="s">
        <v>2598</v>
      </c>
      <c r="H13" s="212" t="s">
        <v>2599</v>
      </c>
      <c r="I13" s="212" t="s">
        <v>117</v>
      </c>
      <c r="J13" s="475">
        <v>54661018</v>
      </c>
      <c r="K13" s="212" t="s">
        <v>112</v>
      </c>
      <c r="L13" s="212" t="s">
        <v>2600</v>
      </c>
      <c r="M13" s="212" t="s">
        <v>44</v>
      </c>
      <c r="N13" s="212" t="s">
        <v>45</v>
      </c>
      <c r="O13" s="212" t="s">
        <v>63</v>
      </c>
      <c r="P13" s="212" t="s">
        <v>43</v>
      </c>
      <c r="R13" s="212">
        <v>13</v>
      </c>
      <c r="S13" s="479">
        <v>44209</v>
      </c>
      <c r="T13" s="212" t="s">
        <v>2603</v>
      </c>
      <c r="U13" s="475">
        <v>54661018</v>
      </c>
      <c r="V13" s="406"/>
      <c r="W13" s="362"/>
      <c r="X13" s="308">
        <v>66</v>
      </c>
      <c r="Y13" s="472">
        <v>44230</v>
      </c>
      <c r="Z13" s="472">
        <v>44230</v>
      </c>
      <c r="AA13" s="472">
        <v>44548</v>
      </c>
      <c r="AB13" s="2" t="s">
        <v>2575</v>
      </c>
      <c r="AC13" s="211">
        <v>34</v>
      </c>
      <c r="AD13" s="2">
        <v>52521018</v>
      </c>
      <c r="AE13" s="212" t="s">
        <v>2604</v>
      </c>
      <c r="AF13" s="473">
        <v>50274000</v>
      </c>
      <c r="AG13" s="474">
        <f t="shared" si="0"/>
        <v>4387018</v>
      </c>
      <c r="AJ13" s="475">
        <v>3293333</v>
      </c>
      <c r="AK13" s="475">
        <v>3800000</v>
      </c>
      <c r="AL13" s="475">
        <v>3800000</v>
      </c>
      <c r="AM13" s="306">
        <v>3800000</v>
      </c>
    </row>
    <row r="14" spans="1:50" ht="15" hidden="1" customHeight="1" x14ac:dyDescent="0.25">
      <c r="A14" s="476" t="s">
        <v>2057</v>
      </c>
      <c r="B14" s="477">
        <v>32232315</v>
      </c>
      <c r="C14" s="212" t="s">
        <v>2571</v>
      </c>
      <c r="D14" s="212">
        <v>12</v>
      </c>
      <c r="E14" s="478">
        <v>20214000000473</v>
      </c>
      <c r="F14" s="479">
        <v>44208</v>
      </c>
      <c r="G14" s="478" t="s">
        <v>2605</v>
      </c>
      <c r="H14" s="212" t="s">
        <v>2606</v>
      </c>
      <c r="I14" s="212" t="s">
        <v>47</v>
      </c>
      <c r="J14" s="475">
        <v>32232315</v>
      </c>
      <c r="K14" s="212" t="s">
        <v>37</v>
      </c>
      <c r="L14" s="212" t="s">
        <v>2607</v>
      </c>
      <c r="M14" s="212" t="s">
        <v>44</v>
      </c>
      <c r="N14" s="212" t="s">
        <v>45</v>
      </c>
      <c r="O14" s="212" t="s">
        <v>310</v>
      </c>
      <c r="P14" s="212" t="s">
        <v>43</v>
      </c>
      <c r="R14" s="329">
        <v>13</v>
      </c>
      <c r="S14" s="479">
        <v>44209</v>
      </c>
      <c r="T14" s="212" t="s">
        <v>2603</v>
      </c>
      <c r="U14" s="475">
        <v>32232315</v>
      </c>
      <c r="V14" s="406"/>
      <c r="W14" s="362"/>
      <c r="X14" s="308">
        <v>66</v>
      </c>
      <c r="Y14" s="472">
        <v>44230</v>
      </c>
      <c r="Z14" s="472">
        <v>44230</v>
      </c>
      <c r="AA14" s="472">
        <v>44548</v>
      </c>
      <c r="AB14" s="2" t="s">
        <v>2575</v>
      </c>
      <c r="AC14" s="211">
        <v>34</v>
      </c>
      <c r="AD14" s="2">
        <v>52521018</v>
      </c>
      <c r="AE14" s="212" t="s">
        <v>2604</v>
      </c>
      <c r="AF14" s="473">
        <v>29526000</v>
      </c>
      <c r="AG14" s="474">
        <f t="shared" si="0"/>
        <v>2706315</v>
      </c>
      <c r="AJ14" s="475">
        <v>3293333</v>
      </c>
      <c r="AK14" s="475">
        <v>3800000</v>
      </c>
      <c r="AL14" s="475">
        <v>3800000</v>
      </c>
      <c r="AM14" s="306">
        <v>3800000</v>
      </c>
    </row>
    <row r="15" spans="1:50" ht="15" hidden="1" customHeight="1" x14ac:dyDescent="0.25">
      <c r="A15" s="476" t="s">
        <v>2563</v>
      </c>
      <c r="B15" s="477" t="s">
        <v>2608</v>
      </c>
      <c r="C15" s="212" t="s">
        <v>2608</v>
      </c>
      <c r="D15" s="212">
        <v>13</v>
      </c>
      <c r="E15" s="478">
        <v>20217000000483</v>
      </c>
      <c r="F15" s="479">
        <v>44208</v>
      </c>
      <c r="G15" s="478" t="s">
        <v>2572</v>
      </c>
      <c r="H15" s="212" t="s">
        <v>2573</v>
      </c>
      <c r="I15" s="212" t="s">
        <v>164</v>
      </c>
      <c r="J15" s="475">
        <v>10796975</v>
      </c>
      <c r="K15" s="212" t="s">
        <v>138</v>
      </c>
      <c r="L15" s="212" t="s">
        <v>139</v>
      </c>
      <c r="M15" s="212" t="s">
        <v>44</v>
      </c>
      <c r="N15" s="212" t="s">
        <v>45</v>
      </c>
      <c r="O15" s="212" t="s">
        <v>142</v>
      </c>
      <c r="P15" s="212" t="s">
        <v>43</v>
      </c>
      <c r="R15" s="212">
        <v>14</v>
      </c>
      <c r="S15" s="479">
        <v>44209</v>
      </c>
      <c r="T15" s="212" t="s">
        <v>2609</v>
      </c>
      <c r="U15" s="475">
        <v>10796975</v>
      </c>
      <c r="V15" s="406"/>
      <c r="W15" s="362"/>
      <c r="X15" s="211">
        <v>39</v>
      </c>
      <c r="Y15" s="472">
        <v>44223</v>
      </c>
      <c r="Z15" s="472">
        <v>44228</v>
      </c>
      <c r="AA15" s="472">
        <v>44308</v>
      </c>
      <c r="AB15" s="2" t="s">
        <v>2575</v>
      </c>
      <c r="AC15" s="211">
        <v>361</v>
      </c>
      <c r="AD15" s="2">
        <v>1019060772</v>
      </c>
      <c r="AE15" s="212" t="s">
        <v>2610</v>
      </c>
      <c r="AF15" s="473">
        <v>10796975</v>
      </c>
      <c r="AG15" s="474">
        <f t="shared" si="0"/>
        <v>0</v>
      </c>
      <c r="AJ15" s="475">
        <v>3950113</v>
      </c>
      <c r="AK15" s="475">
        <v>3950113</v>
      </c>
      <c r="AL15" s="475">
        <v>2896749</v>
      </c>
      <c r="AM15" s="212"/>
    </row>
    <row r="16" spans="1:50" ht="15" hidden="1" customHeight="1" x14ac:dyDescent="0.25">
      <c r="A16" s="476" t="s">
        <v>2118</v>
      </c>
      <c r="B16" s="477">
        <v>22500000</v>
      </c>
      <c r="C16" s="212" t="s">
        <v>2571</v>
      </c>
      <c r="D16" s="212">
        <v>14</v>
      </c>
      <c r="E16" s="478">
        <v>20211200000503</v>
      </c>
      <c r="F16" s="479">
        <v>44208</v>
      </c>
      <c r="G16" s="478" t="s">
        <v>2572</v>
      </c>
      <c r="H16" s="212" t="s">
        <v>2573</v>
      </c>
      <c r="I16" s="212" t="s">
        <v>143</v>
      </c>
      <c r="J16" s="475">
        <v>22500000</v>
      </c>
      <c r="K16" s="212" t="s">
        <v>138</v>
      </c>
      <c r="L16" s="212" t="s">
        <v>139</v>
      </c>
      <c r="M16" s="212" t="s">
        <v>44</v>
      </c>
      <c r="N16" s="212" t="s">
        <v>45</v>
      </c>
      <c r="O16" s="212" t="s">
        <v>142</v>
      </c>
      <c r="P16" s="212" t="s">
        <v>43</v>
      </c>
      <c r="R16" s="212">
        <v>15</v>
      </c>
      <c r="S16" s="479">
        <v>44209</v>
      </c>
      <c r="T16" s="212" t="s">
        <v>2611</v>
      </c>
      <c r="U16" s="475">
        <v>22500000</v>
      </c>
      <c r="V16" s="406"/>
      <c r="W16" s="362"/>
      <c r="X16" s="211">
        <v>5</v>
      </c>
      <c r="Y16" s="472">
        <v>44210</v>
      </c>
      <c r="Z16" s="472">
        <v>44210</v>
      </c>
      <c r="AA16" s="472">
        <v>44269</v>
      </c>
      <c r="AB16" s="2" t="s">
        <v>2575</v>
      </c>
      <c r="AC16" s="211">
        <v>756</v>
      </c>
      <c r="AD16" s="2">
        <v>36312413</v>
      </c>
      <c r="AE16" s="212" t="s">
        <v>2612</v>
      </c>
      <c r="AF16" s="473">
        <v>22500000</v>
      </c>
      <c r="AG16" s="474">
        <f t="shared" si="0"/>
        <v>0</v>
      </c>
      <c r="AI16" s="480">
        <v>4250000</v>
      </c>
      <c r="AJ16" s="475">
        <v>7500000</v>
      </c>
      <c r="AK16" s="475">
        <v>7500000</v>
      </c>
      <c r="AM16" s="306">
        <v>3250000</v>
      </c>
    </row>
    <row r="17" spans="1:42" hidden="1" x14ac:dyDescent="0.25">
      <c r="A17" s="476" t="s">
        <v>2122</v>
      </c>
      <c r="B17" s="477">
        <v>16500000</v>
      </c>
      <c r="C17" s="212" t="s">
        <v>2571</v>
      </c>
      <c r="D17" s="212">
        <v>15</v>
      </c>
      <c r="E17" s="478">
        <v>20211200000563</v>
      </c>
      <c r="F17" s="479">
        <v>44208</v>
      </c>
      <c r="G17" s="478" t="s">
        <v>2572</v>
      </c>
      <c r="H17" s="212" t="s">
        <v>2573</v>
      </c>
      <c r="I17" s="212" t="s">
        <v>143</v>
      </c>
      <c r="J17" s="475">
        <v>16500000</v>
      </c>
      <c r="K17" s="212" t="s">
        <v>138</v>
      </c>
      <c r="L17" s="212" t="s">
        <v>139</v>
      </c>
      <c r="M17" s="212" t="s">
        <v>44</v>
      </c>
      <c r="N17" s="212" t="s">
        <v>45</v>
      </c>
      <c r="O17" s="212" t="s">
        <v>142</v>
      </c>
      <c r="P17" s="212" t="s">
        <v>43</v>
      </c>
      <c r="R17" s="212">
        <v>16</v>
      </c>
      <c r="S17" s="479">
        <v>44209</v>
      </c>
      <c r="T17" s="212" t="s">
        <v>2613</v>
      </c>
      <c r="U17" s="475">
        <v>16500000</v>
      </c>
      <c r="V17" s="406"/>
      <c r="W17" s="362"/>
      <c r="X17" s="211">
        <v>3</v>
      </c>
      <c r="Y17" s="472">
        <v>44210</v>
      </c>
      <c r="Z17" s="472">
        <v>44210</v>
      </c>
      <c r="AA17" s="472">
        <v>44269</v>
      </c>
      <c r="AB17" s="2" t="s">
        <v>2575</v>
      </c>
      <c r="AC17" s="211">
        <v>758</v>
      </c>
      <c r="AD17" s="2">
        <v>1020754898</v>
      </c>
      <c r="AE17" s="212" t="s">
        <v>2614</v>
      </c>
      <c r="AF17" s="473">
        <v>16500000</v>
      </c>
      <c r="AG17" s="474">
        <f t="shared" si="0"/>
        <v>0</v>
      </c>
      <c r="AI17" s="480">
        <v>3116666</v>
      </c>
      <c r="AJ17" s="475">
        <v>5500000</v>
      </c>
      <c r="AK17" s="475">
        <v>5500000</v>
      </c>
      <c r="AL17" s="475">
        <v>2383333</v>
      </c>
      <c r="AM17" s="212"/>
    </row>
    <row r="18" spans="1:42" hidden="1" x14ac:dyDescent="0.25">
      <c r="A18" s="476" t="s">
        <v>2563</v>
      </c>
      <c r="B18" s="477" t="s">
        <v>2563</v>
      </c>
      <c r="C18" s="212" t="s">
        <v>2615</v>
      </c>
      <c r="D18" s="212">
        <v>16</v>
      </c>
      <c r="E18" s="478">
        <v>20215000000593</v>
      </c>
      <c r="F18" s="479">
        <v>44209</v>
      </c>
      <c r="G18" s="478" t="s">
        <v>2565</v>
      </c>
      <c r="H18" s="212" t="s">
        <v>2566</v>
      </c>
      <c r="I18" s="212" t="s">
        <v>228</v>
      </c>
      <c r="J18" s="475">
        <v>94600000</v>
      </c>
      <c r="K18" s="212" t="s">
        <v>223</v>
      </c>
      <c r="L18" s="212" t="s">
        <v>224</v>
      </c>
      <c r="M18" s="212" t="s">
        <v>44</v>
      </c>
      <c r="N18" s="212" t="s">
        <v>45</v>
      </c>
      <c r="O18" s="212" t="s">
        <v>251</v>
      </c>
      <c r="P18" s="212" t="s">
        <v>676</v>
      </c>
      <c r="R18" s="212">
        <v>17</v>
      </c>
      <c r="S18" s="479">
        <v>44209</v>
      </c>
      <c r="T18" s="212" t="s">
        <v>2616</v>
      </c>
      <c r="U18" s="475">
        <v>94600000</v>
      </c>
      <c r="V18" s="406"/>
      <c r="W18" s="362"/>
      <c r="X18" s="211">
        <v>8</v>
      </c>
      <c r="Y18" s="472">
        <v>44211</v>
      </c>
      <c r="Z18" s="472">
        <v>44211</v>
      </c>
      <c r="AA18" s="472">
        <v>44561</v>
      </c>
      <c r="AB18" s="2" t="s">
        <v>2617</v>
      </c>
      <c r="AC18" s="482">
        <v>20215000001243</v>
      </c>
      <c r="AD18" s="2">
        <v>901145808</v>
      </c>
      <c r="AE18" s="212" t="s">
        <v>2618</v>
      </c>
      <c r="AF18" s="473">
        <v>94600000</v>
      </c>
      <c r="AG18" s="474">
        <f t="shared" si="0"/>
        <v>0</v>
      </c>
      <c r="AH18" s="475">
        <v>2842060</v>
      </c>
      <c r="AJ18" s="475">
        <v>13893730</v>
      </c>
      <c r="AK18" s="475">
        <v>18666130</v>
      </c>
      <c r="AL18" s="475">
        <f>508608-34189</f>
        <v>474419</v>
      </c>
      <c r="AM18" s="306">
        <v>8220469</v>
      </c>
    </row>
    <row r="19" spans="1:42" hidden="1" x14ac:dyDescent="0.25">
      <c r="A19" s="476" t="s">
        <v>1775</v>
      </c>
      <c r="B19" s="477">
        <v>49608000</v>
      </c>
      <c r="C19" s="212" t="s">
        <v>2571</v>
      </c>
      <c r="D19" s="212">
        <v>17</v>
      </c>
      <c r="E19" s="478">
        <v>20215000000603</v>
      </c>
      <c r="F19" s="479">
        <v>44209</v>
      </c>
      <c r="G19" s="478" t="s">
        <v>2565</v>
      </c>
      <c r="H19" s="212" t="s">
        <v>2566</v>
      </c>
      <c r="I19" s="212" t="s">
        <v>228</v>
      </c>
      <c r="J19" s="475">
        <v>49608000</v>
      </c>
      <c r="K19" s="212" t="s">
        <v>223</v>
      </c>
      <c r="L19" s="212" t="s">
        <v>236</v>
      </c>
      <c r="M19" s="212" t="s">
        <v>44</v>
      </c>
      <c r="N19" s="212" t="s">
        <v>45</v>
      </c>
      <c r="O19" s="212" t="s">
        <v>63</v>
      </c>
      <c r="P19" s="212" t="s">
        <v>676</v>
      </c>
      <c r="R19" s="212">
        <v>18</v>
      </c>
      <c r="S19" s="479">
        <v>44209</v>
      </c>
      <c r="T19" s="212" t="s">
        <v>2619</v>
      </c>
      <c r="U19" s="475">
        <f>49608000-5608000</f>
        <v>44000000</v>
      </c>
      <c r="V19" s="411">
        <v>5608000</v>
      </c>
      <c r="W19" s="397"/>
      <c r="X19" s="211">
        <v>14</v>
      </c>
      <c r="Y19" s="472">
        <v>44215</v>
      </c>
      <c r="Z19" s="472">
        <v>44215</v>
      </c>
      <c r="AA19" s="472">
        <v>44549</v>
      </c>
      <c r="AB19" s="2" t="s">
        <v>2575</v>
      </c>
      <c r="AC19" s="211">
        <v>2</v>
      </c>
      <c r="AD19" s="2">
        <v>79787402</v>
      </c>
      <c r="AE19" s="212" t="s">
        <v>2620</v>
      </c>
      <c r="AF19" s="473">
        <v>44000000</v>
      </c>
      <c r="AG19" s="474">
        <f t="shared" si="0"/>
        <v>0</v>
      </c>
      <c r="AJ19" s="475">
        <v>5466667</v>
      </c>
      <c r="AK19" s="475">
        <v>4000000</v>
      </c>
      <c r="AL19" s="475">
        <v>4000000</v>
      </c>
      <c r="AM19" s="306">
        <v>4000000</v>
      </c>
    </row>
    <row r="20" spans="1:42" hidden="1" x14ac:dyDescent="0.25">
      <c r="B20" s="477" t="s">
        <v>2608</v>
      </c>
      <c r="C20" s="212" t="s">
        <v>2571</v>
      </c>
      <c r="D20" s="212">
        <v>18</v>
      </c>
      <c r="E20" s="478">
        <v>20217000000613</v>
      </c>
      <c r="F20" s="479">
        <v>44209</v>
      </c>
      <c r="G20" s="478" t="s">
        <v>2572</v>
      </c>
      <c r="H20" s="212" t="s">
        <v>2573</v>
      </c>
      <c r="I20" s="212" t="s">
        <v>164</v>
      </c>
      <c r="J20" s="475">
        <v>5266818</v>
      </c>
      <c r="K20" s="212" t="s">
        <v>138</v>
      </c>
      <c r="L20" s="212" t="s">
        <v>139</v>
      </c>
      <c r="M20" s="212" t="s">
        <v>44</v>
      </c>
      <c r="N20" s="212" t="s">
        <v>45</v>
      </c>
      <c r="O20" s="212" t="s">
        <v>142</v>
      </c>
      <c r="P20" s="212" t="s">
        <v>43</v>
      </c>
      <c r="R20" s="212">
        <v>19</v>
      </c>
      <c r="S20" s="479">
        <v>44209</v>
      </c>
      <c r="T20" s="212" t="s">
        <v>2621</v>
      </c>
      <c r="U20" s="475">
        <v>5266818</v>
      </c>
      <c r="V20" s="406"/>
      <c r="W20" s="362"/>
      <c r="X20" s="211">
        <v>25</v>
      </c>
      <c r="Y20" s="472">
        <v>44218</v>
      </c>
      <c r="Z20" s="472">
        <v>44220</v>
      </c>
      <c r="AA20" s="472">
        <v>44278</v>
      </c>
      <c r="AB20" s="2" t="s">
        <v>2575</v>
      </c>
      <c r="AC20" s="211">
        <v>434</v>
      </c>
      <c r="AD20" s="2">
        <v>79763003</v>
      </c>
      <c r="AE20" s="212" t="s">
        <v>2622</v>
      </c>
      <c r="AF20" s="473">
        <v>5266818</v>
      </c>
      <c r="AG20" s="474">
        <f t="shared" si="0"/>
        <v>0</v>
      </c>
      <c r="AI20" s="480">
        <v>2633409</v>
      </c>
      <c r="AJ20" s="475">
        <v>2633409</v>
      </c>
      <c r="AM20" s="212"/>
    </row>
    <row r="21" spans="1:42" hidden="1" x14ac:dyDescent="0.25">
      <c r="B21" s="477" t="s">
        <v>2608</v>
      </c>
      <c r="C21" s="212" t="s">
        <v>2571</v>
      </c>
      <c r="D21" s="212">
        <v>19</v>
      </c>
      <c r="E21" s="478">
        <v>20217000000633</v>
      </c>
      <c r="F21" s="479">
        <v>44209</v>
      </c>
      <c r="G21" s="478" t="s">
        <v>2572</v>
      </c>
      <c r="H21" s="212" t="s">
        <v>2573</v>
      </c>
      <c r="I21" s="212" t="s">
        <v>164</v>
      </c>
      <c r="J21" s="475">
        <v>5266818</v>
      </c>
      <c r="K21" s="212" t="s">
        <v>138</v>
      </c>
      <c r="L21" s="212" t="s">
        <v>139</v>
      </c>
      <c r="M21" s="212" t="s">
        <v>44</v>
      </c>
      <c r="N21" s="212" t="s">
        <v>45</v>
      </c>
      <c r="O21" s="212" t="s">
        <v>142</v>
      </c>
      <c r="P21" s="212" t="s">
        <v>43</v>
      </c>
      <c r="R21" s="212">
        <v>20</v>
      </c>
      <c r="S21" s="479">
        <v>44209</v>
      </c>
      <c r="T21" s="212" t="s">
        <v>2623</v>
      </c>
      <c r="U21" s="475">
        <v>5266818</v>
      </c>
      <c r="V21" s="406"/>
      <c r="W21" s="362"/>
      <c r="X21" s="211">
        <v>24</v>
      </c>
      <c r="Y21" s="472">
        <v>44218</v>
      </c>
      <c r="Z21" s="472">
        <v>44221</v>
      </c>
      <c r="AA21" s="472">
        <v>44279</v>
      </c>
      <c r="AB21" s="2" t="s">
        <v>2575</v>
      </c>
      <c r="AC21" s="211">
        <v>438</v>
      </c>
      <c r="AD21" s="2">
        <v>52766365</v>
      </c>
      <c r="AE21" s="212" t="s">
        <v>2624</v>
      </c>
      <c r="AF21" s="473">
        <v>5266818</v>
      </c>
      <c r="AG21" s="474">
        <f t="shared" si="0"/>
        <v>0</v>
      </c>
      <c r="AI21" s="480">
        <v>2633409</v>
      </c>
      <c r="AJ21" s="475">
        <v>2633409</v>
      </c>
      <c r="AM21" s="212"/>
    </row>
    <row r="22" spans="1:42" hidden="1" x14ac:dyDescent="0.25">
      <c r="B22" s="477" t="s">
        <v>2608</v>
      </c>
      <c r="C22" s="212" t="s">
        <v>2571</v>
      </c>
      <c r="D22" s="212">
        <v>20</v>
      </c>
      <c r="E22" s="478">
        <v>20217000000673</v>
      </c>
      <c r="F22" s="479">
        <v>44209</v>
      </c>
      <c r="G22" s="478" t="s">
        <v>2572</v>
      </c>
      <c r="H22" s="212" t="s">
        <v>2573</v>
      </c>
      <c r="I22" s="212" t="s">
        <v>164</v>
      </c>
      <c r="J22" s="475">
        <v>14040000</v>
      </c>
      <c r="K22" s="212" t="s">
        <v>138</v>
      </c>
      <c r="L22" s="212" t="s">
        <v>139</v>
      </c>
      <c r="M22" s="212" t="s">
        <v>44</v>
      </c>
      <c r="N22" s="212" t="s">
        <v>45</v>
      </c>
      <c r="O22" s="212" t="s">
        <v>142</v>
      </c>
      <c r="P22" s="212" t="s">
        <v>43</v>
      </c>
      <c r="R22" s="212">
        <v>21</v>
      </c>
      <c r="S22" s="479">
        <v>44209</v>
      </c>
      <c r="T22" s="212" t="s">
        <v>2625</v>
      </c>
      <c r="U22" s="475">
        <v>14040000</v>
      </c>
      <c r="V22" s="406"/>
      <c r="W22" s="362"/>
      <c r="X22" s="211">
        <v>47</v>
      </c>
      <c r="Y22" s="472">
        <v>44224</v>
      </c>
      <c r="Z22" s="472">
        <v>44225</v>
      </c>
      <c r="AA22" s="472">
        <v>44283</v>
      </c>
      <c r="AB22" s="2" t="s">
        <v>2575</v>
      </c>
      <c r="AC22" s="211">
        <v>475</v>
      </c>
      <c r="AD22" s="2">
        <v>79971696</v>
      </c>
      <c r="AE22" s="212" t="s">
        <v>2626</v>
      </c>
      <c r="AF22" s="473">
        <v>14040000</v>
      </c>
      <c r="AG22" s="474">
        <f t="shared" si="0"/>
        <v>0</v>
      </c>
      <c r="AI22" s="475">
        <v>7020000</v>
      </c>
      <c r="AJ22" s="475">
        <v>7020000</v>
      </c>
      <c r="AM22" s="212"/>
    </row>
    <row r="23" spans="1:42" hidden="1" x14ac:dyDescent="0.25">
      <c r="B23" s="477" t="s">
        <v>2608</v>
      </c>
      <c r="C23" s="212" t="s">
        <v>2571</v>
      </c>
      <c r="D23" s="212">
        <v>21</v>
      </c>
      <c r="E23" s="478">
        <v>20217000000683</v>
      </c>
      <c r="F23" s="479">
        <v>44209</v>
      </c>
      <c r="G23" s="478" t="s">
        <v>2572</v>
      </c>
      <c r="H23" s="212" t="s">
        <v>2573</v>
      </c>
      <c r="I23" s="212" t="s">
        <v>164</v>
      </c>
      <c r="J23" s="475">
        <v>17000000</v>
      </c>
      <c r="K23" s="212" t="s">
        <v>138</v>
      </c>
      <c r="L23" s="212" t="s">
        <v>139</v>
      </c>
      <c r="M23" s="212" t="s">
        <v>44</v>
      </c>
      <c r="N23" s="212" t="s">
        <v>45</v>
      </c>
      <c r="O23" s="212" t="s">
        <v>142</v>
      </c>
      <c r="P23" s="212" t="s">
        <v>43</v>
      </c>
      <c r="R23" s="212">
        <v>22</v>
      </c>
      <c r="S23" s="479">
        <v>44209</v>
      </c>
      <c r="T23" s="212" t="s">
        <v>2627</v>
      </c>
      <c r="U23" s="475">
        <v>17000000</v>
      </c>
      <c r="V23" s="406"/>
      <c r="W23" s="362"/>
      <c r="X23" s="211">
        <v>27</v>
      </c>
      <c r="Y23" s="472">
        <v>44218</v>
      </c>
      <c r="Z23" s="472">
        <v>44226</v>
      </c>
      <c r="AA23" s="472">
        <v>44284</v>
      </c>
      <c r="AB23" s="2" t="s">
        <v>2575</v>
      </c>
      <c r="AC23" s="211">
        <v>474</v>
      </c>
      <c r="AD23" s="2">
        <v>79294836</v>
      </c>
      <c r="AE23" s="212" t="s">
        <v>2628</v>
      </c>
      <c r="AF23" s="473">
        <v>17000000</v>
      </c>
      <c r="AG23" s="474">
        <f t="shared" si="0"/>
        <v>0</v>
      </c>
      <c r="AI23" s="475">
        <v>8500000</v>
      </c>
      <c r="AJ23" s="475">
        <v>8500000</v>
      </c>
      <c r="AM23" s="212"/>
    </row>
    <row r="24" spans="1:42" hidden="1" x14ac:dyDescent="0.25">
      <c r="B24" s="477" t="s">
        <v>2608</v>
      </c>
      <c r="C24" s="212" t="s">
        <v>2571</v>
      </c>
      <c r="D24" s="212">
        <v>22</v>
      </c>
      <c r="E24" s="478">
        <v>20217000000693</v>
      </c>
      <c r="F24" s="479">
        <v>44209</v>
      </c>
      <c r="G24" s="478" t="s">
        <v>2572</v>
      </c>
      <c r="H24" s="212" t="s">
        <v>2573</v>
      </c>
      <c r="I24" s="212" t="s">
        <v>164</v>
      </c>
      <c r="J24" s="475">
        <v>13576686</v>
      </c>
      <c r="K24" s="212" t="s">
        <v>138</v>
      </c>
      <c r="L24" s="212" t="s">
        <v>139</v>
      </c>
      <c r="M24" s="212" t="s">
        <v>44</v>
      </c>
      <c r="N24" s="212" t="s">
        <v>45</v>
      </c>
      <c r="O24" s="212" t="s">
        <v>142</v>
      </c>
      <c r="P24" s="212" t="s">
        <v>43</v>
      </c>
      <c r="R24" s="212">
        <v>23</v>
      </c>
      <c r="S24" s="479">
        <v>44209</v>
      </c>
      <c r="T24" s="212" t="s">
        <v>2629</v>
      </c>
      <c r="U24" s="475">
        <v>13576686</v>
      </c>
      <c r="V24" s="406"/>
      <c r="W24" s="362"/>
      <c r="X24" s="483">
        <v>130</v>
      </c>
      <c r="Y24" s="484">
        <v>44239</v>
      </c>
      <c r="Z24" s="484">
        <v>44242</v>
      </c>
      <c r="AA24" s="484">
        <v>44298</v>
      </c>
      <c r="AB24" s="485" t="s">
        <v>2575</v>
      </c>
      <c r="AC24" s="483">
        <v>482</v>
      </c>
      <c r="AD24" s="485">
        <v>53100506</v>
      </c>
      <c r="AE24" s="486" t="s">
        <v>2630</v>
      </c>
      <c r="AF24" s="473">
        <v>13576686</v>
      </c>
      <c r="AG24" s="474">
        <f t="shared" si="0"/>
        <v>0</v>
      </c>
      <c r="AJ24" s="475">
        <v>7022424</v>
      </c>
      <c r="AK24" s="475">
        <v>3745294</v>
      </c>
      <c r="AL24" s="475">
        <v>2808968</v>
      </c>
      <c r="AM24" s="212"/>
    </row>
    <row r="25" spans="1:42" hidden="1" x14ac:dyDescent="0.25">
      <c r="A25" s="476" t="s">
        <v>2631</v>
      </c>
      <c r="B25" s="477">
        <v>136056666</v>
      </c>
      <c r="C25" s="212" t="s">
        <v>2571</v>
      </c>
      <c r="D25" s="212">
        <v>23</v>
      </c>
      <c r="E25" s="478">
        <v>20214000000703</v>
      </c>
      <c r="F25" s="479">
        <v>44210</v>
      </c>
      <c r="G25" s="478" t="s">
        <v>2598</v>
      </c>
      <c r="H25" s="212" t="s">
        <v>2599</v>
      </c>
      <c r="I25" s="212" t="s">
        <v>117</v>
      </c>
      <c r="J25" s="475">
        <v>136056666</v>
      </c>
      <c r="K25" s="212" t="s">
        <v>112</v>
      </c>
      <c r="L25" s="212" t="s">
        <v>2600</v>
      </c>
      <c r="M25" s="212" t="s">
        <v>44</v>
      </c>
      <c r="N25" s="212" t="s">
        <v>45</v>
      </c>
      <c r="O25" s="212" t="s">
        <v>63</v>
      </c>
      <c r="P25" s="212" t="s">
        <v>43</v>
      </c>
      <c r="R25" s="212">
        <v>24</v>
      </c>
      <c r="S25" s="479">
        <v>44210</v>
      </c>
      <c r="T25" s="212" t="s">
        <v>2632</v>
      </c>
      <c r="U25" s="475">
        <v>136056666</v>
      </c>
      <c r="V25" s="406"/>
      <c r="W25" s="362"/>
      <c r="X25" s="32">
        <v>78</v>
      </c>
      <c r="Y25" s="484">
        <v>44232</v>
      </c>
      <c r="Z25" s="484">
        <v>44232</v>
      </c>
      <c r="AA25" s="484">
        <v>44561</v>
      </c>
      <c r="AB25" s="485" t="s">
        <v>2575</v>
      </c>
      <c r="AC25" s="211">
        <v>42</v>
      </c>
      <c r="AD25" s="487">
        <v>901014925</v>
      </c>
      <c r="AE25" s="486" t="s">
        <v>2633</v>
      </c>
      <c r="AF25" s="473">
        <v>126933333</v>
      </c>
      <c r="AG25" s="474">
        <f t="shared" si="0"/>
        <v>9123333</v>
      </c>
      <c r="AK25" s="475">
        <v>11900000</v>
      </c>
      <c r="AL25" s="475">
        <v>23800000</v>
      </c>
      <c r="AM25" s="306">
        <v>11900000</v>
      </c>
    </row>
    <row r="26" spans="1:42" hidden="1" x14ac:dyDescent="0.25">
      <c r="A26" s="476" t="s">
        <v>2173</v>
      </c>
      <c r="B26" s="477">
        <v>27000000</v>
      </c>
      <c r="C26" s="212" t="s">
        <v>2571</v>
      </c>
      <c r="D26" s="212">
        <v>24</v>
      </c>
      <c r="E26" s="478">
        <v>20214000000753</v>
      </c>
      <c r="F26" s="479">
        <v>44210</v>
      </c>
      <c r="G26" s="478" t="s">
        <v>2598</v>
      </c>
      <c r="H26" s="212" t="s">
        <v>2599</v>
      </c>
      <c r="I26" s="212" t="s">
        <v>117</v>
      </c>
      <c r="J26" s="475">
        <v>27000000</v>
      </c>
      <c r="K26" s="212" t="s">
        <v>112</v>
      </c>
      <c r="L26" s="212" t="s">
        <v>2600</v>
      </c>
      <c r="M26" s="212" t="s">
        <v>44</v>
      </c>
      <c r="N26" s="212" t="s">
        <v>45</v>
      </c>
      <c r="O26" s="212" t="s">
        <v>63</v>
      </c>
      <c r="P26" s="212" t="s">
        <v>43</v>
      </c>
      <c r="R26" s="212">
        <v>27</v>
      </c>
      <c r="S26" s="479">
        <v>44210</v>
      </c>
      <c r="T26" s="212" t="s">
        <v>2634</v>
      </c>
      <c r="U26" s="475">
        <v>27000000</v>
      </c>
      <c r="V26" s="406"/>
      <c r="W26" s="362"/>
      <c r="X26" s="308">
        <v>63</v>
      </c>
      <c r="Y26" s="472">
        <v>44229</v>
      </c>
      <c r="Z26" s="472">
        <v>44229</v>
      </c>
      <c r="AA26" s="472">
        <v>44502</v>
      </c>
      <c r="AB26" s="2" t="s">
        <v>2575</v>
      </c>
      <c r="AC26" s="211">
        <v>29</v>
      </c>
      <c r="AD26" s="2">
        <v>80796522</v>
      </c>
      <c r="AE26" s="212" t="s">
        <v>2635</v>
      </c>
      <c r="AF26" s="473">
        <v>27000000</v>
      </c>
      <c r="AG26" s="474">
        <f t="shared" si="0"/>
        <v>0</v>
      </c>
      <c r="AK26" s="475">
        <f>2600000+3000000</f>
        <v>5600000</v>
      </c>
      <c r="AL26" s="475">
        <v>3000000</v>
      </c>
      <c r="AM26" s="306">
        <v>3000000</v>
      </c>
    </row>
    <row r="27" spans="1:42" hidden="1" x14ac:dyDescent="0.25">
      <c r="A27" s="476" t="s">
        <v>1922</v>
      </c>
      <c r="B27" s="477">
        <v>36950520</v>
      </c>
      <c r="C27" s="212" t="s">
        <v>2571</v>
      </c>
      <c r="D27" s="212">
        <v>25</v>
      </c>
      <c r="E27" s="478">
        <v>20212000000723</v>
      </c>
      <c r="F27" s="479">
        <v>44210</v>
      </c>
      <c r="G27" s="478" t="s">
        <v>2565</v>
      </c>
      <c r="H27" s="212" t="s">
        <v>2566</v>
      </c>
      <c r="I27" s="212" t="s">
        <v>391</v>
      </c>
      <c r="J27" s="475">
        <v>35593580</v>
      </c>
      <c r="K27" s="210" t="s">
        <v>2636</v>
      </c>
      <c r="L27" s="212" t="s">
        <v>2637</v>
      </c>
      <c r="M27" s="212" t="s">
        <v>44</v>
      </c>
      <c r="N27" s="212" t="s">
        <v>45</v>
      </c>
      <c r="O27" s="212" t="s">
        <v>63</v>
      </c>
      <c r="P27" s="212" t="s">
        <v>676</v>
      </c>
      <c r="R27" s="212">
        <v>25</v>
      </c>
      <c r="S27" s="479">
        <v>44210</v>
      </c>
      <c r="T27" s="212" t="s">
        <v>2638</v>
      </c>
      <c r="U27" s="475">
        <f>35593580-2713880</f>
        <v>32879700</v>
      </c>
      <c r="V27" s="411">
        <v>2713880</v>
      </c>
      <c r="W27" s="397"/>
      <c r="X27" s="308">
        <v>75</v>
      </c>
      <c r="Y27" s="484">
        <v>44231</v>
      </c>
      <c r="Z27" s="484">
        <v>44231</v>
      </c>
      <c r="AA27" s="484">
        <v>44561</v>
      </c>
      <c r="AB27" s="485" t="s">
        <v>2575</v>
      </c>
      <c r="AC27" s="211">
        <v>32</v>
      </c>
      <c r="AD27" s="487">
        <v>80197560</v>
      </c>
      <c r="AE27" s="486" t="s">
        <v>2639</v>
      </c>
      <c r="AF27" s="473">
        <v>32879700</v>
      </c>
      <c r="AG27" s="474">
        <f t="shared" si="0"/>
        <v>0</v>
      </c>
      <c r="AJ27" s="475">
        <v>2505120</v>
      </c>
      <c r="AK27" s="475">
        <v>3131400</v>
      </c>
      <c r="AL27" s="475">
        <v>3131400</v>
      </c>
      <c r="AM27" s="306">
        <v>3131400</v>
      </c>
    </row>
    <row r="28" spans="1:42" s="312" customFormat="1" hidden="1" x14ac:dyDescent="0.25">
      <c r="A28" s="361"/>
      <c r="B28" s="417"/>
      <c r="C28" s="312" t="s">
        <v>2571</v>
      </c>
      <c r="D28" s="312">
        <v>26</v>
      </c>
      <c r="E28" s="325">
        <v>20212000000733</v>
      </c>
      <c r="F28" s="315">
        <v>44210</v>
      </c>
      <c r="G28" s="325" t="s">
        <v>2565</v>
      </c>
      <c r="H28" s="312" t="s">
        <v>2566</v>
      </c>
      <c r="I28" s="312" t="s">
        <v>391</v>
      </c>
      <c r="J28" s="405">
        <v>41738400</v>
      </c>
      <c r="K28" s="312" t="s">
        <v>2636</v>
      </c>
      <c r="L28" s="312" t="s">
        <v>2637</v>
      </c>
      <c r="M28" s="312" t="s">
        <v>44</v>
      </c>
      <c r="N28" s="312" t="s">
        <v>45</v>
      </c>
      <c r="O28" s="312" t="s">
        <v>63</v>
      </c>
      <c r="P28" s="312" t="s">
        <v>676</v>
      </c>
      <c r="R28" s="312">
        <v>26</v>
      </c>
      <c r="S28" s="315">
        <v>44210</v>
      </c>
      <c r="T28" s="312" t="s">
        <v>2640</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x14ac:dyDescent="0.25">
      <c r="A29" s="476" t="s">
        <v>1834</v>
      </c>
      <c r="B29" s="477">
        <v>40800000</v>
      </c>
      <c r="C29" s="212" t="s">
        <v>2571</v>
      </c>
      <c r="D29" s="212">
        <v>27</v>
      </c>
      <c r="E29" s="478">
        <v>20215000000793</v>
      </c>
      <c r="F29" s="479">
        <v>44210</v>
      </c>
      <c r="G29" s="478" t="s">
        <v>2565</v>
      </c>
      <c r="H29" s="212" t="s">
        <v>2566</v>
      </c>
      <c r="I29" s="212" t="s">
        <v>228</v>
      </c>
      <c r="J29" s="475">
        <v>34000000</v>
      </c>
      <c r="K29" s="212" t="s">
        <v>223</v>
      </c>
      <c r="L29" s="212" t="s">
        <v>236</v>
      </c>
      <c r="M29" s="212" t="s">
        <v>44</v>
      </c>
      <c r="N29" s="212" t="s">
        <v>45</v>
      </c>
      <c r="O29" s="212" t="s">
        <v>63</v>
      </c>
      <c r="P29" s="212" t="s">
        <v>676</v>
      </c>
      <c r="R29" s="212">
        <v>28</v>
      </c>
      <c r="S29" s="479">
        <v>44210</v>
      </c>
      <c r="T29" s="212" t="s">
        <v>2641</v>
      </c>
      <c r="U29" s="475">
        <f>34000000-1000000</f>
        <v>33000000</v>
      </c>
      <c r="V29" s="411">
        <v>1000000</v>
      </c>
      <c r="W29" s="397"/>
      <c r="X29" s="211">
        <v>19</v>
      </c>
      <c r="Y29" s="472">
        <v>44216</v>
      </c>
      <c r="Z29" s="472">
        <v>44216</v>
      </c>
      <c r="AA29" s="472">
        <v>44550</v>
      </c>
      <c r="AB29" s="2" t="s">
        <v>2575</v>
      </c>
      <c r="AC29" s="211">
        <v>7</v>
      </c>
      <c r="AD29" s="2">
        <v>1010044231</v>
      </c>
      <c r="AE29" s="212" t="s">
        <v>2642</v>
      </c>
      <c r="AF29" s="473">
        <v>33000000</v>
      </c>
      <c r="AG29" s="474">
        <f t="shared" si="0"/>
        <v>0</v>
      </c>
      <c r="AJ29" s="475">
        <v>3600000</v>
      </c>
      <c r="AK29" s="475">
        <v>3000000</v>
      </c>
      <c r="AL29" s="475">
        <v>3000000</v>
      </c>
      <c r="AM29" s="306">
        <v>3000000</v>
      </c>
    </row>
    <row r="30" spans="1:42" hidden="1" x14ac:dyDescent="0.25">
      <c r="B30" s="477" t="s">
        <v>2608</v>
      </c>
      <c r="C30" s="212" t="s">
        <v>2571</v>
      </c>
      <c r="D30" s="212">
        <v>28</v>
      </c>
      <c r="E30" s="478">
        <v>20211300001153</v>
      </c>
      <c r="F30" s="479">
        <v>44211</v>
      </c>
      <c r="G30" s="478" t="s">
        <v>2572</v>
      </c>
      <c r="H30" s="212" t="s">
        <v>2573</v>
      </c>
      <c r="I30" s="212" t="s">
        <v>210</v>
      </c>
      <c r="J30" s="475">
        <v>7900000</v>
      </c>
      <c r="K30" s="212" t="s">
        <v>138</v>
      </c>
      <c r="L30" s="212" t="s">
        <v>139</v>
      </c>
      <c r="M30" s="212" t="s">
        <v>44</v>
      </c>
      <c r="N30" s="212" t="s">
        <v>45</v>
      </c>
      <c r="O30" s="212" t="s">
        <v>142</v>
      </c>
      <c r="P30" s="212" t="s">
        <v>43</v>
      </c>
      <c r="R30" s="212">
        <v>42</v>
      </c>
      <c r="S30" s="479">
        <v>44211</v>
      </c>
      <c r="T30" s="212" t="s">
        <v>2643</v>
      </c>
      <c r="U30" s="475">
        <v>7900000</v>
      </c>
      <c r="V30" s="406"/>
      <c r="W30" s="362"/>
      <c r="X30" s="308">
        <v>55</v>
      </c>
      <c r="Y30" s="472">
        <v>44228</v>
      </c>
      <c r="Z30" s="472">
        <v>44228</v>
      </c>
      <c r="AA30" s="472">
        <v>44286</v>
      </c>
      <c r="AB30" s="2" t="s">
        <v>2575</v>
      </c>
      <c r="AC30" s="211">
        <v>427</v>
      </c>
      <c r="AD30" s="2">
        <v>80174339</v>
      </c>
      <c r="AE30" s="212" t="s">
        <v>2644</v>
      </c>
      <c r="AF30" s="473">
        <v>7900000</v>
      </c>
      <c r="AG30" s="474">
        <f t="shared" si="0"/>
        <v>0</v>
      </c>
      <c r="AJ30" s="475">
        <v>3950000</v>
      </c>
      <c r="AL30" s="475">
        <v>3950000</v>
      </c>
      <c r="AM30" s="212"/>
    </row>
    <row r="31" spans="1:42" hidden="1" x14ac:dyDescent="0.25">
      <c r="A31" s="476" t="s">
        <v>2023</v>
      </c>
      <c r="B31" s="477">
        <v>64900000</v>
      </c>
      <c r="C31" s="212" t="s">
        <v>2571</v>
      </c>
      <c r="D31" s="212">
        <v>29</v>
      </c>
      <c r="E31" s="478">
        <v>20215000000833</v>
      </c>
      <c r="F31" s="479">
        <v>44211</v>
      </c>
      <c r="G31" s="478" t="s">
        <v>2565</v>
      </c>
      <c r="H31" s="212" t="s">
        <v>2566</v>
      </c>
      <c r="I31" s="212" t="s">
        <v>228</v>
      </c>
      <c r="J31" s="475">
        <v>64900000</v>
      </c>
      <c r="K31" s="212" t="s">
        <v>223</v>
      </c>
      <c r="L31" s="212" t="s">
        <v>233</v>
      </c>
      <c r="M31" s="212" t="s">
        <v>44</v>
      </c>
      <c r="N31" s="212" t="s">
        <v>45</v>
      </c>
      <c r="O31" s="212" t="s">
        <v>63</v>
      </c>
      <c r="P31" s="212" t="s">
        <v>676</v>
      </c>
      <c r="R31" s="212">
        <v>31</v>
      </c>
      <c r="S31" s="479">
        <v>44211</v>
      </c>
      <c r="T31" s="212" t="s">
        <v>2645</v>
      </c>
      <c r="U31" s="475">
        <v>64900000</v>
      </c>
      <c r="V31" s="406"/>
      <c r="W31" s="362"/>
      <c r="X31" s="211">
        <v>41</v>
      </c>
      <c r="Y31" s="472">
        <v>44224</v>
      </c>
      <c r="Z31" s="472">
        <v>44224</v>
      </c>
      <c r="AA31" s="472">
        <v>44558</v>
      </c>
      <c r="AB31" s="2" t="s">
        <v>2575</v>
      </c>
      <c r="AC31" s="211">
        <v>16</v>
      </c>
      <c r="AD31" s="2">
        <v>1013629185</v>
      </c>
      <c r="AE31" s="212" t="s">
        <v>2646</v>
      </c>
      <c r="AF31" s="473">
        <v>64900000</v>
      </c>
      <c r="AG31" s="474">
        <f t="shared" si="0"/>
        <v>0</v>
      </c>
      <c r="AJ31" s="475">
        <v>6490000</v>
      </c>
      <c r="AK31" s="475">
        <v>5900000</v>
      </c>
      <c r="AL31" s="475">
        <v>5900000</v>
      </c>
      <c r="AM31" s="306">
        <v>5900000</v>
      </c>
    </row>
    <row r="32" spans="1:42" hidden="1" x14ac:dyDescent="0.25">
      <c r="A32" s="476" t="s">
        <v>2023</v>
      </c>
      <c r="B32" s="477">
        <v>64900000</v>
      </c>
      <c r="C32" s="212" t="s">
        <v>2571</v>
      </c>
      <c r="D32" s="212">
        <v>30</v>
      </c>
      <c r="E32" s="478">
        <v>20215000000843</v>
      </c>
      <c r="F32" s="479">
        <v>44211</v>
      </c>
      <c r="G32" s="478" t="s">
        <v>2565</v>
      </c>
      <c r="H32" s="212" t="s">
        <v>2566</v>
      </c>
      <c r="I32" s="212" t="s">
        <v>228</v>
      </c>
      <c r="J32" s="475">
        <v>64900000</v>
      </c>
      <c r="K32" s="212" t="s">
        <v>223</v>
      </c>
      <c r="L32" s="212" t="s">
        <v>233</v>
      </c>
      <c r="M32" s="212" t="s">
        <v>44</v>
      </c>
      <c r="N32" s="212" t="s">
        <v>45</v>
      </c>
      <c r="O32" s="212" t="s">
        <v>63</v>
      </c>
      <c r="P32" s="212" t="s">
        <v>676</v>
      </c>
      <c r="R32" s="212">
        <v>32</v>
      </c>
      <c r="S32" s="479">
        <v>44211</v>
      </c>
      <c r="T32" s="212" t="s">
        <v>2645</v>
      </c>
      <c r="U32" s="475">
        <f>64900000-9250000</f>
        <v>55650000</v>
      </c>
      <c r="V32" s="411">
        <v>9250000</v>
      </c>
      <c r="W32" s="397"/>
      <c r="X32" s="483">
        <v>122</v>
      </c>
      <c r="Y32" s="484">
        <v>44239</v>
      </c>
      <c r="Z32" s="484">
        <v>44239</v>
      </c>
      <c r="AA32" s="484">
        <v>44561</v>
      </c>
      <c r="AB32" s="485" t="s">
        <v>2575</v>
      </c>
      <c r="AC32" s="483">
        <v>75</v>
      </c>
      <c r="AD32" s="485">
        <v>31832625</v>
      </c>
      <c r="AE32" s="486" t="s">
        <v>2647</v>
      </c>
      <c r="AF32" s="473">
        <v>55650000</v>
      </c>
      <c r="AG32" s="474">
        <f t="shared" si="0"/>
        <v>0</v>
      </c>
      <c r="AJ32" s="475">
        <v>3003333</v>
      </c>
      <c r="AK32" s="475">
        <v>5300000</v>
      </c>
      <c r="AL32" s="475">
        <v>5300000</v>
      </c>
      <c r="AM32" s="306">
        <v>5300000</v>
      </c>
      <c r="AP32" s="389"/>
    </row>
    <row r="33" spans="1:39" hidden="1" x14ac:dyDescent="0.25">
      <c r="A33" s="476" t="s">
        <v>2023</v>
      </c>
      <c r="B33" s="477">
        <v>64900000</v>
      </c>
      <c r="C33" s="212" t="s">
        <v>2571</v>
      </c>
      <c r="D33" s="212">
        <v>31</v>
      </c>
      <c r="E33" s="478">
        <v>20215000000853</v>
      </c>
      <c r="F33" s="479">
        <v>44211</v>
      </c>
      <c r="G33" s="478" t="s">
        <v>2565</v>
      </c>
      <c r="H33" s="212" t="s">
        <v>2566</v>
      </c>
      <c r="I33" s="212" t="s">
        <v>228</v>
      </c>
      <c r="J33" s="475">
        <v>64900000</v>
      </c>
      <c r="K33" s="212" t="s">
        <v>223</v>
      </c>
      <c r="L33" s="212" t="s">
        <v>233</v>
      </c>
      <c r="M33" s="212" t="s">
        <v>44</v>
      </c>
      <c r="N33" s="212" t="s">
        <v>45</v>
      </c>
      <c r="O33" s="212" t="s">
        <v>63</v>
      </c>
      <c r="P33" s="212" t="s">
        <v>676</v>
      </c>
      <c r="R33" s="212">
        <v>33</v>
      </c>
      <c r="S33" s="479">
        <v>44211</v>
      </c>
      <c r="T33" s="212" t="s">
        <v>2645</v>
      </c>
      <c r="U33" s="475">
        <v>64900000</v>
      </c>
      <c r="V33" s="406"/>
      <c r="W33" s="362"/>
      <c r="X33" s="211">
        <v>48</v>
      </c>
      <c r="Y33" s="472">
        <v>44224</v>
      </c>
      <c r="Z33" s="472">
        <v>44224</v>
      </c>
      <c r="AA33" s="472">
        <v>44558</v>
      </c>
      <c r="AB33" s="2" t="s">
        <v>2575</v>
      </c>
      <c r="AC33" s="211">
        <v>19</v>
      </c>
      <c r="AD33" s="2">
        <v>1019004199</v>
      </c>
      <c r="AE33" s="212" t="s">
        <v>2648</v>
      </c>
      <c r="AF33" s="473">
        <v>64900000</v>
      </c>
      <c r="AG33" s="474">
        <f t="shared" si="0"/>
        <v>0</v>
      </c>
      <c r="AJ33" s="475">
        <v>6293333</v>
      </c>
      <c r="AK33" s="475">
        <v>5900000</v>
      </c>
      <c r="AL33" s="475">
        <v>5900000</v>
      </c>
      <c r="AM33" s="306">
        <v>5900000</v>
      </c>
    </row>
    <row r="34" spans="1:39" hidden="1" x14ac:dyDescent="0.25">
      <c r="A34" s="476" t="s">
        <v>2023</v>
      </c>
      <c r="B34" s="477">
        <v>64900000</v>
      </c>
      <c r="C34" s="212" t="s">
        <v>2571</v>
      </c>
      <c r="D34" s="212">
        <v>32</v>
      </c>
      <c r="E34" s="478">
        <v>20215000000863</v>
      </c>
      <c r="F34" s="479">
        <v>44211</v>
      </c>
      <c r="G34" s="478" t="s">
        <v>2565</v>
      </c>
      <c r="H34" s="212" t="s">
        <v>2566</v>
      </c>
      <c r="I34" s="212" t="s">
        <v>228</v>
      </c>
      <c r="J34" s="475">
        <v>64900000</v>
      </c>
      <c r="K34" s="212" t="s">
        <v>223</v>
      </c>
      <c r="L34" s="212" t="s">
        <v>233</v>
      </c>
      <c r="M34" s="212" t="s">
        <v>44</v>
      </c>
      <c r="N34" s="212" t="s">
        <v>45</v>
      </c>
      <c r="O34" s="212" t="s">
        <v>63</v>
      </c>
      <c r="P34" s="212" t="s">
        <v>676</v>
      </c>
      <c r="R34" s="212">
        <v>43</v>
      </c>
      <c r="S34" s="479">
        <v>44214</v>
      </c>
      <c r="T34" s="212" t="s">
        <v>2645</v>
      </c>
      <c r="U34" s="475">
        <v>64900000</v>
      </c>
      <c r="V34" s="406"/>
      <c r="W34" s="362"/>
      <c r="X34" s="211">
        <v>46</v>
      </c>
      <c r="Y34" s="472">
        <v>44224</v>
      </c>
      <c r="Z34" s="472">
        <v>44224</v>
      </c>
      <c r="AA34" s="472">
        <v>44558</v>
      </c>
      <c r="AB34" s="2" t="s">
        <v>2575</v>
      </c>
      <c r="AC34" s="211">
        <v>18</v>
      </c>
      <c r="AD34" s="2">
        <v>79751603</v>
      </c>
      <c r="AE34" s="212" t="s">
        <v>2649</v>
      </c>
      <c r="AF34" s="473">
        <v>64900000</v>
      </c>
      <c r="AG34" s="474">
        <f t="shared" si="0"/>
        <v>0</v>
      </c>
      <c r="AJ34" s="475">
        <v>6293333</v>
      </c>
      <c r="AK34" s="475">
        <v>5900000</v>
      </c>
      <c r="AL34" s="475">
        <v>5900000</v>
      </c>
      <c r="AM34" s="306">
        <v>5900000</v>
      </c>
    </row>
    <row r="35" spans="1:39" hidden="1" x14ac:dyDescent="0.25">
      <c r="A35" s="476" t="s">
        <v>2027</v>
      </c>
      <c r="B35" s="477">
        <v>33000000</v>
      </c>
      <c r="C35" s="212" t="s">
        <v>2571</v>
      </c>
      <c r="D35" s="212">
        <v>33</v>
      </c>
      <c r="E35" s="478">
        <v>20215000002823</v>
      </c>
      <c r="F35" s="479">
        <v>44225</v>
      </c>
      <c r="G35" s="478" t="s">
        <v>2565</v>
      </c>
      <c r="H35" s="212" t="s">
        <v>2566</v>
      </c>
      <c r="I35" s="212" t="s">
        <v>228</v>
      </c>
      <c r="J35" s="475">
        <v>33000000</v>
      </c>
      <c r="K35" s="212" t="s">
        <v>223</v>
      </c>
      <c r="L35" s="212" t="s">
        <v>236</v>
      </c>
      <c r="M35" s="212" t="s">
        <v>44</v>
      </c>
      <c r="N35" s="212" t="s">
        <v>45</v>
      </c>
      <c r="O35" s="212" t="s">
        <v>63</v>
      </c>
      <c r="P35" s="212" t="s">
        <v>676</v>
      </c>
      <c r="R35" s="212">
        <v>124</v>
      </c>
      <c r="S35" s="479">
        <v>44225</v>
      </c>
      <c r="T35" s="212" t="s">
        <v>2650</v>
      </c>
      <c r="U35" s="475">
        <f>33000000-6900000</f>
        <v>26100000</v>
      </c>
      <c r="V35" s="444">
        <v>6900000</v>
      </c>
      <c r="W35" s="398"/>
      <c r="X35" s="308">
        <v>206</v>
      </c>
      <c r="Y35" s="484">
        <v>44256</v>
      </c>
      <c r="Z35" s="484">
        <v>44256</v>
      </c>
      <c r="AA35" s="484">
        <v>44561</v>
      </c>
      <c r="AB35" s="485" t="s">
        <v>2575</v>
      </c>
      <c r="AC35" s="211">
        <v>150</v>
      </c>
      <c r="AD35" s="485" t="s">
        <v>2651</v>
      </c>
      <c r="AE35" s="486" t="s">
        <v>2652</v>
      </c>
      <c r="AF35" s="473">
        <v>26100000</v>
      </c>
      <c r="AG35" s="474">
        <f t="shared" si="0"/>
        <v>0</v>
      </c>
      <c r="AK35" s="475">
        <v>2610000</v>
      </c>
      <c r="AL35" s="475">
        <v>2700000</v>
      </c>
      <c r="AM35" s="306">
        <v>2700000</v>
      </c>
    </row>
    <row r="36" spans="1:39" hidden="1" x14ac:dyDescent="0.25">
      <c r="A36" s="476" t="s">
        <v>2177</v>
      </c>
      <c r="B36" s="477">
        <v>59054190</v>
      </c>
      <c r="C36" s="212" t="s">
        <v>2571</v>
      </c>
      <c r="D36" s="212">
        <v>34</v>
      </c>
      <c r="E36" s="478">
        <v>20217000005643</v>
      </c>
      <c r="F36" s="479">
        <v>44231</v>
      </c>
      <c r="G36" s="478" t="s">
        <v>2572</v>
      </c>
      <c r="H36" s="212" t="s">
        <v>2573</v>
      </c>
      <c r="I36" s="212" t="s">
        <v>164</v>
      </c>
      <c r="J36" s="475">
        <v>54511560</v>
      </c>
      <c r="K36" s="212" t="s">
        <v>138</v>
      </c>
      <c r="L36" s="212" t="s">
        <v>139</v>
      </c>
      <c r="M36" s="212" t="s">
        <v>44</v>
      </c>
      <c r="N36" s="212" t="s">
        <v>45</v>
      </c>
      <c r="O36" s="212" t="s">
        <v>142</v>
      </c>
      <c r="P36" s="212" t="s">
        <v>43</v>
      </c>
      <c r="R36" s="212">
        <v>197</v>
      </c>
      <c r="S36" s="479">
        <v>44231</v>
      </c>
      <c r="T36" s="212" t="s">
        <v>2653</v>
      </c>
      <c r="U36" s="475">
        <v>54511560</v>
      </c>
      <c r="V36" s="406"/>
      <c r="W36" s="362"/>
      <c r="X36" s="308">
        <v>207</v>
      </c>
      <c r="Y36" s="484">
        <v>44256</v>
      </c>
      <c r="Z36" s="484">
        <v>44256</v>
      </c>
      <c r="AA36" s="484">
        <v>44500</v>
      </c>
      <c r="AB36" s="485" t="s">
        <v>2575</v>
      </c>
      <c r="AC36" s="211">
        <v>151</v>
      </c>
      <c r="AD36" s="485" t="s">
        <v>2654</v>
      </c>
      <c r="AE36" s="486" t="s">
        <v>2655</v>
      </c>
      <c r="AF36" s="473">
        <v>54511560</v>
      </c>
      <c r="AG36" s="474">
        <f t="shared" si="0"/>
        <v>0</v>
      </c>
      <c r="AK36" s="475">
        <v>6586813</v>
      </c>
      <c r="AL36" s="475">
        <v>6813945</v>
      </c>
      <c r="AM36" s="306">
        <v>6813945</v>
      </c>
    </row>
    <row r="37" spans="1:39" hidden="1" x14ac:dyDescent="0.25">
      <c r="A37" s="476" t="s">
        <v>2023</v>
      </c>
      <c r="B37" s="477">
        <v>64900000</v>
      </c>
      <c r="C37" s="212" t="s">
        <v>2571</v>
      </c>
      <c r="D37" s="212">
        <v>35</v>
      </c>
      <c r="E37" s="478">
        <v>20215000000893</v>
      </c>
      <c r="F37" s="479">
        <v>44211</v>
      </c>
      <c r="G37" s="478" t="s">
        <v>2565</v>
      </c>
      <c r="H37" s="212" t="s">
        <v>2566</v>
      </c>
      <c r="I37" s="212" t="s">
        <v>228</v>
      </c>
      <c r="J37" s="475">
        <v>64900000</v>
      </c>
      <c r="K37" s="212" t="s">
        <v>223</v>
      </c>
      <c r="L37" s="212" t="s">
        <v>233</v>
      </c>
      <c r="M37" s="212" t="s">
        <v>44</v>
      </c>
      <c r="N37" s="212" t="s">
        <v>45</v>
      </c>
      <c r="O37" s="212" t="s">
        <v>63</v>
      </c>
      <c r="P37" s="212" t="s">
        <v>676</v>
      </c>
      <c r="R37" s="212">
        <v>36</v>
      </c>
      <c r="S37" s="479">
        <v>44211</v>
      </c>
      <c r="T37" s="212" t="s">
        <v>2645</v>
      </c>
      <c r="U37" s="475">
        <f>64900000-2950000</f>
        <v>61950000</v>
      </c>
      <c r="V37" s="411">
        <v>2950000</v>
      </c>
      <c r="W37" s="397"/>
      <c r="X37" s="308">
        <v>69</v>
      </c>
      <c r="Y37" s="472">
        <v>44230</v>
      </c>
      <c r="Z37" s="472">
        <v>44230</v>
      </c>
      <c r="AA37" s="472">
        <v>44548</v>
      </c>
      <c r="AB37" s="2" t="s">
        <v>2575</v>
      </c>
      <c r="AC37" s="211">
        <v>24</v>
      </c>
      <c r="AD37" s="2">
        <v>66946576</v>
      </c>
      <c r="AE37" s="212" t="s">
        <v>2656</v>
      </c>
      <c r="AF37" s="473">
        <v>61950000</v>
      </c>
      <c r="AG37" s="474">
        <f t="shared" si="0"/>
        <v>0</v>
      </c>
      <c r="AJ37" s="475">
        <v>5113333</v>
      </c>
      <c r="AK37" s="475">
        <v>5900000</v>
      </c>
      <c r="AL37" s="475">
        <v>5900000</v>
      </c>
      <c r="AM37" s="306">
        <v>5900000</v>
      </c>
    </row>
    <row r="38" spans="1:39" hidden="1" x14ac:dyDescent="0.25">
      <c r="A38" s="476" t="s">
        <v>2023</v>
      </c>
      <c r="B38" s="477">
        <v>44319000</v>
      </c>
      <c r="C38" s="212" t="s">
        <v>2571</v>
      </c>
      <c r="D38" s="212">
        <v>36</v>
      </c>
      <c r="E38" s="478">
        <v>20215000000903</v>
      </c>
      <c r="F38" s="479">
        <v>44211</v>
      </c>
      <c r="G38" s="478" t="s">
        <v>2565</v>
      </c>
      <c r="H38" s="212" t="s">
        <v>2566</v>
      </c>
      <c r="I38" s="212" t="s">
        <v>228</v>
      </c>
      <c r="J38" s="475">
        <v>44319000</v>
      </c>
      <c r="K38" s="212" t="s">
        <v>223</v>
      </c>
      <c r="L38" s="212" t="s">
        <v>233</v>
      </c>
      <c r="M38" s="212" t="s">
        <v>44</v>
      </c>
      <c r="N38" s="212" t="s">
        <v>45</v>
      </c>
      <c r="O38" s="212" t="s">
        <v>63</v>
      </c>
      <c r="P38" s="212" t="s">
        <v>676</v>
      </c>
      <c r="R38" s="212">
        <v>37</v>
      </c>
      <c r="S38" s="479">
        <v>44211</v>
      </c>
      <c r="T38" s="212" t="s">
        <v>2645</v>
      </c>
      <c r="U38" s="475">
        <f>44319000-2669000</f>
        <v>41650000</v>
      </c>
      <c r="V38" s="406">
        <v>2669000</v>
      </c>
      <c r="W38" s="362"/>
      <c r="X38" s="483" t="s">
        <v>2657</v>
      </c>
      <c r="Y38" s="484">
        <v>44309</v>
      </c>
      <c r="Z38" s="484">
        <v>44309</v>
      </c>
      <c r="AA38" s="484">
        <v>44561</v>
      </c>
      <c r="AB38" s="485" t="s">
        <v>2575</v>
      </c>
      <c r="AC38" s="483" t="s">
        <v>2658</v>
      </c>
      <c r="AD38" s="485" t="s">
        <v>2659</v>
      </c>
      <c r="AE38" s="486" t="s">
        <v>2660</v>
      </c>
      <c r="AF38" s="473">
        <v>41650000</v>
      </c>
      <c r="AG38" s="474">
        <f t="shared" si="0"/>
        <v>0</v>
      </c>
      <c r="AL38" s="475">
        <v>1306667</v>
      </c>
      <c r="AM38" s="306">
        <v>4900000</v>
      </c>
    </row>
    <row r="39" spans="1:39" s="312" customFormat="1" hidden="1" x14ac:dyDescent="0.25">
      <c r="A39" s="361" t="s">
        <v>2023</v>
      </c>
      <c r="B39" s="417">
        <v>44000000</v>
      </c>
      <c r="C39" s="312" t="s">
        <v>2571</v>
      </c>
      <c r="D39" s="312">
        <v>37</v>
      </c>
      <c r="E39" s="325">
        <v>20215000000913</v>
      </c>
      <c r="F39" s="315">
        <v>44211</v>
      </c>
      <c r="G39" s="325" t="s">
        <v>2565</v>
      </c>
      <c r="H39" s="312" t="s">
        <v>2566</v>
      </c>
      <c r="I39" s="312" t="s">
        <v>228</v>
      </c>
      <c r="J39" s="405">
        <v>44000000</v>
      </c>
      <c r="K39" s="312" t="s">
        <v>288</v>
      </c>
      <c r="L39" s="312" t="s">
        <v>2661</v>
      </c>
      <c r="M39" s="312" t="s">
        <v>44</v>
      </c>
      <c r="N39" s="312" t="s">
        <v>45</v>
      </c>
      <c r="O39" s="312" t="s">
        <v>63</v>
      </c>
      <c r="P39" s="312" t="s">
        <v>676</v>
      </c>
      <c r="R39" s="312">
        <v>38</v>
      </c>
      <c r="S39" s="315">
        <v>44211</v>
      </c>
      <c r="T39" s="312" t="s">
        <v>2645</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x14ac:dyDescent="0.25">
      <c r="A40" s="476" t="s">
        <v>1687</v>
      </c>
      <c r="B40" s="477">
        <v>58300000</v>
      </c>
      <c r="C40" s="212" t="s">
        <v>2571</v>
      </c>
      <c r="D40" s="212">
        <v>38</v>
      </c>
      <c r="E40" s="478">
        <v>20215000000953</v>
      </c>
      <c r="F40" s="479">
        <v>44211</v>
      </c>
      <c r="G40" s="478" t="s">
        <v>2565</v>
      </c>
      <c r="H40" s="212" t="s">
        <v>2566</v>
      </c>
      <c r="I40" s="212" t="s">
        <v>228</v>
      </c>
      <c r="J40" s="475">
        <v>58300000</v>
      </c>
      <c r="K40" s="212" t="s">
        <v>223</v>
      </c>
      <c r="L40" s="212" t="s">
        <v>236</v>
      </c>
      <c r="M40" s="212" t="s">
        <v>44</v>
      </c>
      <c r="N40" s="212" t="s">
        <v>45</v>
      </c>
      <c r="O40" s="212" t="s">
        <v>63</v>
      </c>
      <c r="P40" s="212" t="s">
        <v>676</v>
      </c>
      <c r="R40" s="212">
        <v>39</v>
      </c>
      <c r="S40" s="479">
        <v>44211</v>
      </c>
      <c r="T40" s="212" t="s">
        <v>2619</v>
      </c>
      <c r="U40" s="475">
        <f>58300000-530000</f>
        <v>57770000</v>
      </c>
      <c r="V40" s="411">
        <v>530000</v>
      </c>
      <c r="W40" s="397"/>
      <c r="X40" s="308">
        <v>64</v>
      </c>
      <c r="Y40" s="472">
        <v>44229</v>
      </c>
      <c r="Z40" s="472">
        <v>44229</v>
      </c>
      <c r="AA40" s="472">
        <v>44532</v>
      </c>
      <c r="AB40" s="2" t="s">
        <v>2575</v>
      </c>
      <c r="AC40" s="211">
        <v>22</v>
      </c>
      <c r="AD40" s="2">
        <v>1030530840</v>
      </c>
      <c r="AE40" s="212" t="s">
        <v>2662</v>
      </c>
      <c r="AF40" s="473">
        <v>57770000</v>
      </c>
      <c r="AG40" s="474">
        <f t="shared" si="0"/>
        <v>0</v>
      </c>
      <c r="AJ40" s="475">
        <v>4416667</v>
      </c>
      <c r="AK40" s="475">
        <v>5300000</v>
      </c>
      <c r="AL40" s="475">
        <v>5300000</v>
      </c>
      <c r="AM40" s="306">
        <v>5300000</v>
      </c>
    </row>
    <row r="41" spans="1:39" hidden="1" x14ac:dyDescent="0.25">
      <c r="A41" s="476" t="s">
        <v>1684</v>
      </c>
      <c r="B41" s="477">
        <v>58300000</v>
      </c>
      <c r="C41" s="212" t="s">
        <v>2571</v>
      </c>
      <c r="D41" s="212">
        <v>39</v>
      </c>
      <c r="E41" s="478">
        <v>20215000000963</v>
      </c>
      <c r="F41" s="479">
        <v>44211</v>
      </c>
      <c r="G41" s="478" t="s">
        <v>2565</v>
      </c>
      <c r="H41" s="212" t="s">
        <v>2566</v>
      </c>
      <c r="I41" s="212" t="s">
        <v>228</v>
      </c>
      <c r="J41" s="475">
        <v>58300000</v>
      </c>
      <c r="K41" s="212" t="s">
        <v>223</v>
      </c>
      <c r="L41" s="212" t="s">
        <v>236</v>
      </c>
      <c r="M41" s="212" t="s">
        <v>44</v>
      </c>
      <c r="N41" s="212" t="s">
        <v>45</v>
      </c>
      <c r="O41" s="212" t="s">
        <v>63</v>
      </c>
      <c r="P41" s="212" t="s">
        <v>676</v>
      </c>
      <c r="R41" s="212">
        <v>40</v>
      </c>
      <c r="S41" s="479">
        <v>44211</v>
      </c>
      <c r="T41" s="212" t="s">
        <v>2619</v>
      </c>
      <c r="U41" s="475">
        <f>58300000-2650000</f>
        <v>55650000</v>
      </c>
      <c r="V41" s="411">
        <v>2650000</v>
      </c>
      <c r="W41" s="397"/>
      <c r="X41" s="308">
        <v>65</v>
      </c>
      <c r="Y41" s="472">
        <v>44230</v>
      </c>
      <c r="Z41" s="472">
        <v>44230</v>
      </c>
      <c r="AA41" s="472">
        <v>44561</v>
      </c>
      <c r="AB41" s="2" t="s">
        <v>2575</v>
      </c>
      <c r="AC41" s="211">
        <v>28</v>
      </c>
      <c r="AD41" s="2">
        <v>1122650093</v>
      </c>
      <c r="AE41" s="212" t="s">
        <v>2663</v>
      </c>
      <c r="AF41" s="473">
        <f>58300000-2650000</f>
        <v>55650000</v>
      </c>
      <c r="AG41" s="474">
        <f t="shared" si="0"/>
        <v>0</v>
      </c>
      <c r="AJ41" s="475">
        <v>4416666</v>
      </c>
      <c r="AK41" s="475">
        <v>5300000</v>
      </c>
      <c r="AL41" s="475">
        <v>5300000</v>
      </c>
      <c r="AM41" s="306">
        <v>5300000</v>
      </c>
    </row>
    <row r="42" spans="1:39" hidden="1" x14ac:dyDescent="0.25">
      <c r="A42" s="476" t="s">
        <v>1687</v>
      </c>
      <c r="B42" s="477">
        <v>43780000</v>
      </c>
      <c r="C42" s="212" t="s">
        <v>2571</v>
      </c>
      <c r="D42" s="212">
        <v>40</v>
      </c>
      <c r="E42" s="478">
        <v>20215000000973</v>
      </c>
      <c r="F42" s="479">
        <v>44211</v>
      </c>
      <c r="G42" s="478" t="s">
        <v>2565</v>
      </c>
      <c r="H42" s="212" t="s">
        <v>2566</v>
      </c>
      <c r="I42" s="212" t="s">
        <v>228</v>
      </c>
      <c r="J42" s="475">
        <v>43780000</v>
      </c>
      <c r="K42" s="212" t="s">
        <v>223</v>
      </c>
      <c r="L42" s="212" t="s">
        <v>236</v>
      </c>
      <c r="M42" s="212" t="s">
        <v>44</v>
      </c>
      <c r="N42" s="212" t="s">
        <v>45</v>
      </c>
      <c r="O42" s="212" t="s">
        <v>63</v>
      </c>
      <c r="P42" s="212" t="s">
        <v>676</v>
      </c>
      <c r="R42" s="212">
        <v>41</v>
      </c>
      <c r="S42" s="479">
        <v>44211</v>
      </c>
      <c r="T42" s="212" t="s">
        <v>2619</v>
      </c>
      <c r="U42" s="475">
        <f>43780000-3780000</f>
        <v>40000000</v>
      </c>
      <c r="V42" s="411">
        <v>3780000</v>
      </c>
      <c r="W42" s="397"/>
      <c r="X42" s="308">
        <v>68</v>
      </c>
      <c r="Y42" s="472">
        <v>44230</v>
      </c>
      <c r="Z42" s="472">
        <v>44230</v>
      </c>
      <c r="AA42" s="472">
        <v>44533</v>
      </c>
      <c r="AB42" s="2" t="s">
        <v>2575</v>
      </c>
      <c r="AC42" s="211">
        <v>30</v>
      </c>
      <c r="AD42" s="2">
        <v>1118546448</v>
      </c>
      <c r="AE42" s="212" t="s">
        <v>2664</v>
      </c>
      <c r="AF42" s="473">
        <v>40000000</v>
      </c>
      <c r="AG42" s="474">
        <f t="shared" si="0"/>
        <v>0</v>
      </c>
      <c r="AJ42" s="475">
        <v>3466667</v>
      </c>
      <c r="AK42" s="475">
        <v>4000000</v>
      </c>
      <c r="AL42" s="475">
        <v>4000000</v>
      </c>
      <c r="AM42" s="306">
        <v>4000000</v>
      </c>
    </row>
    <row r="43" spans="1:39" s="312" customFormat="1" hidden="1" x14ac:dyDescent="0.25">
      <c r="A43" s="361"/>
      <c r="B43" s="417"/>
      <c r="C43" s="312" t="s">
        <v>2665</v>
      </c>
      <c r="D43" s="312">
        <v>41</v>
      </c>
      <c r="E43" s="325">
        <v>20213000000823</v>
      </c>
      <c r="F43" s="315">
        <v>44211</v>
      </c>
      <c r="G43" s="325" t="s">
        <v>2565</v>
      </c>
      <c r="H43" s="312" t="s">
        <v>2566</v>
      </c>
      <c r="I43" s="312" t="s">
        <v>432</v>
      </c>
      <c r="J43" s="405">
        <v>15689000</v>
      </c>
      <c r="K43" s="312" t="s">
        <v>342</v>
      </c>
      <c r="L43" s="312" t="s">
        <v>343</v>
      </c>
      <c r="M43" s="312" t="s">
        <v>44</v>
      </c>
      <c r="N43" s="312" t="s">
        <v>45</v>
      </c>
      <c r="O43" s="212" t="s">
        <v>310</v>
      </c>
      <c r="P43" s="312" t="s">
        <v>676</v>
      </c>
      <c r="R43" s="312">
        <v>30</v>
      </c>
      <c r="S43" s="315">
        <v>44211</v>
      </c>
      <c r="T43" s="312" t="s">
        <v>2666</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x14ac:dyDescent="0.25">
      <c r="A44" s="361"/>
      <c r="B44" s="417"/>
      <c r="C44" s="312" t="s">
        <v>2667</v>
      </c>
      <c r="D44" s="312">
        <v>42</v>
      </c>
      <c r="E44" s="325">
        <v>20213000000813</v>
      </c>
      <c r="F44" s="315">
        <v>44211</v>
      </c>
      <c r="G44" s="325" t="s">
        <v>2565</v>
      </c>
      <c r="H44" s="312" t="s">
        <v>2566</v>
      </c>
      <c r="I44" s="312" t="s">
        <v>432</v>
      </c>
      <c r="J44" s="405">
        <v>153169000</v>
      </c>
      <c r="K44" s="312" t="s">
        <v>342</v>
      </c>
      <c r="L44" s="312" t="s">
        <v>343</v>
      </c>
      <c r="M44" s="312" t="s">
        <v>44</v>
      </c>
      <c r="N44" s="312" t="s">
        <v>45</v>
      </c>
      <c r="O44" s="212" t="s">
        <v>310</v>
      </c>
      <c r="P44" s="312" t="s">
        <v>676</v>
      </c>
      <c r="R44" s="312">
        <v>29</v>
      </c>
      <c r="S44" s="315">
        <v>44211</v>
      </c>
      <c r="T44" s="312" t="s">
        <v>2668</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x14ac:dyDescent="0.25">
      <c r="A45" s="476" t="s">
        <v>1687</v>
      </c>
      <c r="B45" s="477">
        <v>53900000</v>
      </c>
      <c r="C45" s="212" t="s">
        <v>2571</v>
      </c>
      <c r="D45" s="212">
        <v>43</v>
      </c>
      <c r="E45" s="478">
        <v>20215000000983</v>
      </c>
      <c r="F45" s="479">
        <v>44214</v>
      </c>
      <c r="G45" s="478" t="s">
        <v>2565</v>
      </c>
      <c r="H45" s="212" t="s">
        <v>2566</v>
      </c>
      <c r="I45" s="212" t="s">
        <v>228</v>
      </c>
      <c r="J45" s="475">
        <v>53900000</v>
      </c>
      <c r="K45" s="212" t="s">
        <v>223</v>
      </c>
      <c r="L45" s="212" t="s">
        <v>236</v>
      </c>
      <c r="M45" s="212" t="s">
        <v>44</v>
      </c>
      <c r="N45" s="212" t="s">
        <v>45</v>
      </c>
      <c r="O45" s="212" t="s">
        <v>63</v>
      </c>
      <c r="P45" s="212" t="s">
        <v>676</v>
      </c>
      <c r="R45" s="212">
        <v>44</v>
      </c>
      <c r="S45" s="479">
        <v>44214</v>
      </c>
      <c r="T45" s="212" t="s">
        <v>2619</v>
      </c>
      <c r="U45" s="475">
        <v>53900000</v>
      </c>
      <c r="V45" s="406"/>
      <c r="W45" s="362"/>
      <c r="X45" s="211">
        <v>42</v>
      </c>
      <c r="Y45" s="472">
        <v>44224</v>
      </c>
      <c r="Z45" s="472">
        <v>44224</v>
      </c>
      <c r="AA45" s="472">
        <v>44558</v>
      </c>
      <c r="AB45" s="2" t="s">
        <v>2575</v>
      </c>
      <c r="AC45" s="211">
        <v>17</v>
      </c>
      <c r="AD45" s="2">
        <v>1031147678</v>
      </c>
      <c r="AE45" s="212" t="s">
        <v>2669</v>
      </c>
      <c r="AF45" s="473">
        <v>53900000</v>
      </c>
      <c r="AG45" s="474">
        <f t="shared" si="0"/>
        <v>0</v>
      </c>
      <c r="AJ45" s="475">
        <v>5226667</v>
      </c>
      <c r="AK45" s="475">
        <v>4900000</v>
      </c>
      <c r="AL45" s="475">
        <v>4900000</v>
      </c>
      <c r="AM45" s="306">
        <v>4900000</v>
      </c>
    </row>
    <row r="46" spans="1:39" hidden="1" x14ac:dyDescent="0.25">
      <c r="A46" s="476" t="s">
        <v>1687</v>
      </c>
      <c r="B46" s="477">
        <v>58300000</v>
      </c>
      <c r="C46" s="212" t="s">
        <v>2571</v>
      </c>
      <c r="D46" s="212">
        <v>44</v>
      </c>
      <c r="E46" s="478">
        <v>20215000001003</v>
      </c>
      <c r="F46" s="479">
        <v>44214</v>
      </c>
      <c r="G46" s="478" t="s">
        <v>2565</v>
      </c>
      <c r="H46" s="212" t="s">
        <v>2566</v>
      </c>
      <c r="I46" s="212" t="s">
        <v>228</v>
      </c>
      <c r="J46" s="475">
        <v>58300000</v>
      </c>
      <c r="K46" s="212" t="s">
        <v>223</v>
      </c>
      <c r="L46" s="212" t="s">
        <v>236</v>
      </c>
      <c r="M46" s="212" t="s">
        <v>44</v>
      </c>
      <c r="N46" s="212" t="s">
        <v>45</v>
      </c>
      <c r="O46" s="212" t="s">
        <v>63</v>
      </c>
      <c r="P46" s="212" t="s">
        <v>676</v>
      </c>
      <c r="R46" s="212">
        <v>45</v>
      </c>
      <c r="S46" s="479">
        <v>44214</v>
      </c>
      <c r="T46" s="212" t="s">
        <v>2619</v>
      </c>
      <c r="U46" s="475">
        <f>58300000-9300000</f>
        <v>49000000</v>
      </c>
      <c r="V46" s="411">
        <v>9300000</v>
      </c>
      <c r="W46" s="397"/>
      <c r="X46" s="308">
        <v>73</v>
      </c>
      <c r="Y46" s="484">
        <v>44231</v>
      </c>
      <c r="Z46" s="484">
        <v>44231</v>
      </c>
      <c r="AA46" s="484">
        <v>44534</v>
      </c>
      <c r="AB46" s="485" t="s">
        <v>2575</v>
      </c>
      <c r="AC46" s="211">
        <v>36</v>
      </c>
      <c r="AD46" s="487">
        <v>53050737</v>
      </c>
      <c r="AE46" s="486" t="s">
        <v>2670</v>
      </c>
      <c r="AF46" s="473">
        <v>49000000</v>
      </c>
      <c r="AG46" s="474">
        <f t="shared" si="0"/>
        <v>0</v>
      </c>
      <c r="AJ46" s="475">
        <v>4083333</v>
      </c>
      <c r="AK46" s="475">
        <v>4900000</v>
      </c>
      <c r="AL46" s="475">
        <v>4900000</v>
      </c>
      <c r="AM46" s="306">
        <v>4900000</v>
      </c>
    </row>
    <row r="47" spans="1:39" hidden="1" x14ac:dyDescent="0.25">
      <c r="A47" s="476" t="s">
        <v>1687</v>
      </c>
      <c r="B47" s="477">
        <v>43780000</v>
      </c>
      <c r="C47" s="212" t="s">
        <v>2571</v>
      </c>
      <c r="D47" s="212">
        <v>45</v>
      </c>
      <c r="E47" s="478">
        <v>20215000001013</v>
      </c>
      <c r="F47" s="479">
        <v>44214</v>
      </c>
      <c r="G47" s="478" t="s">
        <v>2565</v>
      </c>
      <c r="H47" s="212" t="s">
        <v>2566</v>
      </c>
      <c r="I47" s="212" t="s">
        <v>228</v>
      </c>
      <c r="J47" s="475">
        <v>43780000</v>
      </c>
      <c r="K47" s="212" t="s">
        <v>223</v>
      </c>
      <c r="L47" s="212" t="s">
        <v>236</v>
      </c>
      <c r="M47" s="212" t="s">
        <v>44</v>
      </c>
      <c r="N47" s="212" t="s">
        <v>45</v>
      </c>
      <c r="O47" s="212" t="s">
        <v>63</v>
      </c>
      <c r="P47" s="212" t="s">
        <v>676</v>
      </c>
      <c r="R47" s="212">
        <v>46</v>
      </c>
      <c r="S47" s="479">
        <v>44214</v>
      </c>
      <c r="T47" s="212" t="s">
        <v>2619</v>
      </c>
      <c r="U47" s="475">
        <f>43780000-3780000</f>
        <v>40000000</v>
      </c>
      <c r="V47" s="411">
        <v>3780000</v>
      </c>
      <c r="W47" s="397"/>
      <c r="X47" s="308">
        <v>83</v>
      </c>
      <c r="Y47" s="484">
        <v>44232</v>
      </c>
      <c r="Z47" s="484">
        <v>44232</v>
      </c>
      <c r="AA47" s="484">
        <v>44535</v>
      </c>
      <c r="AB47" s="485" t="s">
        <v>2575</v>
      </c>
      <c r="AC47" s="211">
        <v>43</v>
      </c>
      <c r="AD47" s="487">
        <v>52114836</v>
      </c>
      <c r="AE47" s="486" t="s">
        <v>2671</v>
      </c>
      <c r="AF47" s="473">
        <v>40000000</v>
      </c>
      <c r="AG47" s="474">
        <f t="shared" si="0"/>
        <v>0</v>
      </c>
      <c r="AJ47" s="475">
        <v>2800000</v>
      </c>
      <c r="AK47" s="475">
        <v>4000000</v>
      </c>
      <c r="AL47" s="475">
        <v>4000000</v>
      </c>
      <c r="AM47" s="306">
        <v>4000000</v>
      </c>
    </row>
    <row r="48" spans="1:39" hidden="1" x14ac:dyDescent="0.25">
      <c r="A48" s="476" t="s">
        <v>2079</v>
      </c>
      <c r="B48" s="477">
        <v>43780000</v>
      </c>
      <c r="C48" s="212" t="s">
        <v>2571</v>
      </c>
      <c r="D48" s="212">
        <v>46</v>
      </c>
      <c r="E48" s="478">
        <v>20215000001033</v>
      </c>
      <c r="F48" s="479">
        <v>44214</v>
      </c>
      <c r="G48" s="478" t="s">
        <v>2565</v>
      </c>
      <c r="H48" s="212" t="s">
        <v>2566</v>
      </c>
      <c r="I48" s="212" t="s">
        <v>228</v>
      </c>
      <c r="J48" s="475">
        <v>43780000</v>
      </c>
      <c r="K48" s="212" t="s">
        <v>223</v>
      </c>
      <c r="L48" s="212" t="s">
        <v>269</v>
      </c>
      <c r="M48" s="212" t="s">
        <v>44</v>
      </c>
      <c r="N48" s="212" t="s">
        <v>45</v>
      </c>
      <c r="O48" s="212" t="s">
        <v>63</v>
      </c>
      <c r="P48" s="212" t="s">
        <v>676</v>
      </c>
      <c r="R48" s="212">
        <v>47</v>
      </c>
      <c r="S48" s="479">
        <v>44214</v>
      </c>
      <c r="T48" s="212" t="s">
        <v>2672</v>
      </c>
      <c r="U48" s="475">
        <f>43780000-3780000</f>
        <v>40000000</v>
      </c>
      <c r="V48" s="411">
        <v>3780000</v>
      </c>
      <c r="W48" s="397"/>
      <c r="X48" s="308">
        <v>97</v>
      </c>
      <c r="Y48" s="484">
        <v>44235</v>
      </c>
      <c r="Z48" s="484">
        <v>44235</v>
      </c>
      <c r="AA48" s="484">
        <v>44538</v>
      </c>
      <c r="AB48" s="485" t="s">
        <v>2575</v>
      </c>
      <c r="AC48" s="211">
        <v>48</v>
      </c>
      <c r="AD48" s="487">
        <v>1032469103</v>
      </c>
      <c r="AE48" s="486" t="s">
        <v>2673</v>
      </c>
      <c r="AF48" s="473">
        <v>40000000</v>
      </c>
      <c r="AG48" s="474">
        <f t="shared" si="0"/>
        <v>0</v>
      </c>
      <c r="AJ48" s="475">
        <v>2800000</v>
      </c>
      <c r="AK48" s="475">
        <v>4000000</v>
      </c>
      <c r="AL48" s="475">
        <v>4000000</v>
      </c>
      <c r="AM48" s="306">
        <v>4000000</v>
      </c>
    </row>
    <row r="49" spans="1:39" hidden="1" x14ac:dyDescent="0.25">
      <c r="A49" s="476" t="s">
        <v>1688</v>
      </c>
      <c r="B49" s="477">
        <v>44330000</v>
      </c>
      <c r="C49" s="212" t="s">
        <v>2571</v>
      </c>
      <c r="D49" s="212">
        <v>47</v>
      </c>
      <c r="E49" s="478">
        <v>20215000001043</v>
      </c>
      <c r="F49" s="479">
        <v>44214</v>
      </c>
      <c r="G49" s="478" t="s">
        <v>2565</v>
      </c>
      <c r="H49" s="212" t="s">
        <v>2566</v>
      </c>
      <c r="I49" s="212" t="s">
        <v>228</v>
      </c>
      <c r="J49" s="475">
        <v>44330000</v>
      </c>
      <c r="K49" s="212" t="s">
        <v>223</v>
      </c>
      <c r="L49" s="212" t="s">
        <v>269</v>
      </c>
      <c r="M49" s="212" t="s">
        <v>44</v>
      </c>
      <c r="N49" s="212" t="s">
        <v>45</v>
      </c>
      <c r="O49" s="212" t="s">
        <v>63</v>
      </c>
      <c r="P49" s="212" t="s">
        <v>676</v>
      </c>
      <c r="R49" s="212">
        <v>48</v>
      </c>
      <c r="S49" s="479">
        <v>44214</v>
      </c>
      <c r="T49" s="212" t="s">
        <v>2674</v>
      </c>
      <c r="U49" s="475">
        <f>44330000-2330000</f>
        <v>42000000</v>
      </c>
      <c r="V49" s="411">
        <v>2330000</v>
      </c>
      <c r="W49" s="397"/>
      <c r="X49" s="483">
        <v>125</v>
      </c>
      <c r="Y49" s="484">
        <v>44239</v>
      </c>
      <c r="Z49" s="484">
        <v>44239</v>
      </c>
      <c r="AA49" s="484">
        <v>44561</v>
      </c>
      <c r="AB49" s="485" t="s">
        <v>2575</v>
      </c>
      <c r="AC49" s="483">
        <v>80</v>
      </c>
      <c r="AD49" s="485">
        <v>40612939</v>
      </c>
      <c r="AE49" s="486" t="s">
        <v>2675</v>
      </c>
      <c r="AF49" s="473">
        <v>42000000</v>
      </c>
      <c r="AG49" s="474">
        <f t="shared" si="0"/>
        <v>0</v>
      </c>
      <c r="AK49" s="475">
        <f>1866667+4000000</f>
        <v>5866667</v>
      </c>
      <c r="AL49" s="475">
        <v>4000000</v>
      </c>
      <c r="AM49" s="306">
        <v>4000000</v>
      </c>
    </row>
    <row r="50" spans="1:39" hidden="1" x14ac:dyDescent="0.25">
      <c r="A50" s="476" t="s">
        <v>1688</v>
      </c>
      <c r="B50" s="477">
        <v>58300000</v>
      </c>
      <c r="C50" s="212" t="s">
        <v>2571</v>
      </c>
      <c r="D50" s="212">
        <v>48</v>
      </c>
      <c r="E50" s="478">
        <v>20215000001053</v>
      </c>
      <c r="F50" s="479">
        <v>44214</v>
      </c>
      <c r="G50" s="478" t="s">
        <v>2565</v>
      </c>
      <c r="H50" s="212" t="s">
        <v>2566</v>
      </c>
      <c r="I50" s="212" t="s">
        <v>228</v>
      </c>
      <c r="J50" s="475">
        <v>58300000</v>
      </c>
      <c r="K50" s="212" t="s">
        <v>223</v>
      </c>
      <c r="L50" s="212" t="s">
        <v>269</v>
      </c>
      <c r="M50" s="212" t="s">
        <v>44</v>
      </c>
      <c r="N50" s="212" t="s">
        <v>45</v>
      </c>
      <c r="O50" s="212" t="s">
        <v>63</v>
      </c>
      <c r="P50" s="212" t="s">
        <v>676</v>
      </c>
      <c r="R50" s="212">
        <v>49</v>
      </c>
      <c r="S50" s="479">
        <v>44214</v>
      </c>
      <c r="T50" s="212" t="s">
        <v>2674</v>
      </c>
      <c r="U50" s="475">
        <f>58300000-5300000</f>
        <v>53000000</v>
      </c>
      <c r="V50" s="411">
        <v>5300000</v>
      </c>
      <c r="W50" s="397"/>
      <c r="X50" s="483">
        <v>128</v>
      </c>
      <c r="Y50" s="484">
        <v>44239</v>
      </c>
      <c r="Z50" s="484">
        <v>44239</v>
      </c>
      <c r="AA50" s="484">
        <v>44542</v>
      </c>
      <c r="AB50" s="485" t="s">
        <v>2575</v>
      </c>
      <c r="AC50" s="483">
        <v>72</v>
      </c>
      <c r="AD50" s="485">
        <v>77092915</v>
      </c>
      <c r="AE50" s="486" t="s">
        <v>2676</v>
      </c>
      <c r="AF50" s="473">
        <v>53000000</v>
      </c>
      <c r="AG50" s="474">
        <f t="shared" si="0"/>
        <v>0</v>
      </c>
      <c r="AJ50" s="475">
        <v>3003333</v>
      </c>
      <c r="AK50" s="475">
        <v>5300000</v>
      </c>
      <c r="AL50" s="475">
        <v>5300000</v>
      </c>
      <c r="AM50" s="306">
        <v>5300000</v>
      </c>
    </row>
    <row r="51" spans="1:39" hidden="1" x14ac:dyDescent="0.25">
      <c r="A51" s="476" t="s">
        <v>1687</v>
      </c>
      <c r="B51" s="477">
        <v>43780000</v>
      </c>
      <c r="C51" s="212" t="s">
        <v>2571</v>
      </c>
      <c r="D51" s="212">
        <v>49</v>
      </c>
      <c r="E51" s="478">
        <v>20215000001063</v>
      </c>
      <c r="F51" s="479">
        <v>44214</v>
      </c>
      <c r="G51" s="478" t="s">
        <v>2565</v>
      </c>
      <c r="H51" s="212" t="s">
        <v>2566</v>
      </c>
      <c r="I51" s="212" t="s">
        <v>228</v>
      </c>
      <c r="J51" s="475">
        <v>43780000</v>
      </c>
      <c r="K51" s="212" t="s">
        <v>223</v>
      </c>
      <c r="L51" s="212" t="s">
        <v>269</v>
      </c>
      <c r="M51" s="212" t="s">
        <v>44</v>
      </c>
      <c r="N51" s="212" t="s">
        <v>45</v>
      </c>
      <c r="O51" s="212" t="s">
        <v>63</v>
      </c>
      <c r="P51" s="212" t="s">
        <v>676</v>
      </c>
      <c r="R51" s="212">
        <v>50</v>
      </c>
      <c r="S51" s="479">
        <v>44214</v>
      </c>
      <c r="T51" s="212" t="s">
        <v>2677</v>
      </c>
      <c r="U51" s="475">
        <f>43780000-3780000</f>
        <v>40000000</v>
      </c>
      <c r="V51" s="411">
        <v>3780000</v>
      </c>
      <c r="W51" s="397"/>
      <c r="X51" s="308">
        <v>95</v>
      </c>
      <c r="Y51" s="484">
        <v>44235</v>
      </c>
      <c r="Z51" s="484">
        <v>44235</v>
      </c>
      <c r="AA51" s="484">
        <v>44538</v>
      </c>
      <c r="AB51" s="485" t="s">
        <v>2575</v>
      </c>
      <c r="AC51" s="211">
        <v>47</v>
      </c>
      <c r="AD51" s="487">
        <v>1014261943</v>
      </c>
      <c r="AE51" s="486" t="s">
        <v>2678</v>
      </c>
      <c r="AF51" s="473">
        <v>40000000</v>
      </c>
      <c r="AG51" s="474">
        <f t="shared" si="0"/>
        <v>0</v>
      </c>
      <c r="AJ51" s="475">
        <v>2800000</v>
      </c>
      <c r="AK51" s="475">
        <v>4000000</v>
      </c>
      <c r="AL51" s="475">
        <v>4000000</v>
      </c>
      <c r="AM51" s="306">
        <v>4000000</v>
      </c>
    </row>
    <row r="52" spans="1:39" hidden="1" x14ac:dyDescent="0.25">
      <c r="A52" s="476" t="s">
        <v>1691</v>
      </c>
      <c r="B52" s="477">
        <v>58300000</v>
      </c>
      <c r="C52" s="212" t="s">
        <v>2571</v>
      </c>
      <c r="D52" s="212">
        <v>50</v>
      </c>
      <c r="E52" s="478">
        <v>20215000001133</v>
      </c>
      <c r="F52" s="479">
        <v>44214</v>
      </c>
      <c r="G52" s="478" t="s">
        <v>2565</v>
      </c>
      <c r="H52" s="212" t="s">
        <v>2566</v>
      </c>
      <c r="I52" s="212" t="s">
        <v>228</v>
      </c>
      <c r="J52" s="475">
        <v>58300000</v>
      </c>
      <c r="K52" s="212" t="s">
        <v>223</v>
      </c>
      <c r="L52" s="212" t="s">
        <v>283</v>
      </c>
      <c r="M52" s="212" t="s">
        <v>44</v>
      </c>
      <c r="N52" s="212" t="s">
        <v>45</v>
      </c>
      <c r="O52" s="212" t="s">
        <v>63</v>
      </c>
      <c r="P52" s="212" t="s">
        <v>676</v>
      </c>
      <c r="R52" s="212">
        <v>51</v>
      </c>
      <c r="S52" s="479">
        <v>44214</v>
      </c>
      <c r="T52" s="212" t="s">
        <v>2583</v>
      </c>
      <c r="U52" s="475">
        <f>58300000-50703334</f>
        <v>7596666</v>
      </c>
      <c r="V52" s="406">
        <v>50703334</v>
      </c>
      <c r="W52" s="362"/>
      <c r="X52" s="211">
        <v>51</v>
      </c>
      <c r="Y52" s="472">
        <v>44224</v>
      </c>
      <c r="Z52" s="472">
        <v>44224</v>
      </c>
      <c r="AA52" s="472">
        <v>44558</v>
      </c>
      <c r="AB52" s="2" t="s">
        <v>2575</v>
      </c>
      <c r="AC52" s="211">
        <v>20</v>
      </c>
      <c r="AD52" s="2">
        <v>1016039001</v>
      </c>
      <c r="AE52" s="212" t="s">
        <v>2679</v>
      </c>
      <c r="AF52" s="473">
        <f>58300000-50703334</f>
        <v>7596666</v>
      </c>
      <c r="AG52" s="474">
        <f t="shared" si="0"/>
        <v>0</v>
      </c>
      <c r="AJ52" s="475">
        <v>5653333</v>
      </c>
      <c r="AK52" s="475">
        <v>1943333</v>
      </c>
      <c r="AM52" s="212"/>
    </row>
    <row r="53" spans="1:39" hidden="1" x14ac:dyDescent="0.25">
      <c r="A53" s="476" t="s">
        <v>1976</v>
      </c>
      <c r="B53" s="477">
        <v>44000000</v>
      </c>
      <c r="C53" s="212" t="s">
        <v>2571</v>
      </c>
      <c r="D53" s="212">
        <v>51</v>
      </c>
      <c r="E53" s="478">
        <v>20215000001143</v>
      </c>
      <c r="F53" s="479">
        <v>44214</v>
      </c>
      <c r="G53" s="478" t="s">
        <v>2565</v>
      </c>
      <c r="H53" s="212" t="s">
        <v>2566</v>
      </c>
      <c r="I53" s="212" t="s">
        <v>228</v>
      </c>
      <c r="J53" s="475">
        <v>44000000</v>
      </c>
      <c r="K53" s="212" t="s">
        <v>288</v>
      </c>
      <c r="L53" s="212" t="s">
        <v>294</v>
      </c>
      <c r="M53" s="212" t="s">
        <v>44</v>
      </c>
      <c r="N53" s="212" t="s">
        <v>45</v>
      </c>
      <c r="O53" s="212" t="s">
        <v>63</v>
      </c>
      <c r="P53" s="212" t="s">
        <v>676</v>
      </c>
      <c r="R53" s="212">
        <v>52</v>
      </c>
      <c r="S53" s="479">
        <v>44214</v>
      </c>
      <c r="T53" s="212" t="s">
        <v>2680</v>
      </c>
      <c r="U53" s="475">
        <f>44000000-1600000</f>
        <v>42400000</v>
      </c>
      <c r="V53" s="411">
        <v>1600000</v>
      </c>
      <c r="W53" s="397"/>
      <c r="X53" s="308">
        <v>109</v>
      </c>
      <c r="Y53" s="484">
        <v>44237</v>
      </c>
      <c r="Z53" s="484">
        <v>44237</v>
      </c>
      <c r="AA53" s="484">
        <v>44479</v>
      </c>
      <c r="AB53" s="485" t="s">
        <v>2575</v>
      </c>
      <c r="AC53" s="211">
        <v>46</v>
      </c>
      <c r="AD53" s="487">
        <v>80779128</v>
      </c>
      <c r="AE53" s="486" t="s">
        <v>2681</v>
      </c>
      <c r="AF53" s="473">
        <v>42400000</v>
      </c>
      <c r="AG53" s="474">
        <f t="shared" si="0"/>
        <v>0</v>
      </c>
      <c r="AJ53" s="475">
        <v>3356667</v>
      </c>
      <c r="AK53" s="475">
        <v>5300000</v>
      </c>
      <c r="AL53" s="475">
        <v>5300000</v>
      </c>
      <c r="AM53" s="212"/>
    </row>
    <row r="54" spans="1:39" hidden="1" x14ac:dyDescent="0.25">
      <c r="A54" s="476" t="s">
        <v>1836</v>
      </c>
      <c r="B54" s="477">
        <v>48348000</v>
      </c>
      <c r="C54" s="212" t="s">
        <v>2571</v>
      </c>
      <c r="D54" s="212">
        <v>52</v>
      </c>
      <c r="E54" s="478">
        <v>20215000001163</v>
      </c>
      <c r="F54" s="479">
        <v>44214</v>
      </c>
      <c r="G54" s="478" t="s">
        <v>2565</v>
      </c>
      <c r="H54" s="212" t="s">
        <v>2566</v>
      </c>
      <c r="I54" s="212" t="s">
        <v>228</v>
      </c>
      <c r="J54" s="475">
        <v>48348000</v>
      </c>
      <c r="K54" s="212" t="s">
        <v>288</v>
      </c>
      <c r="L54" s="212" t="s">
        <v>294</v>
      </c>
      <c r="M54" s="212" t="s">
        <v>44</v>
      </c>
      <c r="N54" s="212" t="s">
        <v>45</v>
      </c>
      <c r="O54" s="212" t="s">
        <v>63</v>
      </c>
      <c r="P54" s="212" t="s">
        <v>676</v>
      </c>
      <c r="R54" s="212">
        <v>53</v>
      </c>
      <c r="S54" s="479">
        <v>44214</v>
      </c>
      <c r="T54" s="212" t="s">
        <v>2680</v>
      </c>
      <c r="U54" s="475">
        <f>48348000-48000</f>
        <v>48300000</v>
      </c>
      <c r="V54" s="411">
        <v>48000</v>
      </c>
      <c r="W54" s="397"/>
      <c r="X54" s="211">
        <v>45</v>
      </c>
      <c r="Y54" s="472">
        <v>44224</v>
      </c>
      <c r="Z54" s="472">
        <v>44224</v>
      </c>
      <c r="AA54" s="472">
        <v>44436</v>
      </c>
      <c r="AB54" s="2" t="s">
        <v>2575</v>
      </c>
      <c r="AC54" s="211">
        <v>15</v>
      </c>
      <c r="AD54" s="2">
        <v>79459883</v>
      </c>
      <c r="AE54" s="212" t="s">
        <v>2682</v>
      </c>
      <c r="AF54" s="473">
        <v>48300000</v>
      </c>
      <c r="AG54" s="474">
        <f t="shared" si="0"/>
        <v>0</v>
      </c>
      <c r="AJ54" s="475">
        <v>7590000</v>
      </c>
      <c r="AK54" s="475">
        <v>6900000</v>
      </c>
      <c r="AL54" s="475">
        <v>6900000</v>
      </c>
      <c r="AM54" s="306">
        <v>6900000</v>
      </c>
    </row>
    <row r="55" spans="1:39" hidden="1" x14ac:dyDescent="0.25">
      <c r="A55" s="476" t="s">
        <v>2020</v>
      </c>
      <c r="B55" s="477">
        <v>70800000</v>
      </c>
      <c r="C55" s="212" t="s">
        <v>2571</v>
      </c>
      <c r="D55" s="212">
        <v>53</v>
      </c>
      <c r="E55" s="478">
        <v>20215000001173</v>
      </c>
      <c r="F55" s="479">
        <v>44214</v>
      </c>
      <c r="G55" s="478" t="s">
        <v>2565</v>
      </c>
      <c r="H55" s="212" t="s">
        <v>2566</v>
      </c>
      <c r="I55" s="212" t="s">
        <v>228</v>
      </c>
      <c r="J55" s="475">
        <v>70800000</v>
      </c>
      <c r="K55" s="212" t="s">
        <v>223</v>
      </c>
      <c r="L55" s="212" t="s">
        <v>2683</v>
      </c>
      <c r="M55" s="212" t="s">
        <v>44</v>
      </c>
      <c r="N55" s="212" t="s">
        <v>45</v>
      </c>
      <c r="O55" s="212" t="s">
        <v>63</v>
      </c>
      <c r="P55" s="212" t="s">
        <v>676</v>
      </c>
      <c r="R55" s="212">
        <v>54</v>
      </c>
      <c r="S55" s="479">
        <v>44214</v>
      </c>
      <c r="T55" s="212" t="s">
        <v>2684</v>
      </c>
      <c r="U55" s="475">
        <f>70800000-17716667</f>
        <v>53083333</v>
      </c>
      <c r="V55" s="411">
        <v>17716667</v>
      </c>
      <c r="W55" s="397"/>
      <c r="X55" s="308">
        <v>72</v>
      </c>
      <c r="Y55" s="484">
        <v>44231</v>
      </c>
      <c r="Z55" s="484">
        <v>44231</v>
      </c>
      <c r="AA55" s="484">
        <v>44561</v>
      </c>
      <c r="AB55" s="485" t="s">
        <v>2575</v>
      </c>
      <c r="AC55" s="211">
        <v>27</v>
      </c>
      <c r="AD55" s="487">
        <v>30506558</v>
      </c>
      <c r="AE55" s="486" t="s">
        <v>2685</v>
      </c>
      <c r="AF55" s="473">
        <v>53083333</v>
      </c>
      <c r="AG55" s="474">
        <f t="shared" si="0"/>
        <v>0</v>
      </c>
      <c r="AJ55" s="475">
        <v>4083333</v>
      </c>
      <c r="AK55" s="475">
        <v>4900000</v>
      </c>
      <c r="AL55" s="475">
        <v>4900000</v>
      </c>
      <c r="AM55" s="306">
        <v>4900000</v>
      </c>
    </row>
    <row r="56" spans="1:39" hidden="1" x14ac:dyDescent="0.25">
      <c r="A56" s="476" t="s">
        <v>2686</v>
      </c>
      <c r="B56" s="477">
        <v>51586233</v>
      </c>
      <c r="C56" s="212" t="s">
        <v>2687</v>
      </c>
      <c r="D56" s="212">
        <v>54</v>
      </c>
      <c r="E56" s="309">
        <v>20214000008283</v>
      </c>
      <c r="F56" s="310">
        <v>44243</v>
      </c>
      <c r="G56" s="478" t="s">
        <v>2605</v>
      </c>
      <c r="H56" s="212" t="s">
        <v>2606</v>
      </c>
      <c r="I56" s="212" t="s">
        <v>47</v>
      </c>
      <c r="J56" s="475">
        <v>35280000</v>
      </c>
      <c r="K56" s="212" t="s">
        <v>37</v>
      </c>
      <c r="L56" s="212" t="s">
        <v>2607</v>
      </c>
      <c r="M56" s="212" t="s">
        <v>44</v>
      </c>
      <c r="N56" s="212" t="s">
        <v>45</v>
      </c>
      <c r="O56" s="212" t="s">
        <v>310</v>
      </c>
      <c r="P56" s="212" t="s">
        <v>43</v>
      </c>
      <c r="R56" s="212">
        <v>256</v>
      </c>
      <c r="S56" s="479">
        <v>44244</v>
      </c>
      <c r="T56" s="212" t="s">
        <v>2688</v>
      </c>
      <c r="U56" s="475">
        <v>35280000</v>
      </c>
      <c r="V56" s="406"/>
      <c r="W56" s="362"/>
      <c r="X56" s="308">
        <v>208</v>
      </c>
      <c r="Y56" s="484">
        <v>44256</v>
      </c>
      <c r="Z56" s="484">
        <v>44256</v>
      </c>
      <c r="AA56" s="484">
        <v>44469</v>
      </c>
      <c r="AB56" s="485" t="s">
        <v>2575</v>
      </c>
      <c r="AC56" s="211">
        <v>145</v>
      </c>
      <c r="AD56" s="485" t="s">
        <v>2689</v>
      </c>
      <c r="AE56" s="486" t="s">
        <v>2690</v>
      </c>
      <c r="AF56" s="473">
        <v>35280000</v>
      </c>
      <c r="AG56" s="474">
        <f t="shared" si="0"/>
        <v>0</v>
      </c>
      <c r="AL56" s="475">
        <v>4872000</v>
      </c>
      <c r="AM56" s="306">
        <v>5040000</v>
      </c>
    </row>
    <row r="57" spans="1:39" hidden="1" x14ac:dyDescent="0.25">
      <c r="A57" s="476" t="s">
        <v>2029</v>
      </c>
      <c r="B57" s="477">
        <v>42260948</v>
      </c>
      <c r="C57" s="212" t="s">
        <v>2571</v>
      </c>
      <c r="D57" s="212">
        <v>55</v>
      </c>
      <c r="E57" s="478">
        <v>20212000001323</v>
      </c>
      <c r="F57" s="479">
        <v>44214</v>
      </c>
      <c r="G57" s="478" t="s">
        <v>2565</v>
      </c>
      <c r="H57" s="212" t="s">
        <v>2566</v>
      </c>
      <c r="I57" s="212" t="s">
        <v>391</v>
      </c>
      <c r="J57" s="475">
        <v>38918274</v>
      </c>
      <c r="K57" s="210" t="s">
        <v>2636</v>
      </c>
      <c r="L57" s="212" t="s">
        <v>2637</v>
      </c>
      <c r="M57" s="212" t="s">
        <v>44</v>
      </c>
      <c r="N57" s="212" t="s">
        <v>45</v>
      </c>
      <c r="O57" s="212" t="s">
        <v>63</v>
      </c>
      <c r="P57" s="212" t="s">
        <v>676</v>
      </c>
      <c r="R57" s="212">
        <v>56</v>
      </c>
      <c r="S57" s="479">
        <v>44214</v>
      </c>
      <c r="T57" s="212" t="s">
        <v>2691</v>
      </c>
      <c r="U57" s="475">
        <f>38918274-3103914</f>
        <v>35814360</v>
      </c>
      <c r="V57" s="411">
        <v>3103914</v>
      </c>
      <c r="W57" s="397"/>
      <c r="X57" s="483">
        <v>136</v>
      </c>
      <c r="Y57" s="484">
        <v>44243</v>
      </c>
      <c r="Z57" s="484">
        <v>44243</v>
      </c>
      <c r="AA57" s="484">
        <v>44546</v>
      </c>
      <c r="AB57" s="485" t="s">
        <v>2575</v>
      </c>
      <c r="AC57" s="483">
        <v>92</v>
      </c>
      <c r="AD57" s="485">
        <v>1052400677</v>
      </c>
      <c r="AE57" s="486" t="s">
        <v>2692</v>
      </c>
      <c r="AF57" s="473">
        <v>35814360</v>
      </c>
      <c r="AG57" s="474">
        <f t="shared" si="0"/>
        <v>0</v>
      </c>
      <c r="AJ57" s="475">
        <v>1551956</v>
      </c>
      <c r="AK57" s="475">
        <v>3581436</v>
      </c>
      <c r="AL57" s="475">
        <v>3581436</v>
      </c>
      <c r="AM57" s="306">
        <v>3581436</v>
      </c>
    </row>
    <row r="58" spans="1:39" hidden="1" x14ac:dyDescent="0.25">
      <c r="A58" s="476" t="s">
        <v>1837</v>
      </c>
      <c r="B58" s="477">
        <v>23287500</v>
      </c>
      <c r="C58" s="212" t="s">
        <v>2571</v>
      </c>
      <c r="D58" s="212">
        <v>56</v>
      </c>
      <c r="E58" s="478">
        <v>20211400001493</v>
      </c>
      <c r="F58" s="479">
        <v>44214</v>
      </c>
      <c r="G58" s="478" t="s">
        <v>2572</v>
      </c>
      <c r="H58" s="212" t="s">
        <v>2573</v>
      </c>
      <c r="I58" s="212" t="s">
        <v>184</v>
      </c>
      <c r="J58" s="475">
        <v>23287500</v>
      </c>
      <c r="K58" s="212" t="s">
        <v>138</v>
      </c>
      <c r="L58" s="212" t="s">
        <v>2577</v>
      </c>
      <c r="M58" s="212" t="s">
        <v>44</v>
      </c>
      <c r="N58" s="212" t="s">
        <v>45</v>
      </c>
      <c r="O58" s="212" t="s">
        <v>142</v>
      </c>
      <c r="P58" s="212" t="s">
        <v>43</v>
      </c>
      <c r="R58" s="212">
        <v>61</v>
      </c>
      <c r="S58" s="479">
        <v>44214</v>
      </c>
      <c r="T58" s="212" t="s">
        <v>2578</v>
      </c>
      <c r="U58" s="475">
        <v>23287500</v>
      </c>
      <c r="V58" s="406"/>
      <c r="W58" s="362"/>
      <c r="X58" s="211">
        <v>33</v>
      </c>
      <c r="Y58" s="472">
        <v>44223</v>
      </c>
      <c r="Z58" s="472">
        <v>44223</v>
      </c>
      <c r="AA58" s="472">
        <v>44496</v>
      </c>
      <c r="AB58" s="2" t="s">
        <v>2575</v>
      </c>
      <c r="AC58" s="211">
        <v>14</v>
      </c>
      <c r="AD58" s="2">
        <v>1001167443</v>
      </c>
      <c r="AE58" s="212" t="s">
        <v>2693</v>
      </c>
      <c r="AF58" s="473">
        <v>23287500</v>
      </c>
      <c r="AG58" s="474">
        <f t="shared" si="0"/>
        <v>0</v>
      </c>
      <c r="AI58" s="475">
        <v>345000</v>
      </c>
      <c r="AJ58" s="481">
        <v>2587500</v>
      </c>
      <c r="AK58" s="475">
        <v>2587500</v>
      </c>
      <c r="AL58" s="475">
        <v>2587500</v>
      </c>
      <c r="AM58" s="306">
        <v>2587500</v>
      </c>
    </row>
    <row r="59" spans="1:39" hidden="1" x14ac:dyDescent="0.25">
      <c r="A59" s="476" t="s">
        <v>1839</v>
      </c>
      <c r="B59" s="477">
        <v>68400000</v>
      </c>
      <c r="C59" s="212" t="s">
        <v>2571</v>
      </c>
      <c r="D59" s="212">
        <v>57</v>
      </c>
      <c r="E59" s="478">
        <v>20214000001463</v>
      </c>
      <c r="F59" s="479">
        <v>44214</v>
      </c>
      <c r="G59" s="478" t="s">
        <v>2598</v>
      </c>
      <c r="H59" s="212" t="s">
        <v>2599</v>
      </c>
      <c r="I59" s="212" t="s">
        <v>117</v>
      </c>
      <c r="J59" s="480">
        <v>22800000</v>
      </c>
      <c r="K59" s="212" t="s">
        <v>112</v>
      </c>
      <c r="L59" s="212" t="s">
        <v>2600</v>
      </c>
      <c r="M59" s="212" t="s">
        <v>44</v>
      </c>
      <c r="N59" s="212" t="s">
        <v>45</v>
      </c>
      <c r="O59" s="212" t="s">
        <v>63</v>
      </c>
      <c r="P59" s="212" t="s">
        <v>43</v>
      </c>
      <c r="R59" s="212">
        <v>60</v>
      </c>
      <c r="S59" s="479">
        <v>44214</v>
      </c>
      <c r="T59" s="212" t="s">
        <v>2694</v>
      </c>
      <c r="U59" s="480">
        <v>22800000</v>
      </c>
      <c r="V59" s="406"/>
      <c r="W59" s="399"/>
      <c r="X59" s="211">
        <v>30</v>
      </c>
      <c r="Y59" s="472">
        <v>44222</v>
      </c>
      <c r="Z59" s="472">
        <v>44222</v>
      </c>
      <c r="AA59" s="472">
        <v>44342</v>
      </c>
      <c r="AB59" s="2" t="s">
        <v>2575</v>
      </c>
      <c r="AC59" s="211">
        <v>10</v>
      </c>
      <c r="AD59" s="2">
        <v>1032359934</v>
      </c>
      <c r="AE59" s="212" t="s">
        <v>2695</v>
      </c>
      <c r="AF59" s="488">
        <v>19984000</v>
      </c>
      <c r="AG59" s="474">
        <f t="shared" si="0"/>
        <v>2816000</v>
      </c>
      <c r="AH59" s="480"/>
      <c r="AI59" s="480"/>
      <c r="AJ59" s="480"/>
      <c r="AK59" s="480"/>
      <c r="AL59" s="480"/>
      <c r="AM59" s="212"/>
    </row>
    <row r="60" spans="1:39" hidden="1" x14ac:dyDescent="0.25">
      <c r="A60" s="476" t="s">
        <v>1771</v>
      </c>
      <c r="B60" s="477">
        <v>29700000</v>
      </c>
      <c r="C60" s="212" t="s">
        <v>2571</v>
      </c>
      <c r="D60" s="212">
        <v>58</v>
      </c>
      <c r="E60" s="478">
        <v>20216000001413</v>
      </c>
      <c r="F60" s="479">
        <v>44214</v>
      </c>
      <c r="G60" s="478" t="s">
        <v>2572</v>
      </c>
      <c r="H60" s="212" t="s">
        <v>2573</v>
      </c>
      <c r="I60" s="212" t="s">
        <v>214</v>
      </c>
      <c r="J60" s="475">
        <v>16200000</v>
      </c>
      <c r="K60" s="212" t="s">
        <v>138</v>
      </c>
      <c r="L60" s="212" t="s">
        <v>139</v>
      </c>
      <c r="M60" s="212" t="s">
        <v>44</v>
      </c>
      <c r="N60" s="212" t="s">
        <v>45</v>
      </c>
      <c r="O60" s="212" t="s">
        <v>142</v>
      </c>
      <c r="P60" s="212" t="s">
        <v>43</v>
      </c>
      <c r="R60" s="212">
        <v>59</v>
      </c>
      <c r="S60" s="479">
        <v>44214</v>
      </c>
      <c r="T60" s="212" t="s">
        <v>2696</v>
      </c>
      <c r="U60" s="475">
        <v>16200000</v>
      </c>
      <c r="V60" s="406"/>
      <c r="W60" s="362"/>
      <c r="X60" s="211">
        <v>17</v>
      </c>
      <c r="Y60" s="472">
        <v>44216</v>
      </c>
      <c r="Z60" s="472">
        <v>44216</v>
      </c>
      <c r="AA60" s="472">
        <v>44397</v>
      </c>
      <c r="AB60" s="2" t="s">
        <v>2575</v>
      </c>
      <c r="AC60" s="211">
        <v>5</v>
      </c>
      <c r="AD60" s="2">
        <v>1026583329</v>
      </c>
      <c r="AE60" s="212" t="s">
        <v>2697</v>
      </c>
      <c r="AF60" s="473">
        <v>16200000</v>
      </c>
      <c r="AG60" s="474">
        <f t="shared" si="0"/>
        <v>0</v>
      </c>
      <c r="AI60" s="480">
        <v>990000</v>
      </c>
      <c r="AJ60" s="475">
        <v>2700000</v>
      </c>
      <c r="AK60" s="475">
        <v>2700000</v>
      </c>
      <c r="AL60" s="475">
        <v>2700000</v>
      </c>
      <c r="AM60" s="306">
        <v>2700000</v>
      </c>
    </row>
    <row r="61" spans="1:39" hidden="1" x14ac:dyDescent="0.25">
      <c r="A61" s="476" t="s">
        <v>1770</v>
      </c>
      <c r="B61" s="477">
        <v>85250000</v>
      </c>
      <c r="C61" s="212" t="s">
        <v>2571</v>
      </c>
      <c r="D61" s="212">
        <v>59</v>
      </c>
      <c r="E61" s="478">
        <v>20216000001383</v>
      </c>
      <c r="F61" s="479">
        <v>44214</v>
      </c>
      <c r="G61" s="478" t="s">
        <v>2572</v>
      </c>
      <c r="H61" s="212" t="s">
        <v>2573</v>
      </c>
      <c r="I61" s="212" t="s">
        <v>214</v>
      </c>
      <c r="J61" s="475">
        <v>46500000</v>
      </c>
      <c r="K61" s="212" t="s">
        <v>138</v>
      </c>
      <c r="L61" s="212" t="s">
        <v>139</v>
      </c>
      <c r="M61" s="212" t="s">
        <v>44</v>
      </c>
      <c r="N61" s="212" t="s">
        <v>45</v>
      </c>
      <c r="O61" s="212" t="s">
        <v>142</v>
      </c>
      <c r="P61" s="212" t="s">
        <v>43</v>
      </c>
      <c r="R61" s="212">
        <v>57</v>
      </c>
      <c r="S61" s="479">
        <v>44214</v>
      </c>
      <c r="T61" s="212" t="s">
        <v>2698</v>
      </c>
      <c r="U61" s="475">
        <v>46500000</v>
      </c>
      <c r="V61" s="406"/>
      <c r="W61" s="362"/>
      <c r="X61" s="211">
        <v>35</v>
      </c>
      <c r="Y61" s="472">
        <v>44223</v>
      </c>
      <c r="Z61" s="472">
        <v>44223</v>
      </c>
      <c r="AA61" s="472">
        <v>44404</v>
      </c>
      <c r="AB61" s="2" t="s">
        <v>2575</v>
      </c>
      <c r="AC61" s="211">
        <v>12</v>
      </c>
      <c r="AD61" s="2">
        <v>52433506</v>
      </c>
      <c r="AE61" s="212" t="s">
        <v>2699</v>
      </c>
      <c r="AF61" s="473">
        <v>46500000</v>
      </c>
      <c r="AG61" s="474">
        <f t="shared" si="0"/>
        <v>0</v>
      </c>
      <c r="AJ61" s="475">
        <v>8266667</v>
      </c>
      <c r="AK61" s="475">
        <v>7750000</v>
      </c>
      <c r="AL61" s="475">
        <v>7750000</v>
      </c>
      <c r="AM61" s="306">
        <v>7750000</v>
      </c>
    </row>
    <row r="62" spans="1:39" hidden="1" x14ac:dyDescent="0.25">
      <c r="A62" s="476" t="s">
        <v>1771</v>
      </c>
      <c r="B62" s="477">
        <v>29700000</v>
      </c>
      <c r="C62" s="212" t="s">
        <v>2571</v>
      </c>
      <c r="D62" s="212">
        <v>60</v>
      </c>
      <c r="E62" s="478">
        <v>20216000001403</v>
      </c>
      <c r="F62" s="479">
        <v>44214</v>
      </c>
      <c r="G62" s="478" t="s">
        <v>2572</v>
      </c>
      <c r="H62" s="212" t="s">
        <v>2573</v>
      </c>
      <c r="I62" s="212" t="s">
        <v>214</v>
      </c>
      <c r="J62" s="475">
        <v>16200000</v>
      </c>
      <c r="K62" s="212" t="s">
        <v>138</v>
      </c>
      <c r="L62" s="212" t="s">
        <v>139</v>
      </c>
      <c r="M62" s="212" t="s">
        <v>44</v>
      </c>
      <c r="N62" s="212" t="s">
        <v>45</v>
      </c>
      <c r="O62" s="212" t="s">
        <v>142</v>
      </c>
      <c r="P62" s="212" t="s">
        <v>43</v>
      </c>
      <c r="R62" s="212">
        <v>58</v>
      </c>
      <c r="S62" s="479">
        <v>44214</v>
      </c>
      <c r="T62" s="212" t="s">
        <v>2696</v>
      </c>
      <c r="U62" s="475">
        <v>16200000</v>
      </c>
      <c r="V62" s="406"/>
      <c r="W62" s="362"/>
      <c r="X62" s="211">
        <v>18</v>
      </c>
      <c r="Y62" s="472">
        <v>44216</v>
      </c>
      <c r="Z62" s="472">
        <v>44216</v>
      </c>
      <c r="AA62" s="472">
        <v>44397</v>
      </c>
      <c r="AB62" s="2" t="s">
        <v>2575</v>
      </c>
      <c r="AC62" s="211">
        <v>4</v>
      </c>
      <c r="AD62" s="2">
        <v>79514189</v>
      </c>
      <c r="AE62" s="212" t="s">
        <v>2700</v>
      </c>
      <c r="AF62" s="473">
        <v>16200000</v>
      </c>
      <c r="AG62" s="474">
        <f t="shared" si="0"/>
        <v>0</v>
      </c>
      <c r="AI62" s="480">
        <v>990000</v>
      </c>
      <c r="AJ62" s="475">
        <v>2700000</v>
      </c>
      <c r="AK62" s="475">
        <v>2700000</v>
      </c>
      <c r="AL62" s="475">
        <v>2700000</v>
      </c>
      <c r="AM62" s="306">
        <v>2700000</v>
      </c>
    </row>
    <row r="63" spans="1:39" hidden="1" x14ac:dyDescent="0.25">
      <c r="A63" s="476" t="s">
        <v>1772</v>
      </c>
      <c r="B63" s="477">
        <v>88000000</v>
      </c>
      <c r="C63" s="212" t="s">
        <v>2571</v>
      </c>
      <c r="D63" s="212">
        <v>61</v>
      </c>
      <c r="E63" s="478">
        <v>20216000001373</v>
      </c>
      <c r="F63" s="479">
        <v>44214</v>
      </c>
      <c r="G63" s="478" t="s">
        <v>2572</v>
      </c>
      <c r="H63" s="212" t="s">
        <v>2573</v>
      </c>
      <c r="I63" s="212" t="s">
        <v>214</v>
      </c>
      <c r="J63" s="475">
        <v>48000000</v>
      </c>
      <c r="K63" s="212" t="s">
        <v>138</v>
      </c>
      <c r="L63" s="212" t="s">
        <v>139</v>
      </c>
      <c r="M63" s="212" t="s">
        <v>44</v>
      </c>
      <c r="N63" s="212" t="s">
        <v>45</v>
      </c>
      <c r="O63" s="212" t="s">
        <v>142</v>
      </c>
      <c r="P63" s="212" t="s">
        <v>43</v>
      </c>
      <c r="R63" s="212">
        <v>62</v>
      </c>
      <c r="S63" s="479">
        <v>44214</v>
      </c>
      <c r="T63" s="212" t="s">
        <v>2701</v>
      </c>
      <c r="U63" s="475">
        <v>48000000</v>
      </c>
      <c r="V63" s="406"/>
      <c r="W63" s="362"/>
      <c r="X63" s="211">
        <v>20</v>
      </c>
      <c r="Y63" s="472">
        <v>44216</v>
      </c>
      <c r="Z63" s="472">
        <v>44216</v>
      </c>
      <c r="AA63" s="472">
        <v>44397</v>
      </c>
      <c r="AB63" s="2" t="s">
        <v>2575</v>
      </c>
      <c r="AC63" s="211">
        <v>8</v>
      </c>
      <c r="AD63" s="2">
        <v>52310337</v>
      </c>
      <c r="AE63" s="212" t="s">
        <v>2702</v>
      </c>
      <c r="AF63" s="473">
        <v>48000000</v>
      </c>
      <c r="AG63" s="474">
        <f t="shared" si="0"/>
        <v>0</v>
      </c>
      <c r="AI63" s="480">
        <v>2666667</v>
      </c>
      <c r="AJ63" s="475">
        <v>8000000</v>
      </c>
      <c r="AK63" s="475">
        <v>8000000</v>
      </c>
      <c r="AL63" s="475">
        <v>8000000</v>
      </c>
      <c r="AM63" s="306">
        <v>8000000</v>
      </c>
    </row>
    <row r="64" spans="1:39" hidden="1" x14ac:dyDescent="0.25">
      <c r="A64" s="476" t="s">
        <v>2703</v>
      </c>
      <c r="B64" s="477">
        <v>47092500</v>
      </c>
      <c r="C64" s="212" t="s">
        <v>2571</v>
      </c>
      <c r="D64" s="212">
        <v>62</v>
      </c>
      <c r="E64" s="478">
        <v>20211400001543</v>
      </c>
      <c r="F64" s="479">
        <v>44214</v>
      </c>
      <c r="G64" s="478" t="s">
        <v>2572</v>
      </c>
      <c r="H64" s="212" t="s">
        <v>2573</v>
      </c>
      <c r="I64" s="212" t="s">
        <v>184</v>
      </c>
      <c r="J64" s="475">
        <v>47092500</v>
      </c>
      <c r="K64" s="212" t="s">
        <v>138</v>
      </c>
      <c r="L64" s="212" t="s">
        <v>2577</v>
      </c>
      <c r="M64" s="212" t="s">
        <v>44</v>
      </c>
      <c r="N64" s="212" t="s">
        <v>45</v>
      </c>
      <c r="O64" s="212" t="s">
        <v>142</v>
      </c>
      <c r="P64" s="212" t="s">
        <v>43</v>
      </c>
      <c r="R64" s="212">
        <v>66</v>
      </c>
      <c r="S64" s="479">
        <v>44214</v>
      </c>
      <c r="T64" s="212" t="s">
        <v>2704</v>
      </c>
      <c r="U64" s="475">
        <v>47092500</v>
      </c>
      <c r="V64" s="406"/>
      <c r="W64" s="362"/>
      <c r="X64" s="308">
        <v>76</v>
      </c>
      <c r="Y64" s="484">
        <v>44231</v>
      </c>
      <c r="Z64" s="484">
        <v>44231</v>
      </c>
      <c r="AA64" s="484">
        <v>44443</v>
      </c>
      <c r="AB64" s="485" t="s">
        <v>2575</v>
      </c>
      <c r="AC64" s="211">
        <v>40</v>
      </c>
      <c r="AD64" s="487">
        <v>79531707</v>
      </c>
      <c r="AE64" s="486" t="s">
        <v>2705</v>
      </c>
      <c r="AF64" s="473">
        <v>47092500</v>
      </c>
      <c r="AG64" s="474">
        <f t="shared" si="0"/>
        <v>0</v>
      </c>
      <c r="AJ64" s="481">
        <v>5382000</v>
      </c>
      <c r="AK64" s="475">
        <v>6727500</v>
      </c>
      <c r="AL64" s="475">
        <v>6727500</v>
      </c>
      <c r="AM64" s="306">
        <v>6727500</v>
      </c>
    </row>
    <row r="65" spans="1:39" hidden="1" x14ac:dyDescent="0.25">
      <c r="A65" s="476" t="s">
        <v>2429</v>
      </c>
      <c r="B65" s="477">
        <v>66198000</v>
      </c>
      <c r="C65" s="212" t="s">
        <v>2571</v>
      </c>
      <c r="D65" s="212">
        <v>63</v>
      </c>
      <c r="E65" s="478">
        <v>20212000007943</v>
      </c>
      <c r="F65" s="479">
        <v>44243</v>
      </c>
      <c r="G65" s="478" t="s">
        <v>2565</v>
      </c>
      <c r="H65" s="212" t="s">
        <v>2566</v>
      </c>
      <c r="I65" s="212" t="s">
        <v>391</v>
      </c>
      <c r="J65" s="475">
        <v>56100000</v>
      </c>
      <c r="K65" s="210" t="s">
        <v>2636</v>
      </c>
      <c r="L65" s="212" t="s">
        <v>2637</v>
      </c>
      <c r="M65" s="212" t="s">
        <v>44</v>
      </c>
      <c r="N65" s="212" t="s">
        <v>45</v>
      </c>
      <c r="O65" s="212" t="s">
        <v>63</v>
      </c>
      <c r="P65" s="212" t="s">
        <v>676</v>
      </c>
      <c r="R65" s="212">
        <v>243</v>
      </c>
      <c r="S65" s="479">
        <v>44243</v>
      </c>
      <c r="T65" s="212" t="s">
        <v>2706</v>
      </c>
      <c r="U65" s="475">
        <f>56100000-2805000</f>
        <v>53295000</v>
      </c>
      <c r="V65" s="411">
        <v>2805000</v>
      </c>
      <c r="W65" s="397"/>
      <c r="X65" s="308">
        <v>209</v>
      </c>
      <c r="Y65" s="484">
        <v>44256</v>
      </c>
      <c r="Z65" s="484">
        <v>44256</v>
      </c>
      <c r="AA65" s="484">
        <v>44545</v>
      </c>
      <c r="AB65" s="485" t="s">
        <v>2575</v>
      </c>
      <c r="AC65" s="211">
        <v>152</v>
      </c>
      <c r="AD65" s="485" t="s">
        <v>2707</v>
      </c>
      <c r="AE65" s="486" t="s">
        <v>2708</v>
      </c>
      <c r="AF65" s="473">
        <v>53295000</v>
      </c>
      <c r="AG65" s="474">
        <f t="shared" si="0"/>
        <v>0</v>
      </c>
      <c r="AK65" s="475">
        <v>5236000</v>
      </c>
      <c r="AL65" s="475">
        <v>5610000</v>
      </c>
      <c r="AM65" s="306">
        <v>5610000</v>
      </c>
    </row>
    <row r="66" spans="1:39" hidden="1" x14ac:dyDescent="0.25">
      <c r="A66" s="476" t="s">
        <v>2036</v>
      </c>
      <c r="B66" s="477">
        <v>55300000</v>
      </c>
      <c r="C66" s="212" t="s">
        <v>2571</v>
      </c>
      <c r="D66" s="212">
        <v>64</v>
      </c>
      <c r="E66" s="478">
        <v>20211400001533</v>
      </c>
      <c r="F66" s="479">
        <v>44214</v>
      </c>
      <c r="G66" s="478" t="s">
        <v>2572</v>
      </c>
      <c r="H66" s="212" t="s">
        <v>2573</v>
      </c>
      <c r="I66" s="212" t="s">
        <v>184</v>
      </c>
      <c r="J66" s="475">
        <v>55300000</v>
      </c>
      <c r="K66" s="212" t="s">
        <v>138</v>
      </c>
      <c r="L66" s="212" t="s">
        <v>2577</v>
      </c>
      <c r="M66" s="212" t="s">
        <v>44</v>
      </c>
      <c r="N66" s="212" t="s">
        <v>45</v>
      </c>
      <c r="O66" s="212" t="s">
        <v>142</v>
      </c>
      <c r="P66" s="212" t="s">
        <v>43</v>
      </c>
      <c r="R66" s="212">
        <v>65</v>
      </c>
      <c r="S66" s="479">
        <v>44214</v>
      </c>
      <c r="T66" s="212" t="s">
        <v>2709</v>
      </c>
      <c r="U66" s="475">
        <v>55300000</v>
      </c>
      <c r="V66" s="406"/>
      <c r="W66" s="362"/>
      <c r="X66" s="308">
        <v>91</v>
      </c>
      <c r="Y66" s="484">
        <v>44235</v>
      </c>
      <c r="Z66" s="484">
        <v>44235</v>
      </c>
      <c r="AA66" s="484">
        <v>44447</v>
      </c>
      <c r="AB66" s="485" t="s">
        <v>2575</v>
      </c>
      <c r="AC66" s="211">
        <v>49</v>
      </c>
      <c r="AD66" s="487">
        <v>80100229</v>
      </c>
      <c r="AE66" s="486" t="s">
        <v>2710</v>
      </c>
      <c r="AF66" s="473">
        <v>55300000</v>
      </c>
      <c r="AG66" s="474">
        <f t="shared" ref="AG66:AG129" si="1">+U66-AF66</f>
        <v>0</v>
      </c>
      <c r="AJ66" s="481">
        <v>5530000</v>
      </c>
      <c r="AK66" s="475">
        <v>7900000</v>
      </c>
      <c r="AL66" s="475">
        <v>7900000</v>
      </c>
      <c r="AM66" s="306">
        <v>7900000</v>
      </c>
    </row>
    <row r="67" spans="1:39" hidden="1" x14ac:dyDescent="0.25">
      <c r="A67" s="476" t="s">
        <v>2407</v>
      </c>
      <c r="B67" s="477">
        <v>82133333</v>
      </c>
      <c r="C67" s="212" t="s">
        <v>2571</v>
      </c>
      <c r="D67" s="212">
        <v>65</v>
      </c>
      <c r="E67" s="478">
        <v>20214000004723</v>
      </c>
      <c r="F67" s="479">
        <v>44229</v>
      </c>
      <c r="G67" s="478" t="s">
        <v>2605</v>
      </c>
      <c r="H67" s="212" t="s">
        <v>2606</v>
      </c>
      <c r="I67" s="212" t="s">
        <v>47</v>
      </c>
      <c r="J67" s="475">
        <v>64000000</v>
      </c>
      <c r="K67" s="212" t="s">
        <v>37</v>
      </c>
      <c r="L67" s="212" t="s">
        <v>2607</v>
      </c>
      <c r="M67" s="212" t="s">
        <v>44</v>
      </c>
      <c r="N67" s="212" t="s">
        <v>45</v>
      </c>
      <c r="O67" s="212" t="s">
        <v>310</v>
      </c>
      <c r="P67" s="212" t="s">
        <v>43</v>
      </c>
      <c r="R67" s="212">
        <v>172</v>
      </c>
      <c r="S67" s="479">
        <v>44229</v>
      </c>
      <c r="T67" s="212" t="s">
        <v>2711</v>
      </c>
      <c r="U67" s="475">
        <v>64000000</v>
      </c>
      <c r="V67" s="406"/>
      <c r="W67" s="362"/>
      <c r="X67" s="308">
        <v>210</v>
      </c>
      <c r="Y67" s="484">
        <v>44256</v>
      </c>
      <c r="Z67" s="484">
        <v>44256</v>
      </c>
      <c r="AA67" s="484">
        <v>44499</v>
      </c>
      <c r="AB67" s="485" t="s">
        <v>2575</v>
      </c>
      <c r="AC67" s="211">
        <v>149</v>
      </c>
      <c r="AD67" s="485" t="s">
        <v>2712</v>
      </c>
      <c r="AE67" s="486" t="s">
        <v>2713</v>
      </c>
      <c r="AF67" s="473">
        <v>64000000</v>
      </c>
      <c r="AG67" s="474">
        <f t="shared" si="1"/>
        <v>0</v>
      </c>
      <c r="AK67" s="475">
        <v>7733333</v>
      </c>
      <c r="AL67" s="475">
        <v>8000000</v>
      </c>
      <c r="AM67" s="306">
        <v>8000000</v>
      </c>
    </row>
    <row r="68" spans="1:39" hidden="1" x14ac:dyDescent="0.25">
      <c r="A68" s="476" t="s">
        <v>2035</v>
      </c>
      <c r="B68" s="477">
        <v>62341552</v>
      </c>
      <c r="C68" s="212" t="s">
        <v>2571</v>
      </c>
      <c r="D68" s="212">
        <v>66</v>
      </c>
      <c r="E68" s="478">
        <v>20211400001523</v>
      </c>
      <c r="F68" s="479">
        <v>44214</v>
      </c>
      <c r="G68" s="478" t="s">
        <v>2572</v>
      </c>
      <c r="H68" s="212" t="s">
        <v>2573</v>
      </c>
      <c r="I68" s="212" t="s">
        <v>184</v>
      </c>
      <c r="J68" s="475">
        <v>62341552</v>
      </c>
      <c r="K68" s="212" t="s">
        <v>138</v>
      </c>
      <c r="L68" s="212" t="s">
        <v>2577</v>
      </c>
      <c r="M68" s="212" t="s">
        <v>44</v>
      </c>
      <c r="N68" s="212" t="s">
        <v>45</v>
      </c>
      <c r="O68" s="212" t="s">
        <v>142</v>
      </c>
      <c r="P68" s="212" t="s">
        <v>43</v>
      </c>
      <c r="R68" s="212">
        <v>64</v>
      </c>
      <c r="S68" s="479">
        <v>44214</v>
      </c>
      <c r="T68" s="212" t="s">
        <v>2714</v>
      </c>
      <c r="U68" s="475">
        <v>62341552</v>
      </c>
      <c r="V68" s="406"/>
      <c r="W68" s="362"/>
      <c r="X68" s="308">
        <v>115</v>
      </c>
      <c r="Y68" s="484">
        <v>44237</v>
      </c>
      <c r="Z68" s="484">
        <v>44237</v>
      </c>
      <c r="AA68" s="484">
        <v>44449</v>
      </c>
      <c r="AB68" s="485" t="s">
        <v>2575</v>
      </c>
      <c r="AC68" s="211">
        <v>65</v>
      </c>
      <c r="AD68" s="487">
        <v>13171587</v>
      </c>
      <c r="AE68" s="486" t="s">
        <v>2715</v>
      </c>
      <c r="AF68" s="473">
        <v>62341552</v>
      </c>
      <c r="AG68" s="474">
        <f t="shared" si="1"/>
        <v>0</v>
      </c>
      <c r="AJ68" s="481">
        <v>5343562</v>
      </c>
      <c r="AK68" s="475">
        <v>8905936</v>
      </c>
      <c r="AL68" s="475">
        <v>8905936</v>
      </c>
      <c r="AM68" s="306">
        <v>8905936</v>
      </c>
    </row>
    <row r="69" spans="1:39" hidden="1" x14ac:dyDescent="0.25">
      <c r="B69" s="477" t="s">
        <v>2608</v>
      </c>
      <c r="C69" s="212" t="s">
        <v>2571</v>
      </c>
      <c r="D69" s="212">
        <v>67</v>
      </c>
      <c r="E69" s="478">
        <v>20213000001603</v>
      </c>
      <c r="F69" s="479">
        <v>44215</v>
      </c>
      <c r="G69" s="478" t="s">
        <v>2565</v>
      </c>
      <c r="H69" s="212" t="s">
        <v>2566</v>
      </c>
      <c r="I69" s="212" t="s">
        <v>432</v>
      </c>
      <c r="J69" s="475">
        <v>17400000</v>
      </c>
      <c r="K69" s="212" t="s">
        <v>358</v>
      </c>
      <c r="L69" s="212" t="s">
        <v>2716</v>
      </c>
      <c r="M69" s="212" t="s">
        <v>44</v>
      </c>
      <c r="N69" s="212" t="s">
        <v>45</v>
      </c>
      <c r="O69" s="212" t="s">
        <v>63</v>
      </c>
      <c r="P69" s="212" t="s">
        <v>676</v>
      </c>
      <c r="R69" s="212">
        <v>68</v>
      </c>
      <c r="S69" s="479">
        <v>44215</v>
      </c>
      <c r="T69" s="212" t="s">
        <v>2717</v>
      </c>
      <c r="U69" s="475">
        <v>17400000</v>
      </c>
      <c r="V69" s="406"/>
      <c r="W69" s="362"/>
      <c r="X69" s="211">
        <v>26</v>
      </c>
      <c r="Y69" s="472">
        <v>44218</v>
      </c>
      <c r="Z69" s="472">
        <v>44221</v>
      </c>
      <c r="AA69" s="472">
        <v>44279</v>
      </c>
      <c r="AB69" s="2" t="s">
        <v>2575</v>
      </c>
      <c r="AC69" s="211">
        <v>454</v>
      </c>
      <c r="AD69" s="2">
        <v>47439734</v>
      </c>
      <c r="AE69" s="212" t="s">
        <v>2718</v>
      </c>
      <c r="AF69" s="473">
        <v>17400000</v>
      </c>
      <c r="AG69" s="474">
        <f t="shared" si="1"/>
        <v>0</v>
      </c>
      <c r="AI69" s="480">
        <v>8700000</v>
      </c>
      <c r="AJ69" s="475">
        <v>8700000</v>
      </c>
      <c r="AM69" s="212"/>
    </row>
    <row r="70" spans="1:39" hidden="1" x14ac:dyDescent="0.25">
      <c r="B70" s="477" t="s">
        <v>2608</v>
      </c>
      <c r="C70" s="212" t="s">
        <v>2571</v>
      </c>
      <c r="D70" s="212">
        <v>68</v>
      </c>
      <c r="E70" s="478">
        <v>20217000001633</v>
      </c>
      <c r="F70" s="479">
        <v>44216</v>
      </c>
      <c r="G70" s="478" t="s">
        <v>2572</v>
      </c>
      <c r="H70" s="212" t="s">
        <v>2573</v>
      </c>
      <c r="I70" s="212" t="s">
        <v>164</v>
      </c>
      <c r="J70" s="475">
        <v>6144614</v>
      </c>
      <c r="K70" s="212" t="s">
        <v>138</v>
      </c>
      <c r="L70" s="212" t="s">
        <v>139</v>
      </c>
      <c r="M70" s="212" t="s">
        <v>44</v>
      </c>
      <c r="N70" s="212" t="s">
        <v>45</v>
      </c>
      <c r="O70" s="212" t="s">
        <v>142</v>
      </c>
      <c r="P70" s="212" t="s">
        <v>43</v>
      </c>
      <c r="R70" s="212">
        <v>69</v>
      </c>
      <c r="S70" s="479">
        <v>44216</v>
      </c>
      <c r="T70" s="212" t="s">
        <v>2719</v>
      </c>
      <c r="U70" s="475">
        <v>6144614</v>
      </c>
      <c r="V70" s="406"/>
      <c r="W70" s="362"/>
      <c r="X70" s="211">
        <v>28</v>
      </c>
      <c r="Y70" s="472">
        <v>44218</v>
      </c>
      <c r="Z70" s="472">
        <v>44220</v>
      </c>
      <c r="AA70" s="472">
        <v>44278</v>
      </c>
      <c r="AB70" s="2" t="s">
        <v>2575</v>
      </c>
      <c r="AC70" s="211">
        <v>426</v>
      </c>
      <c r="AD70" s="2">
        <v>53116356</v>
      </c>
      <c r="AE70" s="212" t="s">
        <v>2720</v>
      </c>
      <c r="AF70" s="473">
        <v>6144614</v>
      </c>
      <c r="AG70" s="474">
        <f t="shared" si="1"/>
        <v>0</v>
      </c>
      <c r="AI70" s="475">
        <v>716871</v>
      </c>
      <c r="AJ70" s="475">
        <v>3072307</v>
      </c>
      <c r="AK70" s="475">
        <v>2355436</v>
      </c>
      <c r="AM70" s="212"/>
    </row>
    <row r="71" spans="1:39" hidden="1" x14ac:dyDescent="0.25">
      <c r="B71" s="477" t="s">
        <v>2721</v>
      </c>
      <c r="C71" s="212" t="s">
        <v>2722</v>
      </c>
      <c r="D71" s="212">
        <v>69</v>
      </c>
      <c r="E71" s="478">
        <v>20213000001933</v>
      </c>
      <c r="F71" s="479">
        <v>44216</v>
      </c>
      <c r="G71" s="478" t="s">
        <v>2565</v>
      </c>
      <c r="H71" s="212" t="s">
        <v>2566</v>
      </c>
      <c r="I71" s="212" t="s">
        <v>432</v>
      </c>
      <c r="J71" s="475">
        <v>9600000</v>
      </c>
      <c r="K71" s="212" t="s">
        <v>358</v>
      </c>
      <c r="L71" s="212" t="s">
        <v>2716</v>
      </c>
      <c r="M71" s="212" t="s">
        <v>44</v>
      </c>
      <c r="N71" s="212" t="s">
        <v>45</v>
      </c>
      <c r="O71" s="212" t="s">
        <v>63</v>
      </c>
      <c r="P71" s="212" t="s">
        <v>676</v>
      </c>
      <c r="R71" s="212">
        <v>70</v>
      </c>
      <c r="S71" s="479">
        <v>44216</v>
      </c>
      <c r="T71" s="212" t="s">
        <v>2723</v>
      </c>
      <c r="U71" s="475">
        <v>9600000</v>
      </c>
      <c r="V71" s="406"/>
      <c r="W71" s="362"/>
      <c r="X71" s="211">
        <v>36</v>
      </c>
      <c r="Y71" s="472">
        <v>44223</v>
      </c>
      <c r="Z71" s="472">
        <v>44224</v>
      </c>
      <c r="AA71" s="472">
        <v>44282</v>
      </c>
      <c r="AB71" s="2" t="s">
        <v>2575</v>
      </c>
      <c r="AC71" s="211">
        <v>465</v>
      </c>
      <c r="AD71" s="2">
        <v>1026287593</v>
      </c>
      <c r="AE71" s="212" t="s">
        <v>2724</v>
      </c>
      <c r="AF71" s="473">
        <v>9600000</v>
      </c>
      <c r="AG71" s="474">
        <f t="shared" si="1"/>
        <v>0</v>
      </c>
      <c r="AI71" s="480">
        <v>480000</v>
      </c>
      <c r="AJ71" s="475">
        <v>4800000</v>
      </c>
      <c r="AK71" s="475">
        <v>4320000</v>
      </c>
      <c r="AM71" s="212"/>
    </row>
    <row r="72" spans="1:39" hidden="1" x14ac:dyDescent="0.25">
      <c r="B72" s="477" t="s">
        <v>2608</v>
      </c>
      <c r="C72" s="212" t="s">
        <v>2722</v>
      </c>
      <c r="D72" s="212">
        <v>70</v>
      </c>
      <c r="E72" s="478">
        <v>20217000001623</v>
      </c>
      <c r="F72" s="479">
        <v>44217</v>
      </c>
      <c r="G72" s="478" t="s">
        <v>2572</v>
      </c>
      <c r="H72" s="212" t="s">
        <v>2573</v>
      </c>
      <c r="I72" s="212" t="s">
        <v>164</v>
      </c>
      <c r="J72" s="475">
        <v>6583523</v>
      </c>
      <c r="K72" s="212" t="s">
        <v>138</v>
      </c>
      <c r="L72" s="212" t="s">
        <v>139</v>
      </c>
      <c r="M72" s="212" t="s">
        <v>44</v>
      </c>
      <c r="N72" s="212" t="s">
        <v>45</v>
      </c>
      <c r="O72" s="212" t="s">
        <v>142</v>
      </c>
      <c r="P72" s="212" t="s">
        <v>43</v>
      </c>
      <c r="R72" s="212">
        <v>71</v>
      </c>
      <c r="S72" s="479">
        <v>44217</v>
      </c>
      <c r="T72" s="212" t="s">
        <v>2725</v>
      </c>
      <c r="U72" s="475">
        <v>6583523</v>
      </c>
      <c r="V72" s="406"/>
      <c r="W72" s="362"/>
      <c r="X72" s="211">
        <v>29</v>
      </c>
      <c r="Y72" s="472">
        <v>44218</v>
      </c>
      <c r="Z72" s="472">
        <v>44220</v>
      </c>
      <c r="AA72" s="472">
        <v>44293</v>
      </c>
      <c r="AB72" s="2" t="s">
        <v>2575</v>
      </c>
      <c r="AC72" s="211">
        <v>389</v>
      </c>
      <c r="AD72" s="2">
        <v>37277102</v>
      </c>
      <c r="AE72" s="212" t="s">
        <v>2726</v>
      </c>
      <c r="AF72" s="473">
        <v>6583523</v>
      </c>
      <c r="AG72" s="474">
        <f t="shared" si="1"/>
        <v>0</v>
      </c>
      <c r="AI72" s="475">
        <v>2633409</v>
      </c>
      <c r="AJ72" s="475">
        <v>2633409</v>
      </c>
      <c r="AK72" s="475">
        <v>614462</v>
      </c>
      <c r="AL72" s="475">
        <v>702242</v>
      </c>
      <c r="AM72" s="212"/>
    </row>
    <row r="73" spans="1:39" hidden="1" x14ac:dyDescent="0.25">
      <c r="A73" s="476" t="s">
        <v>2403</v>
      </c>
      <c r="B73" s="477">
        <v>85250000</v>
      </c>
      <c r="C73" s="212" t="s">
        <v>2722</v>
      </c>
      <c r="D73" s="212">
        <v>71</v>
      </c>
      <c r="E73" s="478">
        <v>20216000002183</v>
      </c>
      <c r="F73" s="479">
        <v>44217</v>
      </c>
      <c r="G73" s="478" t="s">
        <v>2572</v>
      </c>
      <c r="H73" s="212" t="s">
        <v>2573</v>
      </c>
      <c r="I73" s="212" t="s">
        <v>214</v>
      </c>
      <c r="J73" s="475">
        <v>85250000</v>
      </c>
      <c r="K73" s="212" t="s">
        <v>138</v>
      </c>
      <c r="L73" s="212" t="s">
        <v>139</v>
      </c>
      <c r="M73" s="212" t="s">
        <v>44</v>
      </c>
      <c r="N73" s="212" t="s">
        <v>45</v>
      </c>
      <c r="O73" s="212" t="s">
        <v>142</v>
      </c>
      <c r="P73" s="212" t="s">
        <v>43</v>
      </c>
      <c r="R73" s="212">
        <v>72</v>
      </c>
      <c r="S73" s="479">
        <v>44217</v>
      </c>
      <c r="T73" s="212" t="s">
        <v>2727</v>
      </c>
      <c r="U73" s="475">
        <v>85250000</v>
      </c>
      <c r="V73" s="406"/>
      <c r="W73" s="362"/>
      <c r="X73" s="211">
        <v>52</v>
      </c>
      <c r="Y73" s="472">
        <v>44225</v>
      </c>
      <c r="Z73" s="472">
        <v>44225</v>
      </c>
      <c r="AA73" s="472">
        <v>44559</v>
      </c>
      <c r="AB73" s="2" t="s">
        <v>2575</v>
      </c>
      <c r="AC73" s="211">
        <v>21</v>
      </c>
      <c r="AD73" s="2">
        <v>1067863967</v>
      </c>
      <c r="AE73" s="212" t="s">
        <v>2728</v>
      </c>
      <c r="AF73" s="473">
        <v>85250000</v>
      </c>
      <c r="AG73" s="474">
        <f t="shared" si="1"/>
        <v>0</v>
      </c>
      <c r="AJ73" s="475">
        <v>8266667</v>
      </c>
      <c r="AK73" s="475">
        <v>7750000</v>
      </c>
      <c r="AL73" s="475">
        <v>7750000</v>
      </c>
      <c r="AM73" s="306">
        <v>7750000</v>
      </c>
    </row>
    <row r="74" spans="1:39" hidden="1" x14ac:dyDescent="0.25">
      <c r="B74" s="477" t="s">
        <v>2608</v>
      </c>
      <c r="C74" s="212" t="s">
        <v>2571</v>
      </c>
      <c r="D74" s="212">
        <v>72</v>
      </c>
      <c r="E74" s="478">
        <v>2021000002063</v>
      </c>
      <c r="F74" s="479">
        <v>44217</v>
      </c>
      <c r="G74" s="478" t="s">
        <v>2572</v>
      </c>
      <c r="H74" s="212" t="s">
        <v>2573</v>
      </c>
      <c r="I74" s="212" t="s">
        <v>164</v>
      </c>
      <c r="J74" s="475">
        <v>3511208</v>
      </c>
      <c r="K74" s="212" t="s">
        <v>138</v>
      </c>
      <c r="L74" s="212" t="s">
        <v>139</v>
      </c>
      <c r="M74" s="212" t="s">
        <v>44</v>
      </c>
      <c r="N74" s="212" t="s">
        <v>45</v>
      </c>
      <c r="O74" s="212" t="s">
        <v>142</v>
      </c>
      <c r="P74" s="212" t="s">
        <v>43</v>
      </c>
      <c r="R74" s="212">
        <v>76</v>
      </c>
      <c r="S74" s="479">
        <v>44217</v>
      </c>
      <c r="T74" s="212" t="s">
        <v>2729</v>
      </c>
      <c r="U74" s="475">
        <v>3511208</v>
      </c>
      <c r="V74" s="406"/>
      <c r="W74" s="362"/>
      <c r="X74" s="211">
        <v>40</v>
      </c>
      <c r="Y74" s="472">
        <v>44223</v>
      </c>
      <c r="Z74" s="472">
        <v>44224</v>
      </c>
      <c r="AA74" s="472">
        <v>44282</v>
      </c>
      <c r="AB74" s="2" t="s">
        <v>2575</v>
      </c>
      <c r="AC74" s="211">
        <v>461</v>
      </c>
      <c r="AD74" s="2">
        <v>1030697600</v>
      </c>
      <c r="AE74" s="212" t="s">
        <v>2730</v>
      </c>
      <c r="AF74" s="473">
        <v>3511208</v>
      </c>
      <c r="AG74" s="474">
        <f t="shared" si="1"/>
        <v>0</v>
      </c>
      <c r="AI74" s="475">
        <v>175560</v>
      </c>
      <c r="AJ74" s="475">
        <v>1755604</v>
      </c>
      <c r="AK74" s="475">
        <v>1580044</v>
      </c>
      <c r="AM74" s="212"/>
    </row>
    <row r="75" spans="1:39" hidden="1" x14ac:dyDescent="0.25">
      <c r="B75" s="477" t="s">
        <v>2608</v>
      </c>
      <c r="C75" s="212" t="s">
        <v>2571</v>
      </c>
      <c r="D75" s="212">
        <v>73</v>
      </c>
      <c r="E75" s="478">
        <v>20217000002093</v>
      </c>
      <c r="F75" s="479">
        <v>44217</v>
      </c>
      <c r="G75" s="478" t="s">
        <v>2572</v>
      </c>
      <c r="H75" s="212" t="s">
        <v>2573</v>
      </c>
      <c r="I75" s="212" t="s">
        <v>164</v>
      </c>
      <c r="J75" s="475">
        <v>11191976</v>
      </c>
      <c r="K75" s="212" t="s">
        <v>138</v>
      </c>
      <c r="L75" s="212" t="s">
        <v>139</v>
      </c>
      <c r="M75" s="212" t="s">
        <v>44</v>
      </c>
      <c r="N75" s="212" t="s">
        <v>45</v>
      </c>
      <c r="O75" s="212" t="s">
        <v>142</v>
      </c>
      <c r="P75" s="212" t="s">
        <v>43</v>
      </c>
      <c r="R75" s="212">
        <v>77</v>
      </c>
      <c r="S75" s="479">
        <v>44217</v>
      </c>
      <c r="T75" s="212" t="s">
        <v>2731</v>
      </c>
      <c r="U75" s="475">
        <v>11191976</v>
      </c>
      <c r="V75" s="406"/>
      <c r="W75" s="362"/>
      <c r="X75" s="211">
        <v>49</v>
      </c>
      <c r="Y75" s="472">
        <v>44224</v>
      </c>
      <c r="Z75" s="472">
        <v>44228</v>
      </c>
      <c r="AA75" s="472">
        <v>44311</v>
      </c>
      <c r="AB75" s="2" t="s">
        <v>2575</v>
      </c>
      <c r="AC75" s="211">
        <v>351</v>
      </c>
      <c r="AD75" s="2">
        <v>1094949319</v>
      </c>
      <c r="AE75" s="212" t="s">
        <v>2732</v>
      </c>
      <c r="AF75" s="473">
        <v>11191976</v>
      </c>
      <c r="AG75" s="474">
        <f t="shared" si="1"/>
        <v>0</v>
      </c>
      <c r="AM75" s="212"/>
    </row>
    <row r="76" spans="1:39" hidden="1" x14ac:dyDescent="0.25">
      <c r="B76" s="477" t="s">
        <v>2608</v>
      </c>
      <c r="C76" s="212" t="s">
        <v>2571</v>
      </c>
      <c r="D76" s="212">
        <v>74</v>
      </c>
      <c r="E76" s="478">
        <v>20217000002103</v>
      </c>
      <c r="F76" s="479">
        <v>44217</v>
      </c>
      <c r="G76" s="478" t="s">
        <v>2572</v>
      </c>
      <c r="H76" s="212" t="s">
        <v>2573</v>
      </c>
      <c r="I76" s="212" t="s">
        <v>164</v>
      </c>
      <c r="J76" s="475">
        <v>7505000</v>
      </c>
      <c r="K76" s="212" t="s">
        <v>138</v>
      </c>
      <c r="L76" s="212" t="s">
        <v>139</v>
      </c>
      <c r="M76" s="212" t="s">
        <v>44</v>
      </c>
      <c r="N76" s="212" t="s">
        <v>45</v>
      </c>
      <c r="O76" s="212" t="s">
        <v>142</v>
      </c>
      <c r="P76" s="212" t="s">
        <v>43</v>
      </c>
      <c r="R76" s="212">
        <v>78</v>
      </c>
      <c r="S76" s="479">
        <v>44217</v>
      </c>
      <c r="T76" s="212" t="s">
        <v>2733</v>
      </c>
      <c r="U76" s="475">
        <v>7505000</v>
      </c>
      <c r="V76" s="406"/>
      <c r="W76" s="362"/>
      <c r="X76" s="308">
        <v>81</v>
      </c>
      <c r="Y76" s="484">
        <v>44232</v>
      </c>
      <c r="Z76" s="484">
        <v>44241</v>
      </c>
      <c r="AA76" s="484">
        <v>44295</v>
      </c>
      <c r="AB76" s="485" t="s">
        <v>2575</v>
      </c>
      <c r="AC76" s="211">
        <v>497</v>
      </c>
      <c r="AD76" s="487">
        <v>1049647713</v>
      </c>
      <c r="AE76" s="486" t="s">
        <v>2734</v>
      </c>
      <c r="AF76" s="473">
        <v>7505000</v>
      </c>
      <c r="AG76" s="474">
        <f t="shared" si="1"/>
        <v>0</v>
      </c>
      <c r="AJ76" s="475">
        <v>3950000</v>
      </c>
      <c r="AK76" s="475">
        <f>2106000+1185000</f>
        <v>3291000</v>
      </c>
      <c r="AM76" s="212"/>
    </row>
    <row r="77" spans="1:39" hidden="1" x14ac:dyDescent="0.25">
      <c r="B77" s="477" t="s">
        <v>2608</v>
      </c>
      <c r="C77" s="212" t="s">
        <v>2571</v>
      </c>
      <c r="D77" s="212">
        <v>75</v>
      </c>
      <c r="E77" s="478">
        <v>20217000001733</v>
      </c>
      <c r="F77" s="479">
        <v>44217</v>
      </c>
      <c r="G77" s="478" t="s">
        <v>2572</v>
      </c>
      <c r="H77" s="212" t="s">
        <v>2573</v>
      </c>
      <c r="I77" s="212" t="s">
        <v>164</v>
      </c>
      <c r="J77" s="475">
        <v>13342605</v>
      </c>
      <c r="K77" s="212" t="s">
        <v>138</v>
      </c>
      <c r="L77" s="212" t="s">
        <v>139</v>
      </c>
      <c r="M77" s="212" t="s">
        <v>44</v>
      </c>
      <c r="N77" s="212" t="s">
        <v>45</v>
      </c>
      <c r="O77" s="212" t="s">
        <v>142</v>
      </c>
      <c r="P77" s="212" t="s">
        <v>43</v>
      </c>
      <c r="R77" s="212">
        <v>74</v>
      </c>
      <c r="S77" s="479">
        <v>44217</v>
      </c>
      <c r="T77" s="212" t="s">
        <v>2735</v>
      </c>
      <c r="U77" s="475">
        <v>13342605</v>
      </c>
      <c r="V77" s="406"/>
      <c r="W77" s="362"/>
      <c r="X77" s="308">
        <v>93</v>
      </c>
      <c r="Y77" s="484">
        <v>44235</v>
      </c>
      <c r="Z77" s="484">
        <v>44241</v>
      </c>
      <c r="AA77" s="484">
        <v>44295</v>
      </c>
      <c r="AB77" s="485" t="s">
        <v>2575</v>
      </c>
      <c r="AC77" s="211">
        <v>481</v>
      </c>
      <c r="AD77" s="487">
        <v>79956761</v>
      </c>
      <c r="AE77" s="486" t="s">
        <v>2736</v>
      </c>
      <c r="AF77" s="473">
        <v>13342605</v>
      </c>
      <c r="AG77" s="474">
        <f t="shared" si="1"/>
        <v>0</v>
      </c>
      <c r="AJ77" s="475">
        <v>7022424</v>
      </c>
      <c r="AK77" s="475">
        <v>6320181</v>
      </c>
      <c r="AM77" s="212"/>
    </row>
    <row r="78" spans="1:39" hidden="1" x14ac:dyDescent="0.25">
      <c r="B78" s="477" t="s">
        <v>2608</v>
      </c>
      <c r="C78" s="212" t="s">
        <v>2571</v>
      </c>
      <c r="D78" s="212">
        <v>76</v>
      </c>
      <c r="E78" s="478">
        <v>20217000001723</v>
      </c>
      <c r="F78" s="479">
        <v>44217</v>
      </c>
      <c r="G78" s="478" t="s">
        <v>2572</v>
      </c>
      <c r="H78" s="212" t="s">
        <v>2573</v>
      </c>
      <c r="I78" s="212" t="s">
        <v>164</v>
      </c>
      <c r="J78" s="475">
        <v>13342605</v>
      </c>
      <c r="K78" s="212" t="s">
        <v>138</v>
      </c>
      <c r="L78" s="212" t="s">
        <v>139</v>
      </c>
      <c r="M78" s="212" t="s">
        <v>44</v>
      </c>
      <c r="N78" s="212" t="s">
        <v>45</v>
      </c>
      <c r="O78" s="212" t="s">
        <v>142</v>
      </c>
      <c r="P78" s="212" t="s">
        <v>43</v>
      </c>
      <c r="R78" s="212">
        <v>73</v>
      </c>
      <c r="S78" s="479">
        <v>44217</v>
      </c>
      <c r="T78" s="212" t="s">
        <v>2737</v>
      </c>
      <c r="U78" s="475">
        <v>13342605</v>
      </c>
      <c r="V78" s="406"/>
      <c r="W78" s="362"/>
      <c r="X78" s="483">
        <v>126</v>
      </c>
      <c r="Y78" s="484">
        <v>44239</v>
      </c>
      <c r="Z78" s="484">
        <v>44241</v>
      </c>
      <c r="AA78" s="484">
        <v>44295</v>
      </c>
      <c r="AB78" s="485" t="s">
        <v>2575</v>
      </c>
      <c r="AC78" s="483">
        <v>487</v>
      </c>
      <c r="AD78" s="485">
        <v>80393754</v>
      </c>
      <c r="AE78" s="486" t="s">
        <v>2738</v>
      </c>
      <c r="AF78" s="473">
        <v>13342605</v>
      </c>
      <c r="AG78" s="474">
        <f t="shared" si="1"/>
        <v>0</v>
      </c>
      <c r="AJ78" s="475">
        <v>7022424</v>
      </c>
      <c r="AK78" s="475">
        <v>3979374</v>
      </c>
      <c r="AM78" s="306">
        <v>2106727</v>
      </c>
    </row>
    <row r="79" spans="1:39" hidden="1" x14ac:dyDescent="0.25">
      <c r="B79" s="477" t="s">
        <v>2608</v>
      </c>
      <c r="C79" s="212" t="s">
        <v>2571</v>
      </c>
      <c r="D79" s="212">
        <v>77</v>
      </c>
      <c r="E79" s="478">
        <v>20217000001753</v>
      </c>
      <c r="F79" s="479">
        <v>44217</v>
      </c>
      <c r="G79" s="478" t="s">
        <v>2572</v>
      </c>
      <c r="H79" s="212" t="s">
        <v>2573</v>
      </c>
      <c r="I79" s="212" t="s">
        <v>164</v>
      </c>
      <c r="J79" s="475">
        <v>13342605</v>
      </c>
      <c r="K79" s="212" t="s">
        <v>138</v>
      </c>
      <c r="L79" s="212" t="s">
        <v>139</v>
      </c>
      <c r="M79" s="212" t="s">
        <v>44</v>
      </c>
      <c r="N79" s="212" t="s">
        <v>45</v>
      </c>
      <c r="O79" s="212" t="s">
        <v>142</v>
      </c>
      <c r="P79" s="212" t="s">
        <v>43</v>
      </c>
      <c r="R79" s="212">
        <v>75</v>
      </c>
      <c r="S79" s="479">
        <v>44217</v>
      </c>
      <c r="T79" s="212" t="s">
        <v>2739</v>
      </c>
      <c r="U79" s="475">
        <v>13342605</v>
      </c>
      <c r="V79" s="406"/>
      <c r="W79" s="362"/>
      <c r="X79" s="308">
        <v>96</v>
      </c>
      <c r="Y79" s="484">
        <v>44235</v>
      </c>
      <c r="Z79" s="484">
        <v>44241</v>
      </c>
      <c r="AA79" s="484">
        <v>44295</v>
      </c>
      <c r="AB79" s="485" t="s">
        <v>2575</v>
      </c>
      <c r="AC79" s="211">
        <v>480</v>
      </c>
      <c r="AD79" s="487">
        <v>79504573</v>
      </c>
      <c r="AE79" s="486" t="s">
        <v>2740</v>
      </c>
      <c r="AF79" s="473">
        <v>13342605</v>
      </c>
      <c r="AG79" s="474">
        <f t="shared" si="1"/>
        <v>0</v>
      </c>
      <c r="AJ79" s="475">
        <v>7022424</v>
      </c>
      <c r="AK79" s="475">
        <v>6320181</v>
      </c>
      <c r="AM79" s="212"/>
    </row>
    <row r="80" spans="1:39" hidden="1" x14ac:dyDescent="0.25">
      <c r="B80" s="477" t="s">
        <v>2608</v>
      </c>
      <c r="C80" s="212" t="s">
        <v>2571</v>
      </c>
      <c r="D80" s="212">
        <v>78</v>
      </c>
      <c r="E80" s="478">
        <v>20217000002233</v>
      </c>
      <c r="F80" s="479">
        <v>44217</v>
      </c>
      <c r="G80" s="478" t="s">
        <v>2572</v>
      </c>
      <c r="H80" s="212" t="s">
        <v>2573</v>
      </c>
      <c r="I80" s="212" t="s">
        <v>164</v>
      </c>
      <c r="J80" s="475">
        <v>8295237</v>
      </c>
      <c r="K80" s="212" t="s">
        <v>138</v>
      </c>
      <c r="L80" s="212" t="s">
        <v>139</v>
      </c>
      <c r="M80" s="212" t="s">
        <v>44</v>
      </c>
      <c r="N80" s="212" t="s">
        <v>45</v>
      </c>
      <c r="O80" s="212" t="s">
        <v>142</v>
      </c>
      <c r="P80" s="212" t="s">
        <v>43</v>
      </c>
      <c r="R80" s="212">
        <v>79</v>
      </c>
      <c r="S80" s="479">
        <v>44217</v>
      </c>
      <c r="T80" s="212" t="s">
        <v>2741</v>
      </c>
      <c r="U80" s="475">
        <v>8295237</v>
      </c>
      <c r="V80" s="406"/>
      <c r="W80" s="362"/>
      <c r="X80" s="211">
        <v>50</v>
      </c>
      <c r="Y80" s="472">
        <v>44224</v>
      </c>
      <c r="Z80" s="472">
        <v>44227</v>
      </c>
      <c r="AA80" s="472">
        <v>44289</v>
      </c>
      <c r="AB80" s="2" t="s">
        <v>2575</v>
      </c>
      <c r="AC80" s="211">
        <v>452</v>
      </c>
      <c r="AD80" s="2">
        <v>1022366551</v>
      </c>
      <c r="AE80" s="212" t="s">
        <v>2742</v>
      </c>
      <c r="AF80" s="473">
        <v>8295237</v>
      </c>
      <c r="AG80" s="474">
        <f t="shared" si="1"/>
        <v>0</v>
      </c>
      <c r="AJ80" s="475">
        <v>3950113</v>
      </c>
      <c r="AK80" s="475">
        <v>3950113</v>
      </c>
      <c r="AL80" s="475">
        <v>395011</v>
      </c>
      <c r="AM80" s="212"/>
    </row>
    <row r="81" spans="1:39" hidden="1" x14ac:dyDescent="0.25">
      <c r="B81" s="477" t="s">
        <v>2608</v>
      </c>
      <c r="C81" s="212" t="s">
        <v>2571</v>
      </c>
      <c r="D81" s="212">
        <v>79</v>
      </c>
      <c r="E81" s="478">
        <v>20211300002373</v>
      </c>
      <c r="F81" s="479">
        <v>44218</v>
      </c>
      <c r="G81" s="478" t="s">
        <v>2572</v>
      </c>
      <c r="H81" s="212" t="s">
        <v>2573</v>
      </c>
      <c r="I81" s="212" t="s">
        <v>210</v>
      </c>
      <c r="J81" s="475">
        <v>17259563</v>
      </c>
      <c r="K81" s="212" t="s">
        <v>138</v>
      </c>
      <c r="L81" s="212" t="s">
        <v>139</v>
      </c>
      <c r="M81" s="212" t="s">
        <v>44</v>
      </c>
      <c r="N81" s="212" t="s">
        <v>45</v>
      </c>
      <c r="O81" s="212" t="s">
        <v>142</v>
      </c>
      <c r="P81" s="212" t="s">
        <v>43</v>
      </c>
      <c r="R81" s="212">
        <v>81</v>
      </c>
      <c r="S81" s="479">
        <v>44218</v>
      </c>
      <c r="T81" s="212" t="s">
        <v>2743</v>
      </c>
      <c r="U81" s="475">
        <v>17259563</v>
      </c>
      <c r="V81" s="406"/>
      <c r="W81" s="362"/>
      <c r="X81" s="308">
        <v>62</v>
      </c>
      <c r="Y81" s="472">
        <v>44229</v>
      </c>
      <c r="Z81" s="472">
        <v>44230</v>
      </c>
      <c r="AA81" s="472">
        <v>44294</v>
      </c>
      <c r="AB81" s="2" t="s">
        <v>2575</v>
      </c>
      <c r="AC81" s="211">
        <v>424</v>
      </c>
      <c r="AD81" s="2">
        <v>52164280</v>
      </c>
      <c r="AE81" s="212" t="s">
        <v>2744</v>
      </c>
      <c r="AF81" s="473">
        <v>17259563</v>
      </c>
      <c r="AG81" s="474">
        <f t="shared" si="1"/>
        <v>0</v>
      </c>
      <c r="AJ81" s="475">
        <v>7845256</v>
      </c>
      <c r="AK81" s="475">
        <v>7845256</v>
      </c>
      <c r="AL81" s="475">
        <v>1569051</v>
      </c>
      <c r="AM81" s="212"/>
    </row>
    <row r="82" spans="1:39" hidden="1" x14ac:dyDescent="0.25">
      <c r="B82" s="477" t="s">
        <v>2608</v>
      </c>
      <c r="C82" s="212" t="s">
        <v>2571</v>
      </c>
      <c r="D82" s="212">
        <v>80</v>
      </c>
      <c r="E82" s="478">
        <v>20217000002393</v>
      </c>
      <c r="F82" s="479">
        <v>44218</v>
      </c>
      <c r="G82" s="478" t="s">
        <v>2572</v>
      </c>
      <c r="H82" s="212" t="s">
        <v>2573</v>
      </c>
      <c r="I82" s="212" t="s">
        <v>164</v>
      </c>
      <c r="J82" s="475">
        <v>3950109</v>
      </c>
      <c r="K82" s="212" t="s">
        <v>138</v>
      </c>
      <c r="L82" s="212" t="s">
        <v>139</v>
      </c>
      <c r="M82" s="212" t="s">
        <v>44</v>
      </c>
      <c r="N82" s="212" t="s">
        <v>45</v>
      </c>
      <c r="O82" s="212" t="s">
        <v>142</v>
      </c>
      <c r="P82" s="212" t="s">
        <v>43</v>
      </c>
      <c r="R82" s="212">
        <v>82</v>
      </c>
      <c r="S82" s="479">
        <v>44218</v>
      </c>
      <c r="T82" s="212" t="s">
        <v>2745</v>
      </c>
      <c r="U82" s="475">
        <v>3950109</v>
      </c>
      <c r="V82" s="406"/>
      <c r="W82" s="362"/>
      <c r="X82" s="211">
        <v>34</v>
      </c>
      <c r="Y82" s="472">
        <v>44223</v>
      </c>
      <c r="Z82" s="472">
        <v>44223</v>
      </c>
      <c r="AA82" s="472">
        <v>44268</v>
      </c>
      <c r="AB82" s="2" t="s">
        <v>2575</v>
      </c>
      <c r="AC82" s="211">
        <v>539</v>
      </c>
      <c r="AD82" s="2">
        <v>1000018614</v>
      </c>
      <c r="AE82" s="212" t="s">
        <v>2746</v>
      </c>
      <c r="AF82" s="473">
        <v>3950109</v>
      </c>
      <c r="AG82" s="474">
        <f t="shared" si="1"/>
        <v>0</v>
      </c>
      <c r="AI82" s="475">
        <v>2633406</v>
      </c>
      <c r="AJ82" s="475">
        <v>438901</v>
      </c>
      <c r="AK82" s="475">
        <v>877802</v>
      </c>
      <c r="AM82" s="212"/>
    </row>
    <row r="83" spans="1:39" hidden="1" x14ac:dyDescent="0.25">
      <c r="B83" s="477" t="s">
        <v>2608</v>
      </c>
      <c r="C83" s="212" t="s">
        <v>2571</v>
      </c>
      <c r="D83" s="212">
        <v>81</v>
      </c>
      <c r="E83" s="478">
        <v>20217000002953</v>
      </c>
      <c r="F83" s="479">
        <v>44221</v>
      </c>
      <c r="G83" s="478" t="s">
        <v>2572</v>
      </c>
      <c r="H83" s="212" t="s">
        <v>2573</v>
      </c>
      <c r="I83" s="212" t="s">
        <v>164</v>
      </c>
      <c r="J83" s="475">
        <v>6144614</v>
      </c>
      <c r="K83" s="212" t="s">
        <v>138</v>
      </c>
      <c r="L83" s="212" t="s">
        <v>139</v>
      </c>
      <c r="M83" s="212" t="s">
        <v>44</v>
      </c>
      <c r="N83" s="212" t="s">
        <v>45</v>
      </c>
      <c r="O83" s="212" t="s">
        <v>142</v>
      </c>
      <c r="P83" s="212" t="s">
        <v>43</v>
      </c>
      <c r="R83" s="212">
        <v>86</v>
      </c>
      <c r="S83" s="479">
        <v>44221</v>
      </c>
      <c r="T83" s="212" t="s">
        <v>2747</v>
      </c>
      <c r="U83" s="475">
        <v>6144614</v>
      </c>
      <c r="V83" s="406"/>
      <c r="W83" s="362"/>
      <c r="X83" s="211">
        <v>38</v>
      </c>
      <c r="Y83" s="472">
        <v>44223</v>
      </c>
      <c r="Z83" s="472">
        <v>44224</v>
      </c>
      <c r="AA83" s="472">
        <v>44282</v>
      </c>
      <c r="AB83" s="2" t="s">
        <v>2575</v>
      </c>
      <c r="AC83" s="211">
        <v>462</v>
      </c>
      <c r="AD83" s="2">
        <v>1023866928</v>
      </c>
      <c r="AE83" s="212" t="s">
        <v>2748</v>
      </c>
      <c r="AF83" s="473">
        <v>6144614</v>
      </c>
      <c r="AG83" s="474">
        <f t="shared" si="1"/>
        <v>0</v>
      </c>
      <c r="AI83" s="475">
        <v>307230</v>
      </c>
      <c r="AJ83" s="475">
        <v>3072307</v>
      </c>
      <c r="AK83" s="475">
        <v>2765077</v>
      </c>
      <c r="AM83" s="212"/>
    </row>
    <row r="84" spans="1:39" hidden="1" x14ac:dyDescent="0.25">
      <c r="A84" s="476" t="s">
        <v>2298</v>
      </c>
      <c r="B84" s="477">
        <v>34978255</v>
      </c>
      <c r="C84" s="212" t="s">
        <v>2571</v>
      </c>
      <c r="D84" s="212">
        <v>82</v>
      </c>
      <c r="E84" s="478">
        <v>20211300002983</v>
      </c>
      <c r="F84" s="479">
        <v>44221</v>
      </c>
      <c r="G84" s="478" t="s">
        <v>2572</v>
      </c>
      <c r="H84" s="212" t="s">
        <v>2573</v>
      </c>
      <c r="I84" s="212" t="s">
        <v>210</v>
      </c>
      <c r="J84" s="475">
        <v>29981361</v>
      </c>
      <c r="K84" s="212" t="s">
        <v>138</v>
      </c>
      <c r="L84" s="212" t="s">
        <v>139</v>
      </c>
      <c r="M84" s="212" t="s">
        <v>44</v>
      </c>
      <c r="N84" s="212" t="s">
        <v>45</v>
      </c>
      <c r="O84" s="212" t="s">
        <v>142</v>
      </c>
      <c r="P84" s="212" t="s">
        <v>43</v>
      </c>
      <c r="R84" s="212">
        <v>87</v>
      </c>
      <c r="S84" s="479">
        <v>44221</v>
      </c>
      <c r="T84" s="212" t="s">
        <v>2749</v>
      </c>
      <c r="U84" s="475">
        <v>29981361</v>
      </c>
      <c r="V84" s="406"/>
      <c r="W84" s="362"/>
      <c r="X84" s="308">
        <v>71</v>
      </c>
      <c r="Y84" s="472">
        <v>44230</v>
      </c>
      <c r="Z84" s="472">
        <v>44230</v>
      </c>
      <c r="AA84" s="472">
        <v>44411</v>
      </c>
      <c r="AB84" s="2" t="s">
        <v>2575</v>
      </c>
      <c r="AC84" s="211">
        <v>37</v>
      </c>
      <c r="AD84" s="2">
        <v>52951520</v>
      </c>
      <c r="AE84" s="212" t="s">
        <v>2750</v>
      </c>
      <c r="AF84" s="473">
        <v>29981358</v>
      </c>
      <c r="AG84" s="474">
        <f t="shared" si="1"/>
        <v>3</v>
      </c>
      <c r="AJ84" s="475">
        <v>4164078</v>
      </c>
      <c r="AK84" s="475">
        <v>4996893</v>
      </c>
      <c r="AL84" s="475">
        <v>4996893</v>
      </c>
      <c r="AM84" s="306">
        <v>4996893</v>
      </c>
    </row>
    <row r="85" spans="1:39" hidden="1" x14ac:dyDescent="0.25">
      <c r="B85" s="477" t="s">
        <v>2608</v>
      </c>
      <c r="C85" s="212" t="s">
        <v>2571</v>
      </c>
      <c r="D85" s="212">
        <v>83</v>
      </c>
      <c r="E85" s="478">
        <v>20217000002933</v>
      </c>
      <c r="F85" s="479">
        <v>44221</v>
      </c>
      <c r="G85" s="478" t="s">
        <v>2572</v>
      </c>
      <c r="H85" s="212" t="s">
        <v>2573</v>
      </c>
      <c r="I85" s="212" t="s">
        <v>164</v>
      </c>
      <c r="J85" s="475">
        <v>10665294</v>
      </c>
      <c r="K85" s="212" t="s">
        <v>138</v>
      </c>
      <c r="L85" s="212" t="s">
        <v>139</v>
      </c>
      <c r="M85" s="212" t="s">
        <v>44</v>
      </c>
      <c r="N85" s="212" t="s">
        <v>45</v>
      </c>
      <c r="O85" s="212" t="s">
        <v>142</v>
      </c>
      <c r="P85" s="212" t="s">
        <v>43</v>
      </c>
      <c r="R85" s="212">
        <v>85</v>
      </c>
      <c r="S85" s="479">
        <v>44221</v>
      </c>
      <c r="T85" s="212" t="s">
        <v>2751</v>
      </c>
      <c r="U85" s="475">
        <v>10665294</v>
      </c>
      <c r="V85" s="406"/>
      <c r="W85" s="362"/>
      <c r="X85" s="308">
        <v>54</v>
      </c>
      <c r="Y85" s="472">
        <v>44228</v>
      </c>
      <c r="Z85" s="472">
        <v>44228</v>
      </c>
      <c r="AA85" s="472">
        <v>44307</v>
      </c>
      <c r="AB85" s="2" t="s">
        <v>2575</v>
      </c>
      <c r="AC85" s="211">
        <v>366</v>
      </c>
      <c r="AD85" s="2">
        <v>1030555134</v>
      </c>
      <c r="AE85" s="212" t="s">
        <v>2752</v>
      </c>
      <c r="AF85" s="473">
        <v>10665294</v>
      </c>
      <c r="AG85" s="474">
        <f t="shared" si="1"/>
        <v>0</v>
      </c>
      <c r="AJ85" s="475">
        <v>3950109</v>
      </c>
      <c r="AK85" s="475">
        <v>3950109</v>
      </c>
      <c r="AL85" s="475">
        <v>2765076</v>
      </c>
      <c r="AM85" s="212"/>
    </row>
    <row r="86" spans="1:39" hidden="1" x14ac:dyDescent="0.25">
      <c r="B86" s="477" t="s">
        <v>2608</v>
      </c>
      <c r="C86" s="212" t="s">
        <v>2571</v>
      </c>
      <c r="D86" s="212">
        <v>84</v>
      </c>
      <c r="E86" s="478">
        <v>20213000002733</v>
      </c>
      <c r="F86" s="479">
        <v>44221</v>
      </c>
      <c r="G86" s="478" t="s">
        <v>2565</v>
      </c>
      <c r="H86" s="212" t="s">
        <v>2566</v>
      </c>
      <c r="I86" s="212" t="s">
        <v>432</v>
      </c>
      <c r="J86" s="475">
        <v>14000000</v>
      </c>
      <c r="K86" s="212" t="s">
        <v>358</v>
      </c>
      <c r="L86" s="212" t="s">
        <v>2716</v>
      </c>
      <c r="M86" s="212" t="s">
        <v>44</v>
      </c>
      <c r="N86" s="212" t="s">
        <v>45</v>
      </c>
      <c r="O86" s="212" t="s">
        <v>63</v>
      </c>
      <c r="P86" s="212" t="s">
        <v>676</v>
      </c>
      <c r="R86" s="212">
        <v>83</v>
      </c>
      <c r="S86" s="479">
        <v>44221</v>
      </c>
      <c r="T86" s="212" t="s">
        <v>2753</v>
      </c>
      <c r="U86" s="475">
        <v>14000000</v>
      </c>
      <c r="V86" s="406"/>
      <c r="W86" s="362"/>
      <c r="X86" s="211">
        <v>43</v>
      </c>
      <c r="Y86" s="472">
        <v>44224</v>
      </c>
      <c r="Z86" s="472">
        <v>44225</v>
      </c>
      <c r="AA86" s="472">
        <v>44283</v>
      </c>
      <c r="AB86" s="2" t="s">
        <v>2575</v>
      </c>
      <c r="AC86" s="211">
        <v>473</v>
      </c>
      <c r="AD86" s="2">
        <v>79861695</v>
      </c>
      <c r="AE86" s="212" t="s">
        <v>2754</v>
      </c>
      <c r="AF86" s="473">
        <v>14000000</v>
      </c>
      <c r="AG86" s="474">
        <f t="shared" si="1"/>
        <v>0</v>
      </c>
      <c r="AI86" s="480">
        <v>7000000</v>
      </c>
      <c r="AJ86" s="475">
        <v>7000000</v>
      </c>
      <c r="AM86" s="212"/>
    </row>
    <row r="87" spans="1:39" hidden="1" x14ac:dyDescent="0.25">
      <c r="B87" s="477" t="s">
        <v>2608</v>
      </c>
      <c r="C87" s="212" t="s">
        <v>2571</v>
      </c>
      <c r="D87" s="212">
        <v>85</v>
      </c>
      <c r="E87" s="478">
        <v>20213000002743</v>
      </c>
      <c r="F87" s="479">
        <v>44221</v>
      </c>
      <c r="G87" s="478" t="s">
        <v>2565</v>
      </c>
      <c r="H87" s="212" t="s">
        <v>2566</v>
      </c>
      <c r="I87" s="212" t="s">
        <v>432</v>
      </c>
      <c r="J87" s="475">
        <v>16000000</v>
      </c>
      <c r="K87" s="212" t="s">
        <v>358</v>
      </c>
      <c r="L87" s="212" t="s">
        <v>2716</v>
      </c>
      <c r="M87" s="212" t="s">
        <v>44</v>
      </c>
      <c r="N87" s="212" t="s">
        <v>45</v>
      </c>
      <c r="O87" s="212" t="s">
        <v>63</v>
      </c>
      <c r="P87" s="212" t="s">
        <v>676</v>
      </c>
      <c r="R87" s="212">
        <v>84</v>
      </c>
      <c r="S87" s="479">
        <v>44221</v>
      </c>
      <c r="T87" s="212" t="s">
        <v>2755</v>
      </c>
      <c r="U87" s="475">
        <v>16000000</v>
      </c>
      <c r="V87" s="406"/>
      <c r="W87" s="362"/>
      <c r="X87" s="211">
        <v>37</v>
      </c>
      <c r="Y87" s="472">
        <v>44223</v>
      </c>
      <c r="Z87" s="472">
        <v>44224</v>
      </c>
      <c r="AA87" s="472">
        <v>44282</v>
      </c>
      <c r="AB87" s="2" t="s">
        <v>2575</v>
      </c>
      <c r="AC87" s="211">
        <v>464</v>
      </c>
      <c r="AD87" s="2">
        <v>79913115</v>
      </c>
      <c r="AE87" s="212" t="s">
        <v>2756</v>
      </c>
      <c r="AF87" s="473">
        <v>16000000</v>
      </c>
      <c r="AG87" s="474">
        <f t="shared" si="1"/>
        <v>0</v>
      </c>
      <c r="AI87" s="480">
        <v>8000000</v>
      </c>
      <c r="AJ87" s="475">
        <v>8000000</v>
      </c>
      <c r="AM87" s="212"/>
    </row>
    <row r="88" spans="1:39" hidden="1" x14ac:dyDescent="0.25">
      <c r="A88" s="476" t="s">
        <v>2063</v>
      </c>
      <c r="B88" s="477">
        <v>32706000</v>
      </c>
      <c r="C88" s="212" t="s">
        <v>2571</v>
      </c>
      <c r="D88" s="212">
        <v>86</v>
      </c>
      <c r="E88" s="478">
        <v>20211400001513</v>
      </c>
      <c r="F88" s="479">
        <v>44214</v>
      </c>
      <c r="G88" s="478" t="s">
        <v>2572</v>
      </c>
      <c r="H88" s="212" t="s">
        <v>2573</v>
      </c>
      <c r="I88" s="212" t="s">
        <v>184</v>
      </c>
      <c r="J88" s="475">
        <v>32706000</v>
      </c>
      <c r="K88" s="212" t="s">
        <v>138</v>
      </c>
      <c r="L88" s="212" t="s">
        <v>2577</v>
      </c>
      <c r="M88" s="212" t="s">
        <v>44</v>
      </c>
      <c r="N88" s="212" t="s">
        <v>45</v>
      </c>
      <c r="O88" s="212" t="s">
        <v>142</v>
      </c>
      <c r="P88" s="212" t="s">
        <v>43</v>
      </c>
      <c r="R88" s="212">
        <v>63</v>
      </c>
      <c r="S88" s="479">
        <v>44214</v>
      </c>
      <c r="T88" s="212" t="s">
        <v>2757</v>
      </c>
      <c r="U88" s="475">
        <v>32706000</v>
      </c>
      <c r="V88" s="406"/>
      <c r="W88" s="362"/>
      <c r="X88" s="308">
        <v>211</v>
      </c>
      <c r="Y88" s="484">
        <v>44256</v>
      </c>
      <c r="Z88" s="484">
        <v>44256</v>
      </c>
      <c r="AA88" s="484">
        <v>44499</v>
      </c>
      <c r="AB88" s="485" t="s">
        <v>2575</v>
      </c>
      <c r="AC88" s="211">
        <v>140</v>
      </c>
      <c r="AD88" s="485" t="s">
        <v>2758</v>
      </c>
      <c r="AE88" s="486" t="s">
        <v>2759</v>
      </c>
      <c r="AF88" s="473">
        <v>32706000</v>
      </c>
      <c r="AG88" s="474">
        <f t="shared" si="1"/>
        <v>0</v>
      </c>
      <c r="AK88" s="475">
        <v>4088250</v>
      </c>
      <c r="AL88" s="475">
        <v>4088250</v>
      </c>
      <c r="AM88" s="306">
        <v>4088250</v>
      </c>
    </row>
    <row r="89" spans="1:39" hidden="1" x14ac:dyDescent="0.25">
      <c r="B89" s="477" t="s">
        <v>2608</v>
      </c>
      <c r="C89" s="212" t="s">
        <v>2760</v>
      </c>
      <c r="D89" s="212">
        <v>87</v>
      </c>
      <c r="E89" s="478">
        <v>20214000003193</v>
      </c>
      <c r="F89" s="479">
        <v>44222</v>
      </c>
      <c r="G89" s="478" t="s">
        <v>2605</v>
      </c>
      <c r="H89" s="212" t="s">
        <v>2606</v>
      </c>
      <c r="I89" s="212" t="s">
        <v>47</v>
      </c>
      <c r="J89" s="475">
        <v>497451486</v>
      </c>
      <c r="K89" s="212" t="s">
        <v>37</v>
      </c>
      <c r="L89" s="212" t="s">
        <v>2607</v>
      </c>
      <c r="M89" s="212" t="s">
        <v>44</v>
      </c>
      <c r="N89" s="212" t="s">
        <v>45</v>
      </c>
      <c r="O89" s="212" t="s">
        <v>310</v>
      </c>
      <c r="P89" s="212" t="s">
        <v>43</v>
      </c>
      <c r="R89" s="212">
        <v>90</v>
      </c>
      <c r="S89" s="479">
        <v>44222</v>
      </c>
      <c r="T89" s="212" t="s">
        <v>2761</v>
      </c>
      <c r="U89" s="489">
        <v>497451486</v>
      </c>
      <c r="V89" s="406"/>
      <c r="W89" s="362"/>
      <c r="X89" s="308">
        <v>56</v>
      </c>
      <c r="Y89" s="472">
        <v>44228</v>
      </c>
      <c r="Z89" s="472">
        <v>44228</v>
      </c>
      <c r="AA89" s="472">
        <v>44407</v>
      </c>
      <c r="AB89" s="2" t="s">
        <v>2762</v>
      </c>
      <c r="AC89" s="211">
        <v>244</v>
      </c>
      <c r="AD89" s="2">
        <v>860041968</v>
      </c>
      <c r="AE89" s="212" t="s">
        <v>2763</v>
      </c>
      <c r="AF89" s="473">
        <v>497451486</v>
      </c>
      <c r="AG89" s="474">
        <f t="shared" si="1"/>
        <v>0</v>
      </c>
      <c r="AJ89" s="475">
        <v>91879295</v>
      </c>
      <c r="AL89" s="475">
        <v>95370708</v>
      </c>
      <c r="AM89" s="212"/>
    </row>
    <row r="90" spans="1:39" hidden="1" x14ac:dyDescent="0.25">
      <c r="B90" s="477" t="s">
        <v>2608</v>
      </c>
      <c r="C90" s="212" t="s">
        <v>2571</v>
      </c>
      <c r="D90" s="212">
        <v>88</v>
      </c>
      <c r="E90" s="478">
        <v>20217000002083</v>
      </c>
      <c r="F90" s="479">
        <v>44223</v>
      </c>
      <c r="G90" s="478" t="s">
        <v>2572</v>
      </c>
      <c r="H90" s="212" t="s">
        <v>2573</v>
      </c>
      <c r="I90" s="212" t="s">
        <v>164</v>
      </c>
      <c r="J90" s="475">
        <v>6656672</v>
      </c>
      <c r="K90" s="212" t="s">
        <v>138</v>
      </c>
      <c r="L90" s="212" t="s">
        <v>139</v>
      </c>
      <c r="M90" s="212" t="s">
        <v>44</v>
      </c>
      <c r="N90" s="212" t="s">
        <v>45</v>
      </c>
      <c r="O90" s="212" t="s">
        <v>142</v>
      </c>
      <c r="P90" s="212" t="s">
        <v>43</v>
      </c>
      <c r="R90" s="212">
        <v>91</v>
      </c>
      <c r="S90" s="479">
        <v>44223</v>
      </c>
      <c r="T90" s="212" t="s">
        <v>2764</v>
      </c>
      <c r="U90" s="475">
        <v>6656672</v>
      </c>
      <c r="V90" s="406"/>
      <c r="W90" s="362"/>
      <c r="X90" s="211">
        <v>53</v>
      </c>
      <c r="Y90" s="472">
        <v>44225</v>
      </c>
      <c r="Z90" s="472">
        <v>44227</v>
      </c>
      <c r="AA90" s="472">
        <v>44290</v>
      </c>
      <c r="AB90" s="2" t="s">
        <v>2575</v>
      </c>
      <c r="AC90" s="211">
        <v>421</v>
      </c>
      <c r="AD90" s="2">
        <v>52207507</v>
      </c>
      <c r="AE90" s="212" t="s">
        <v>2765</v>
      </c>
      <c r="AF90" s="473">
        <v>6656672</v>
      </c>
      <c r="AG90" s="474">
        <f t="shared" si="1"/>
        <v>0</v>
      </c>
      <c r="AJ90" s="475">
        <v>3072310</v>
      </c>
      <c r="AK90" s="475">
        <v>3072310</v>
      </c>
      <c r="AL90" s="475">
        <v>512052</v>
      </c>
      <c r="AM90" s="212"/>
    </row>
    <row r="91" spans="1:39" hidden="1" x14ac:dyDescent="0.25">
      <c r="C91" s="212" t="s">
        <v>2766</v>
      </c>
      <c r="D91" s="212">
        <v>89</v>
      </c>
      <c r="E91" s="478">
        <v>20211400003253</v>
      </c>
      <c r="F91" s="479">
        <v>44223</v>
      </c>
      <c r="G91" s="478" t="s">
        <v>2572</v>
      </c>
      <c r="H91" s="212" t="s">
        <v>2573</v>
      </c>
      <c r="I91" s="212" t="s">
        <v>184</v>
      </c>
      <c r="J91" s="475">
        <v>27877000</v>
      </c>
      <c r="K91" s="212" t="s">
        <v>138</v>
      </c>
      <c r="L91" s="212" t="s">
        <v>2577</v>
      </c>
      <c r="M91" s="212" t="s">
        <v>2767</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2617</v>
      </c>
      <c r="AC91" s="211">
        <v>3543</v>
      </c>
      <c r="AD91" s="2">
        <v>899999115</v>
      </c>
      <c r="AE91" s="212" t="s">
        <v>2768</v>
      </c>
      <c r="AF91" s="473">
        <v>27877000</v>
      </c>
      <c r="AG91" s="474">
        <f t="shared" si="1"/>
        <v>0</v>
      </c>
      <c r="AJ91" s="481">
        <v>2884090</v>
      </c>
      <c r="AL91" s="475">
        <v>2114184</v>
      </c>
      <c r="AM91" s="306">
        <v>4220633</v>
      </c>
    </row>
    <row r="92" spans="1:39" hidden="1" x14ac:dyDescent="0.25">
      <c r="A92" s="476" t="s">
        <v>2433</v>
      </c>
      <c r="B92" s="477">
        <v>169075413</v>
      </c>
      <c r="C92" s="212" t="s">
        <v>2571</v>
      </c>
      <c r="D92" s="212">
        <v>90</v>
      </c>
      <c r="E92" s="478">
        <v>20212000001663</v>
      </c>
      <c r="F92" s="479">
        <v>44225</v>
      </c>
      <c r="G92" s="478" t="s">
        <v>2565</v>
      </c>
      <c r="H92" s="212" t="s">
        <v>2566</v>
      </c>
      <c r="I92" s="212" t="s">
        <v>391</v>
      </c>
      <c r="J92" s="475">
        <v>155814175</v>
      </c>
      <c r="K92" s="210" t="s">
        <v>2636</v>
      </c>
      <c r="L92" s="212" t="s">
        <v>2637</v>
      </c>
      <c r="M92" s="212" t="s">
        <v>44</v>
      </c>
      <c r="N92" s="212" t="s">
        <v>45</v>
      </c>
      <c r="O92" s="212" t="s">
        <v>63</v>
      </c>
      <c r="P92" s="212" t="s">
        <v>676</v>
      </c>
      <c r="R92" s="212">
        <v>94</v>
      </c>
      <c r="S92" s="479">
        <v>44225</v>
      </c>
      <c r="T92" s="212" t="s">
        <v>2769</v>
      </c>
      <c r="U92" s="475">
        <f>155814175-7082463</f>
        <v>148731712</v>
      </c>
      <c r="V92" s="411">
        <v>7082463</v>
      </c>
      <c r="W92" s="397"/>
      <c r="X92" s="308">
        <v>106</v>
      </c>
      <c r="Y92" s="484">
        <v>44236</v>
      </c>
      <c r="Z92" s="484">
        <v>44236</v>
      </c>
      <c r="AA92" s="484">
        <v>44561</v>
      </c>
      <c r="AB92" s="485" t="s">
        <v>2575</v>
      </c>
      <c r="AC92" s="211">
        <v>53</v>
      </c>
      <c r="AD92" s="487">
        <v>79577619</v>
      </c>
      <c r="AE92" s="486" t="s">
        <v>2770</v>
      </c>
      <c r="AF92" s="473">
        <v>148731712</v>
      </c>
      <c r="AG92" s="474">
        <f t="shared" si="1"/>
        <v>0</v>
      </c>
      <c r="AJ92" s="475">
        <v>8971119</v>
      </c>
      <c r="AK92" s="475">
        <v>14164925</v>
      </c>
      <c r="AL92" s="475">
        <v>14164925</v>
      </c>
      <c r="AM92" s="306">
        <v>14164925</v>
      </c>
    </row>
    <row r="93" spans="1:39" hidden="1" x14ac:dyDescent="0.25">
      <c r="A93" s="476" t="s">
        <v>2423</v>
      </c>
      <c r="B93" s="477">
        <v>64900000</v>
      </c>
      <c r="C93" s="212" t="s">
        <v>2571</v>
      </c>
      <c r="D93" s="212">
        <v>91</v>
      </c>
      <c r="E93" s="478">
        <v>20212000001673</v>
      </c>
      <c r="F93" s="479">
        <v>44225</v>
      </c>
      <c r="G93" s="478" t="s">
        <v>2565</v>
      </c>
      <c r="H93" s="212" t="s">
        <v>2566</v>
      </c>
      <c r="I93" s="212" t="s">
        <v>391</v>
      </c>
      <c r="J93" s="475">
        <v>64900000</v>
      </c>
      <c r="K93" s="210" t="s">
        <v>2636</v>
      </c>
      <c r="L93" s="212" t="s">
        <v>2637</v>
      </c>
      <c r="M93" s="212" t="s">
        <v>44</v>
      </c>
      <c r="N93" s="212" t="s">
        <v>45</v>
      </c>
      <c r="O93" s="212" t="s">
        <v>63</v>
      </c>
      <c r="P93" s="212" t="s">
        <v>676</v>
      </c>
      <c r="R93" s="212">
        <v>95</v>
      </c>
      <c r="S93" s="479">
        <v>44225</v>
      </c>
      <c r="T93" s="212" t="s">
        <v>2771</v>
      </c>
      <c r="U93" s="475">
        <f>64900000-2950000</f>
        <v>61950000</v>
      </c>
      <c r="V93" s="411">
        <v>2950000</v>
      </c>
      <c r="W93" s="397"/>
      <c r="X93" s="308">
        <v>92</v>
      </c>
      <c r="Y93" s="484">
        <v>44235</v>
      </c>
      <c r="Z93" s="484">
        <v>44235</v>
      </c>
      <c r="AA93" s="484">
        <v>44561</v>
      </c>
      <c r="AB93" s="485" t="s">
        <v>2575</v>
      </c>
      <c r="AC93" s="211">
        <v>50</v>
      </c>
      <c r="AD93" s="487">
        <v>79940456</v>
      </c>
      <c r="AE93" s="486" t="s">
        <v>2772</v>
      </c>
      <c r="AF93" s="473">
        <v>61950000</v>
      </c>
      <c r="AG93" s="474">
        <f t="shared" si="1"/>
        <v>0</v>
      </c>
      <c r="AJ93" s="475">
        <v>4130000</v>
      </c>
      <c r="AK93" s="475">
        <v>5900000</v>
      </c>
      <c r="AL93" s="475">
        <v>5900000</v>
      </c>
      <c r="AM93" s="306">
        <v>5900000</v>
      </c>
    </row>
    <row r="94" spans="1:39" hidden="1" x14ac:dyDescent="0.25">
      <c r="A94" s="476" t="s">
        <v>2425</v>
      </c>
      <c r="B94" s="477">
        <v>134074420</v>
      </c>
      <c r="C94" s="212" t="s">
        <v>2571</v>
      </c>
      <c r="D94" s="212">
        <v>92</v>
      </c>
      <c r="E94" s="478">
        <v>20212000001693</v>
      </c>
      <c r="F94" s="479">
        <v>44225</v>
      </c>
      <c r="G94" s="478" t="s">
        <v>2565</v>
      </c>
      <c r="H94" s="212" t="s">
        <v>2566</v>
      </c>
      <c r="I94" s="212" t="s">
        <v>391</v>
      </c>
      <c r="J94" s="475">
        <v>124984629</v>
      </c>
      <c r="K94" s="210" t="s">
        <v>2636</v>
      </c>
      <c r="L94" s="212" t="s">
        <v>2637</v>
      </c>
      <c r="M94" s="212" t="s">
        <v>44</v>
      </c>
      <c r="N94" s="212" t="s">
        <v>45</v>
      </c>
      <c r="O94" s="212" t="s">
        <v>63</v>
      </c>
      <c r="P94" s="212" t="s">
        <v>676</v>
      </c>
      <c r="R94" s="212">
        <v>96</v>
      </c>
      <c r="S94" s="479">
        <v>44225</v>
      </c>
      <c r="T94" s="212" t="s">
        <v>2773</v>
      </c>
      <c r="U94" s="475">
        <f>124984629-5681120</f>
        <v>119303509</v>
      </c>
      <c r="V94" s="406">
        <v>5681120</v>
      </c>
      <c r="W94" s="362"/>
      <c r="X94" s="308">
        <v>108</v>
      </c>
      <c r="Y94" s="484">
        <v>44237</v>
      </c>
      <c r="Z94" s="484">
        <v>44237</v>
      </c>
      <c r="AA94" s="484">
        <v>44561</v>
      </c>
      <c r="AB94" s="485" t="s">
        <v>2575</v>
      </c>
      <c r="AC94" s="211">
        <v>55</v>
      </c>
      <c r="AD94" s="487">
        <v>38256092</v>
      </c>
      <c r="AE94" s="486" t="s">
        <v>2774</v>
      </c>
      <c r="AF94" s="473">
        <v>119303509</v>
      </c>
      <c r="AG94" s="474">
        <f t="shared" si="1"/>
        <v>0</v>
      </c>
      <c r="AJ94" s="475">
        <v>7196085</v>
      </c>
      <c r="AK94" s="475">
        <v>11362239</v>
      </c>
      <c r="AL94" s="475">
        <v>11362239</v>
      </c>
      <c r="AM94" s="306">
        <v>11362239</v>
      </c>
    </row>
    <row r="95" spans="1:39" hidden="1" x14ac:dyDescent="0.25">
      <c r="A95" s="476" t="s">
        <v>2434</v>
      </c>
      <c r="B95" s="477">
        <v>84838051</v>
      </c>
      <c r="C95" s="212" t="s">
        <v>2571</v>
      </c>
      <c r="D95" s="212">
        <v>93</v>
      </c>
      <c r="E95" s="478">
        <v>20212000001703</v>
      </c>
      <c r="F95" s="479">
        <v>44225</v>
      </c>
      <c r="G95" s="478" t="s">
        <v>2565</v>
      </c>
      <c r="H95" s="212" t="s">
        <v>2566</v>
      </c>
      <c r="I95" s="212" t="s">
        <v>391</v>
      </c>
      <c r="J95" s="475">
        <v>83323086</v>
      </c>
      <c r="K95" s="210" t="s">
        <v>2636</v>
      </c>
      <c r="L95" s="212" t="s">
        <v>2637</v>
      </c>
      <c r="M95" s="212" t="s">
        <v>44</v>
      </c>
      <c r="N95" s="212" t="s">
        <v>45</v>
      </c>
      <c r="O95" s="212" t="s">
        <v>63</v>
      </c>
      <c r="P95" s="212" t="s">
        <v>676</v>
      </c>
      <c r="R95" s="212">
        <v>97</v>
      </c>
      <c r="S95" s="479">
        <v>44225</v>
      </c>
      <c r="T95" s="212" t="s">
        <v>2775</v>
      </c>
      <c r="U95" s="475">
        <f>83323086-3787413</f>
        <v>79535673</v>
      </c>
      <c r="V95" s="406">
        <v>3787413</v>
      </c>
      <c r="W95" s="362"/>
      <c r="X95" s="308">
        <v>89</v>
      </c>
      <c r="Y95" s="484">
        <v>44235</v>
      </c>
      <c r="Z95" s="484">
        <v>44235</v>
      </c>
      <c r="AA95" s="484">
        <v>44561</v>
      </c>
      <c r="AB95" s="485" t="s">
        <v>2575</v>
      </c>
      <c r="AC95" s="211">
        <v>45</v>
      </c>
      <c r="AD95" s="487">
        <v>51895054</v>
      </c>
      <c r="AE95" s="486" t="s">
        <v>2776</v>
      </c>
      <c r="AF95" s="473">
        <v>79535673</v>
      </c>
      <c r="AG95" s="474">
        <f t="shared" si="1"/>
        <v>0</v>
      </c>
      <c r="AJ95" s="475">
        <v>5302378</v>
      </c>
      <c r="AK95" s="475">
        <v>7574826</v>
      </c>
      <c r="AL95" s="475">
        <v>7574826</v>
      </c>
      <c r="AM95" s="306">
        <v>7574826</v>
      </c>
    </row>
    <row r="96" spans="1:39" hidden="1" x14ac:dyDescent="0.25">
      <c r="A96" s="476" t="s">
        <v>1921</v>
      </c>
      <c r="B96" s="477">
        <v>44319000</v>
      </c>
      <c r="C96" s="212" t="s">
        <v>2571</v>
      </c>
      <c r="D96" s="212">
        <v>94</v>
      </c>
      <c r="E96" s="478">
        <v>20212000002243</v>
      </c>
      <c r="F96" s="479">
        <v>44225</v>
      </c>
      <c r="G96" s="478" t="s">
        <v>2565</v>
      </c>
      <c r="H96" s="212" t="s">
        <v>2566</v>
      </c>
      <c r="I96" s="212" t="s">
        <v>391</v>
      </c>
      <c r="J96" s="475">
        <v>44319000</v>
      </c>
      <c r="K96" s="210" t="s">
        <v>2636</v>
      </c>
      <c r="L96" s="212" t="s">
        <v>2637</v>
      </c>
      <c r="M96" s="212" t="s">
        <v>44</v>
      </c>
      <c r="N96" s="212" t="s">
        <v>45</v>
      </c>
      <c r="O96" s="212" t="s">
        <v>63</v>
      </c>
      <c r="P96" s="212" t="s">
        <v>676</v>
      </c>
      <c r="R96" s="212">
        <v>98</v>
      </c>
      <c r="S96" s="479">
        <v>44225</v>
      </c>
      <c r="T96" s="212" t="s">
        <v>2777</v>
      </c>
      <c r="U96" s="475">
        <f>44319000-2014500</f>
        <v>42304500</v>
      </c>
      <c r="V96" s="406">
        <v>2014500</v>
      </c>
      <c r="W96" s="362"/>
      <c r="X96" s="483">
        <v>127</v>
      </c>
      <c r="Y96" s="484">
        <v>44239</v>
      </c>
      <c r="Z96" s="484">
        <v>44239</v>
      </c>
      <c r="AA96" s="484">
        <v>44561</v>
      </c>
      <c r="AB96" s="485" t="s">
        <v>2575</v>
      </c>
      <c r="AC96" s="483">
        <v>74</v>
      </c>
      <c r="AD96" s="485">
        <v>1026282363</v>
      </c>
      <c r="AE96" s="486" t="s">
        <v>2778</v>
      </c>
      <c r="AF96" s="473">
        <v>42304500</v>
      </c>
      <c r="AG96" s="474">
        <f t="shared" si="1"/>
        <v>0</v>
      </c>
      <c r="AJ96" s="475">
        <v>2283100</v>
      </c>
      <c r="AK96" s="475">
        <v>4029000</v>
      </c>
      <c r="AL96" s="475">
        <v>4029000</v>
      </c>
      <c r="AM96" s="306">
        <v>4029000</v>
      </c>
    </row>
    <row r="97" spans="1:39" hidden="1" x14ac:dyDescent="0.25">
      <c r="A97" s="476" t="s">
        <v>2436</v>
      </c>
      <c r="B97" s="477">
        <v>56202000</v>
      </c>
      <c r="C97" s="212" t="s">
        <v>2571</v>
      </c>
      <c r="D97" s="212">
        <v>95</v>
      </c>
      <c r="E97" s="478">
        <v>20212000002303</v>
      </c>
      <c r="F97" s="479">
        <v>44225</v>
      </c>
      <c r="G97" s="478" t="s">
        <v>2565</v>
      </c>
      <c r="H97" s="212" t="s">
        <v>2566</v>
      </c>
      <c r="I97" s="212" t="s">
        <v>391</v>
      </c>
      <c r="J97" s="475">
        <v>34800000</v>
      </c>
      <c r="K97" s="210" t="s">
        <v>2636</v>
      </c>
      <c r="L97" s="212" t="s">
        <v>2637</v>
      </c>
      <c r="M97" s="212" t="s">
        <v>44</v>
      </c>
      <c r="N97" s="212" t="s">
        <v>45</v>
      </c>
      <c r="O97" s="212" t="s">
        <v>63</v>
      </c>
      <c r="P97" s="212" t="s">
        <v>676</v>
      </c>
      <c r="R97" s="212">
        <v>99</v>
      </c>
      <c r="S97" s="479">
        <v>44225</v>
      </c>
      <c r="T97" s="212" t="s">
        <v>2779</v>
      </c>
      <c r="U97" s="475">
        <v>34800000</v>
      </c>
      <c r="V97" s="406"/>
      <c r="W97" s="362"/>
      <c r="X97" s="308">
        <v>104</v>
      </c>
      <c r="Y97" s="484">
        <v>44236</v>
      </c>
      <c r="Z97" s="484">
        <v>44236</v>
      </c>
      <c r="AA97" s="484">
        <v>44417</v>
      </c>
      <c r="AB97" s="485" t="s">
        <v>2575</v>
      </c>
      <c r="AC97" s="211">
        <v>52</v>
      </c>
      <c r="AD97" s="487">
        <v>1014176435</v>
      </c>
      <c r="AE97" s="486" t="s">
        <v>2780</v>
      </c>
      <c r="AF97" s="473">
        <v>34800000</v>
      </c>
      <c r="AG97" s="474">
        <f t="shared" si="1"/>
        <v>0</v>
      </c>
      <c r="AJ97" s="475">
        <v>3866667</v>
      </c>
      <c r="AK97" s="475">
        <v>5800000</v>
      </c>
      <c r="AL97" s="475">
        <v>5800000</v>
      </c>
      <c r="AM97" s="306">
        <v>5800000</v>
      </c>
    </row>
    <row r="98" spans="1:39" hidden="1" x14ac:dyDescent="0.25">
      <c r="A98" s="476" t="s">
        <v>2435</v>
      </c>
      <c r="B98" s="477">
        <v>39395799</v>
      </c>
      <c r="C98" s="212" t="s">
        <v>2571</v>
      </c>
      <c r="D98" s="212">
        <v>96</v>
      </c>
      <c r="E98" s="478">
        <v>20212000002313</v>
      </c>
      <c r="F98" s="479">
        <v>44225</v>
      </c>
      <c r="G98" s="478" t="s">
        <v>2565</v>
      </c>
      <c r="H98" s="212" t="s">
        <v>2566</v>
      </c>
      <c r="I98" s="212" t="s">
        <v>391</v>
      </c>
      <c r="J98" s="475">
        <v>39395796</v>
      </c>
      <c r="K98" s="210" t="s">
        <v>2636</v>
      </c>
      <c r="L98" s="212" t="s">
        <v>2637</v>
      </c>
      <c r="M98" s="212" t="s">
        <v>44</v>
      </c>
      <c r="N98" s="212" t="s">
        <v>45</v>
      </c>
      <c r="O98" s="212" t="s">
        <v>63</v>
      </c>
      <c r="P98" s="212" t="s">
        <v>676</v>
      </c>
      <c r="R98" s="212">
        <v>100</v>
      </c>
      <c r="S98" s="479">
        <v>44225</v>
      </c>
      <c r="T98" s="212" t="s">
        <v>2781</v>
      </c>
      <c r="U98" s="475">
        <f>39395796-3581436</f>
        <v>35814360</v>
      </c>
      <c r="V98" s="411">
        <v>3581436</v>
      </c>
      <c r="W98" s="397"/>
      <c r="X98" s="483">
        <v>173</v>
      </c>
      <c r="Y98" s="484">
        <v>44246</v>
      </c>
      <c r="Z98" s="484">
        <v>44246</v>
      </c>
      <c r="AA98" s="484">
        <v>44549</v>
      </c>
      <c r="AB98" s="485" t="s">
        <v>2575</v>
      </c>
      <c r="AC98" s="483">
        <v>120</v>
      </c>
      <c r="AD98" s="485">
        <v>7176892</v>
      </c>
      <c r="AE98" s="486" t="s">
        <v>2782</v>
      </c>
      <c r="AF98" s="473">
        <v>35814360</v>
      </c>
      <c r="AG98" s="474">
        <f t="shared" si="1"/>
        <v>0</v>
      </c>
      <c r="AK98" s="475">
        <v>4417104</v>
      </c>
      <c r="AL98" s="475">
        <v>3581436</v>
      </c>
      <c r="AM98" s="306">
        <v>3581436</v>
      </c>
    </row>
    <row r="99" spans="1:39" hidden="1" x14ac:dyDescent="0.25">
      <c r="A99" s="476" t="s">
        <v>2437</v>
      </c>
      <c r="B99" s="477">
        <v>48478886</v>
      </c>
      <c r="C99" s="212" t="s">
        <v>2571</v>
      </c>
      <c r="D99" s="212">
        <v>97</v>
      </c>
      <c r="E99" s="478">
        <v>20212000002323</v>
      </c>
      <c r="F99" s="479">
        <v>44225</v>
      </c>
      <c r="G99" s="478" t="s">
        <v>2565</v>
      </c>
      <c r="H99" s="212" t="s">
        <v>2566</v>
      </c>
      <c r="I99" s="212" t="s">
        <v>391</v>
      </c>
      <c r="J99" s="475">
        <v>47613192</v>
      </c>
      <c r="K99" s="210" t="s">
        <v>2636</v>
      </c>
      <c r="L99" s="212" t="s">
        <v>2637</v>
      </c>
      <c r="M99" s="212" t="s">
        <v>44</v>
      </c>
      <c r="N99" s="212" t="s">
        <v>45</v>
      </c>
      <c r="O99" s="212" t="s">
        <v>63</v>
      </c>
      <c r="P99" s="212" t="s">
        <v>676</v>
      </c>
      <c r="R99" s="212">
        <v>101</v>
      </c>
      <c r="S99" s="479">
        <v>44225</v>
      </c>
      <c r="T99" s="212" t="s">
        <v>2783</v>
      </c>
      <c r="U99" s="475">
        <f>47613192-2164236</f>
        <v>45448956</v>
      </c>
      <c r="V99" s="411">
        <v>2164236</v>
      </c>
      <c r="W99" s="397"/>
      <c r="X99" s="483">
        <v>138</v>
      </c>
      <c r="Y99" s="484">
        <v>44243</v>
      </c>
      <c r="Z99" s="484">
        <v>44243</v>
      </c>
      <c r="AA99" s="484">
        <v>44561</v>
      </c>
      <c r="AB99" s="485" t="s">
        <v>2575</v>
      </c>
      <c r="AC99" s="483">
        <v>99</v>
      </c>
      <c r="AD99" s="485">
        <v>79841545</v>
      </c>
      <c r="AE99" s="486" t="s">
        <v>2784</v>
      </c>
      <c r="AF99" s="473">
        <v>45448956</v>
      </c>
      <c r="AG99" s="474">
        <f t="shared" si="1"/>
        <v>0</v>
      </c>
      <c r="AJ99" s="475">
        <v>1731388</v>
      </c>
      <c r="AK99" s="475">
        <v>4328472</v>
      </c>
      <c r="AL99" s="475">
        <v>4328472</v>
      </c>
      <c r="AM99" s="306">
        <v>4328472</v>
      </c>
    </row>
    <row r="100" spans="1:39" hidden="1" x14ac:dyDescent="0.25">
      <c r="A100" s="476" t="s">
        <v>2424</v>
      </c>
      <c r="B100" s="477">
        <v>80896200</v>
      </c>
      <c r="C100" s="212" t="s">
        <v>2571</v>
      </c>
      <c r="D100" s="212">
        <v>98</v>
      </c>
      <c r="E100" s="478">
        <v>20212000002333</v>
      </c>
      <c r="F100" s="479">
        <v>44225</v>
      </c>
      <c r="G100" s="478" t="s">
        <v>2565</v>
      </c>
      <c r="H100" s="212" t="s">
        <v>2566</v>
      </c>
      <c r="I100" s="212" t="s">
        <v>391</v>
      </c>
      <c r="J100" s="475">
        <v>80896200</v>
      </c>
      <c r="K100" s="210" t="s">
        <v>2636</v>
      </c>
      <c r="L100" s="212" t="s">
        <v>2637</v>
      </c>
      <c r="M100" s="212" t="s">
        <v>44</v>
      </c>
      <c r="N100" s="212" t="s">
        <v>45</v>
      </c>
      <c r="O100" s="212" t="s">
        <v>63</v>
      </c>
      <c r="P100" s="212" t="s">
        <v>676</v>
      </c>
      <c r="R100" s="212">
        <v>102</v>
      </c>
      <c r="S100" s="479">
        <v>44225</v>
      </c>
      <c r="T100" s="212" t="s">
        <v>2785</v>
      </c>
      <c r="U100" s="475">
        <f>80896200-3677100</f>
        <v>77219100</v>
      </c>
      <c r="V100" s="411">
        <v>3677100</v>
      </c>
      <c r="W100" s="397"/>
      <c r="X100" s="308">
        <v>111</v>
      </c>
      <c r="Y100" s="484">
        <v>44237</v>
      </c>
      <c r="Z100" s="484">
        <v>44237</v>
      </c>
      <c r="AA100" s="484">
        <v>44561</v>
      </c>
      <c r="AB100" s="485" t="s">
        <v>2575</v>
      </c>
      <c r="AC100" s="211">
        <v>66</v>
      </c>
      <c r="AD100" s="487">
        <v>7184760</v>
      </c>
      <c r="AE100" s="486" t="s">
        <v>2786</v>
      </c>
      <c r="AF100" s="473">
        <v>77219100</v>
      </c>
      <c r="AG100" s="474">
        <f t="shared" si="1"/>
        <v>0</v>
      </c>
      <c r="AJ100" s="475">
        <v>4657660</v>
      </c>
      <c r="AK100" s="475">
        <v>7354200</v>
      </c>
      <c r="AL100" s="475">
        <v>7354200</v>
      </c>
      <c r="AM100" s="306">
        <v>7354200</v>
      </c>
    </row>
    <row r="101" spans="1:39" hidden="1" x14ac:dyDescent="0.25">
      <c r="A101" s="476" t="s">
        <v>2426</v>
      </c>
      <c r="B101" s="477">
        <v>127689924</v>
      </c>
      <c r="C101" s="212" t="s">
        <v>2571</v>
      </c>
      <c r="D101" s="212">
        <v>99</v>
      </c>
      <c r="E101" s="478">
        <v>20212000002343</v>
      </c>
      <c r="F101" s="479">
        <v>44225</v>
      </c>
      <c r="G101" s="478" t="s">
        <v>2565</v>
      </c>
      <c r="H101" s="212" t="s">
        <v>2566</v>
      </c>
      <c r="I101" s="212" t="s">
        <v>391</v>
      </c>
      <c r="J101" s="475">
        <v>119032980</v>
      </c>
      <c r="K101" s="210" t="s">
        <v>2636</v>
      </c>
      <c r="L101" s="212" t="s">
        <v>2637</v>
      </c>
      <c r="M101" s="212" t="s">
        <v>44</v>
      </c>
      <c r="N101" s="212" t="s">
        <v>45</v>
      </c>
      <c r="O101" s="212" t="s">
        <v>63</v>
      </c>
      <c r="P101" s="212" t="s">
        <v>676</v>
      </c>
      <c r="R101" s="212">
        <v>103</v>
      </c>
      <c r="S101" s="479">
        <v>44225</v>
      </c>
      <c r="T101" s="212" t="s">
        <v>2787</v>
      </c>
      <c r="U101" s="475">
        <f>119032980-5410590</f>
        <v>113622390</v>
      </c>
      <c r="V101" s="411">
        <v>5410590</v>
      </c>
      <c r="W101" s="397"/>
      <c r="X101" s="308">
        <v>112</v>
      </c>
      <c r="Y101" s="484">
        <v>44237</v>
      </c>
      <c r="Z101" s="484">
        <v>44237</v>
      </c>
      <c r="AA101" s="484">
        <v>44561</v>
      </c>
      <c r="AB101" s="485" t="s">
        <v>2575</v>
      </c>
      <c r="AC101" s="211">
        <v>67</v>
      </c>
      <c r="AD101" s="487">
        <v>24337567</v>
      </c>
      <c r="AE101" s="486" t="s">
        <v>2788</v>
      </c>
      <c r="AF101" s="473">
        <v>113622390</v>
      </c>
      <c r="AG101" s="474">
        <f t="shared" si="1"/>
        <v>0</v>
      </c>
      <c r="AK101" s="475">
        <v>6853414</v>
      </c>
      <c r="AL101" s="475">
        <v>10821180</v>
      </c>
      <c r="AM101" s="306">
        <f>10821180+10821180</f>
        <v>21642360</v>
      </c>
    </row>
    <row r="102" spans="1:39" s="312" customFormat="1" hidden="1" x14ac:dyDescent="0.25">
      <c r="A102" s="361" t="s">
        <v>2177</v>
      </c>
      <c r="B102" s="417">
        <v>59054190</v>
      </c>
      <c r="C102" s="312" t="s">
        <v>2571</v>
      </c>
      <c r="D102" s="312">
        <v>100</v>
      </c>
      <c r="E102" s="325">
        <v>20217000003363</v>
      </c>
      <c r="F102" s="315">
        <v>44225</v>
      </c>
      <c r="G102" s="325" t="s">
        <v>2572</v>
      </c>
      <c r="H102" s="312" t="s">
        <v>2573</v>
      </c>
      <c r="I102" s="312" t="s">
        <v>164</v>
      </c>
      <c r="J102" s="405">
        <v>59054190</v>
      </c>
      <c r="K102" s="312" t="s">
        <v>138</v>
      </c>
      <c r="L102" s="312" t="s">
        <v>139</v>
      </c>
      <c r="M102" s="312" t="s">
        <v>44</v>
      </c>
      <c r="N102" s="312" t="s">
        <v>45</v>
      </c>
      <c r="O102" s="312" t="s">
        <v>142</v>
      </c>
      <c r="P102" s="312" t="s">
        <v>43</v>
      </c>
      <c r="R102" s="312">
        <v>105</v>
      </c>
      <c r="S102" s="315">
        <v>44225</v>
      </c>
      <c r="T102" s="312" t="s">
        <v>2653</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x14ac:dyDescent="0.25">
      <c r="A103" s="476" t="s">
        <v>2318</v>
      </c>
      <c r="B103" s="477">
        <v>58145664</v>
      </c>
      <c r="C103" s="212" t="s">
        <v>2571</v>
      </c>
      <c r="D103" s="212">
        <v>101</v>
      </c>
      <c r="E103" s="478">
        <v>20217000000713</v>
      </c>
      <c r="F103" s="479">
        <v>44225</v>
      </c>
      <c r="G103" s="478" t="s">
        <v>2572</v>
      </c>
      <c r="H103" s="212" t="s">
        <v>2573</v>
      </c>
      <c r="I103" s="212" t="s">
        <v>164</v>
      </c>
      <c r="J103" s="475">
        <v>58145664</v>
      </c>
      <c r="K103" s="212" t="s">
        <v>138</v>
      </c>
      <c r="L103" s="212" t="s">
        <v>139</v>
      </c>
      <c r="M103" s="212" t="s">
        <v>44</v>
      </c>
      <c r="N103" s="212" t="s">
        <v>45</v>
      </c>
      <c r="O103" s="212" t="s">
        <v>142</v>
      </c>
      <c r="P103" s="212" t="s">
        <v>43</v>
      </c>
      <c r="R103" s="212">
        <v>93</v>
      </c>
      <c r="S103" s="479">
        <v>44225</v>
      </c>
      <c r="T103" s="212" t="s">
        <v>2789</v>
      </c>
      <c r="U103" s="475">
        <v>58145664</v>
      </c>
      <c r="V103" s="406"/>
      <c r="W103" s="362"/>
      <c r="X103" s="308">
        <v>67</v>
      </c>
      <c r="Y103" s="484">
        <v>44230</v>
      </c>
      <c r="Z103" s="472">
        <v>44230</v>
      </c>
      <c r="AA103" s="472">
        <v>44472</v>
      </c>
      <c r="AB103" s="2" t="s">
        <v>2575</v>
      </c>
      <c r="AC103" s="211">
        <v>31</v>
      </c>
      <c r="AD103" s="2">
        <v>51782375</v>
      </c>
      <c r="AE103" s="212" t="s">
        <v>2790</v>
      </c>
      <c r="AF103" s="473">
        <v>58145664</v>
      </c>
      <c r="AG103" s="474">
        <f t="shared" si="1"/>
        <v>0</v>
      </c>
      <c r="AJ103" s="475">
        <v>6299114</v>
      </c>
      <c r="AK103" s="475">
        <v>7268208</v>
      </c>
      <c r="AL103" s="475">
        <v>7268208</v>
      </c>
      <c r="AM103" s="306">
        <v>7268208</v>
      </c>
    </row>
    <row r="104" spans="1:39" hidden="1" x14ac:dyDescent="0.25">
      <c r="A104" s="476" t="s">
        <v>2178</v>
      </c>
      <c r="B104" s="477">
        <v>32979493</v>
      </c>
      <c r="C104" s="212" t="s">
        <v>2571</v>
      </c>
      <c r="D104" s="212">
        <v>102</v>
      </c>
      <c r="E104" s="478">
        <v>20217000003313</v>
      </c>
      <c r="F104" s="479">
        <v>44225</v>
      </c>
      <c r="G104" s="478" t="s">
        <v>2572</v>
      </c>
      <c r="H104" s="212" t="s">
        <v>2573</v>
      </c>
      <c r="I104" s="212" t="s">
        <v>164</v>
      </c>
      <c r="J104" s="475">
        <v>19079046</v>
      </c>
      <c r="K104" s="212" t="s">
        <v>138</v>
      </c>
      <c r="L104" s="212" t="s">
        <v>139</v>
      </c>
      <c r="M104" s="212" t="s">
        <v>44</v>
      </c>
      <c r="N104" s="212" t="s">
        <v>45</v>
      </c>
      <c r="O104" s="212" t="s">
        <v>142</v>
      </c>
      <c r="P104" s="212" t="s">
        <v>43</v>
      </c>
      <c r="R104" s="212">
        <v>104</v>
      </c>
      <c r="S104" s="479">
        <v>44225</v>
      </c>
      <c r="T104" s="212" t="s">
        <v>2791</v>
      </c>
      <c r="U104" s="475">
        <v>19079046</v>
      </c>
      <c r="V104" s="406"/>
      <c r="W104" s="362"/>
      <c r="X104" s="308">
        <v>59</v>
      </c>
      <c r="Y104" s="484">
        <v>44229</v>
      </c>
      <c r="Z104" s="472">
        <v>44229</v>
      </c>
      <c r="AA104" s="472">
        <v>44410</v>
      </c>
      <c r="AB104" s="2" t="s">
        <v>2575</v>
      </c>
      <c r="AC104" s="211">
        <v>23</v>
      </c>
      <c r="AD104" s="2">
        <v>79987799</v>
      </c>
      <c r="AE104" s="212" t="s">
        <v>2792</v>
      </c>
      <c r="AF104" s="473">
        <v>19079046</v>
      </c>
      <c r="AG104" s="474">
        <f t="shared" si="1"/>
        <v>0</v>
      </c>
      <c r="AJ104" s="475">
        <v>2861857</v>
      </c>
      <c r="AK104" s="475">
        <v>3179841</v>
      </c>
      <c r="AL104" s="475">
        <v>3179841</v>
      </c>
      <c r="AM104" s="306">
        <v>3179841</v>
      </c>
    </row>
    <row r="105" spans="1:39" hidden="1" x14ac:dyDescent="0.25">
      <c r="A105" s="476" t="s">
        <v>2181</v>
      </c>
      <c r="B105" s="477">
        <v>29972448</v>
      </c>
      <c r="C105" s="212" t="s">
        <v>2571</v>
      </c>
      <c r="D105" s="212">
        <v>103</v>
      </c>
      <c r="E105" s="478">
        <v>20217000003793</v>
      </c>
      <c r="F105" s="479">
        <v>44225</v>
      </c>
      <c r="G105" s="478" t="s">
        <v>2572</v>
      </c>
      <c r="H105" s="212" t="s">
        <v>2573</v>
      </c>
      <c r="I105" s="212" t="s">
        <v>164</v>
      </c>
      <c r="J105" s="475">
        <v>16400000</v>
      </c>
      <c r="K105" s="212" t="s">
        <v>138</v>
      </c>
      <c r="L105" s="212" t="s">
        <v>139</v>
      </c>
      <c r="M105" s="212" t="s">
        <v>44</v>
      </c>
      <c r="N105" s="212" t="s">
        <v>45</v>
      </c>
      <c r="O105" s="212" t="s">
        <v>142</v>
      </c>
      <c r="P105" s="212" t="s">
        <v>43</v>
      </c>
      <c r="R105" s="212">
        <v>106</v>
      </c>
      <c r="S105" s="479">
        <v>44225</v>
      </c>
      <c r="T105" s="212" t="s">
        <v>2793</v>
      </c>
      <c r="U105" s="475">
        <v>16400000</v>
      </c>
      <c r="V105" s="406"/>
      <c r="W105" s="362"/>
      <c r="X105" s="308">
        <v>90</v>
      </c>
      <c r="Y105" s="484">
        <v>44235</v>
      </c>
      <c r="Z105" s="484">
        <v>44235</v>
      </c>
      <c r="AA105" s="484">
        <v>44416</v>
      </c>
      <c r="AB105" s="485" t="s">
        <v>2575</v>
      </c>
      <c r="AC105" s="211">
        <v>44</v>
      </c>
      <c r="AD105" s="487">
        <v>17638268</v>
      </c>
      <c r="AE105" s="486" t="s">
        <v>2794</v>
      </c>
      <c r="AF105" s="473">
        <v>16348608</v>
      </c>
      <c r="AG105" s="474">
        <f t="shared" si="1"/>
        <v>51392</v>
      </c>
      <c r="AJ105" s="475">
        <v>1907338</v>
      </c>
      <c r="AK105" s="475">
        <v>2724768</v>
      </c>
      <c r="AL105" s="475">
        <v>2724768</v>
      </c>
      <c r="AM105" s="306">
        <v>2724768</v>
      </c>
    </row>
    <row r="106" spans="1:39" hidden="1" x14ac:dyDescent="0.25">
      <c r="A106" s="476" t="s">
        <v>2795</v>
      </c>
      <c r="B106" s="477">
        <v>33900000</v>
      </c>
      <c r="C106" s="212" t="s">
        <v>2571</v>
      </c>
      <c r="D106" s="212">
        <v>104</v>
      </c>
      <c r="E106" s="478">
        <v>20214000002353</v>
      </c>
      <c r="F106" s="479">
        <v>44225</v>
      </c>
      <c r="G106" s="478" t="s">
        <v>2605</v>
      </c>
      <c r="H106" s="212" t="s">
        <v>2606</v>
      </c>
      <c r="I106" s="212" t="s">
        <v>47</v>
      </c>
      <c r="J106" s="475">
        <v>27000000</v>
      </c>
      <c r="K106" s="212" t="s">
        <v>37</v>
      </c>
      <c r="L106" s="212" t="s">
        <v>2607</v>
      </c>
      <c r="M106" s="212" t="s">
        <v>44</v>
      </c>
      <c r="N106" s="212" t="s">
        <v>45</v>
      </c>
      <c r="O106" s="212" t="s">
        <v>310</v>
      </c>
      <c r="P106" s="212" t="s">
        <v>43</v>
      </c>
      <c r="R106" s="212">
        <v>107</v>
      </c>
      <c r="S106" s="479">
        <v>44225</v>
      </c>
      <c r="T106" s="212" t="s">
        <v>2796</v>
      </c>
      <c r="U106" s="475">
        <v>27000000</v>
      </c>
      <c r="V106" s="406"/>
      <c r="W106" s="362"/>
      <c r="X106" s="308">
        <v>58</v>
      </c>
      <c r="Y106" s="484">
        <v>44229</v>
      </c>
      <c r="Z106" s="472">
        <v>44229</v>
      </c>
      <c r="AA106" s="472">
        <v>44502</v>
      </c>
      <c r="AB106" s="2" t="s">
        <v>2575</v>
      </c>
      <c r="AC106" s="211">
        <v>26</v>
      </c>
      <c r="AD106" s="2">
        <v>1000855091</v>
      </c>
      <c r="AE106" s="212" t="s">
        <v>2797</v>
      </c>
      <c r="AF106" s="473">
        <v>27000000</v>
      </c>
      <c r="AG106" s="474">
        <f t="shared" si="1"/>
        <v>0</v>
      </c>
      <c r="AJ106" s="475">
        <v>2600000</v>
      </c>
      <c r="AK106" s="475">
        <v>3000000</v>
      </c>
      <c r="AL106" s="475">
        <v>3000000</v>
      </c>
      <c r="AM106" s="306">
        <v>3000000</v>
      </c>
    </row>
    <row r="107" spans="1:39" hidden="1" x14ac:dyDescent="0.25">
      <c r="A107" s="476" t="s">
        <v>2411</v>
      </c>
      <c r="B107" s="477">
        <v>12000000</v>
      </c>
      <c r="C107" s="212" t="s">
        <v>2571</v>
      </c>
      <c r="D107" s="212">
        <v>105</v>
      </c>
      <c r="E107" s="478">
        <v>20214000003753</v>
      </c>
      <c r="F107" s="479">
        <v>44225</v>
      </c>
      <c r="G107" s="478" t="s">
        <v>2605</v>
      </c>
      <c r="H107" s="212" t="s">
        <v>2606</v>
      </c>
      <c r="I107" s="212" t="s">
        <v>47</v>
      </c>
      <c r="J107" s="475">
        <v>12000000</v>
      </c>
      <c r="K107" s="212" t="s">
        <v>37</v>
      </c>
      <c r="L107" s="212" t="s">
        <v>2607</v>
      </c>
      <c r="M107" s="212" t="s">
        <v>44</v>
      </c>
      <c r="N107" s="212" t="s">
        <v>45</v>
      </c>
      <c r="O107" s="212" t="s">
        <v>310</v>
      </c>
      <c r="P107" s="212" t="s">
        <v>43</v>
      </c>
      <c r="R107" s="212">
        <v>108</v>
      </c>
      <c r="S107" s="479">
        <v>44225</v>
      </c>
      <c r="T107" s="212" t="s">
        <v>2798</v>
      </c>
      <c r="U107" s="475">
        <v>12000000</v>
      </c>
      <c r="V107" s="406"/>
      <c r="W107" s="362"/>
      <c r="X107" s="483">
        <v>158</v>
      </c>
      <c r="Y107" s="484">
        <v>44245</v>
      </c>
      <c r="Z107" s="484">
        <v>44245</v>
      </c>
      <c r="AA107" s="484">
        <v>44365</v>
      </c>
      <c r="AB107" s="485" t="s">
        <v>2575</v>
      </c>
      <c r="AC107" s="483">
        <v>106</v>
      </c>
      <c r="AD107" s="485">
        <v>4165926</v>
      </c>
      <c r="AE107" s="486" t="s">
        <v>2799</v>
      </c>
      <c r="AF107" s="473">
        <v>12000000</v>
      </c>
      <c r="AG107" s="474">
        <f t="shared" si="1"/>
        <v>0</v>
      </c>
      <c r="AJ107" s="475">
        <v>1100000</v>
      </c>
      <c r="AM107" s="212"/>
    </row>
    <row r="108" spans="1:39" hidden="1" x14ac:dyDescent="0.25">
      <c r="A108" s="476" t="s">
        <v>2315</v>
      </c>
      <c r="B108" s="477">
        <v>56000000</v>
      </c>
      <c r="C108" s="212" t="s">
        <v>2571</v>
      </c>
      <c r="D108" s="212">
        <v>106</v>
      </c>
      <c r="E108" s="478">
        <v>20213000003803</v>
      </c>
      <c r="F108" s="479">
        <v>44225</v>
      </c>
      <c r="G108" s="478" t="s">
        <v>2565</v>
      </c>
      <c r="H108" s="212" t="s">
        <v>2566</v>
      </c>
      <c r="I108" s="212" t="s">
        <v>432</v>
      </c>
      <c r="J108" s="475">
        <v>56000000</v>
      </c>
      <c r="K108" s="212" t="s">
        <v>358</v>
      </c>
      <c r="L108" s="212" t="s">
        <v>2716</v>
      </c>
      <c r="M108" s="212" t="s">
        <v>44</v>
      </c>
      <c r="N108" s="212" t="s">
        <v>45</v>
      </c>
      <c r="O108" s="212" t="s">
        <v>63</v>
      </c>
      <c r="P108" s="212" t="s">
        <v>676</v>
      </c>
      <c r="R108" s="212">
        <v>109</v>
      </c>
      <c r="S108" s="479">
        <v>44225</v>
      </c>
      <c r="T108" s="212" t="s">
        <v>2800</v>
      </c>
      <c r="U108" s="475">
        <v>56000000</v>
      </c>
      <c r="V108" s="406"/>
      <c r="W108" s="362"/>
      <c r="X108" s="483">
        <v>143</v>
      </c>
      <c r="Y108" s="484">
        <v>44243</v>
      </c>
      <c r="Z108" s="484">
        <v>44243</v>
      </c>
      <c r="AA108" s="484">
        <v>44485</v>
      </c>
      <c r="AB108" s="485" t="s">
        <v>2575</v>
      </c>
      <c r="AC108" s="483">
        <v>88</v>
      </c>
      <c r="AD108" s="485">
        <v>1118534346</v>
      </c>
      <c r="AE108" s="486" t="s">
        <v>2801</v>
      </c>
      <c r="AF108" s="473">
        <v>56000000</v>
      </c>
      <c r="AG108" s="474">
        <f t="shared" si="1"/>
        <v>0</v>
      </c>
      <c r="AK108" s="475">
        <v>9800000</v>
      </c>
      <c r="AL108" s="475">
        <v>7000000</v>
      </c>
      <c r="AM108" s="306">
        <v>7000000</v>
      </c>
    </row>
    <row r="109" spans="1:39" hidden="1" x14ac:dyDescent="0.25">
      <c r="A109" s="476" t="s">
        <v>2034</v>
      </c>
      <c r="B109" s="477">
        <v>18568000</v>
      </c>
      <c r="C109" s="212" t="s">
        <v>2571</v>
      </c>
      <c r="D109" s="212">
        <v>107</v>
      </c>
      <c r="E109" s="478">
        <v>20213000003823</v>
      </c>
      <c r="F109" s="479">
        <v>44225</v>
      </c>
      <c r="G109" s="478" t="s">
        <v>2565</v>
      </c>
      <c r="H109" s="212" t="s">
        <v>2566</v>
      </c>
      <c r="I109" s="212" t="s">
        <v>432</v>
      </c>
      <c r="J109" s="475">
        <v>18170520</v>
      </c>
      <c r="K109" s="212" t="s">
        <v>358</v>
      </c>
      <c r="L109" s="212" t="s">
        <v>2716</v>
      </c>
      <c r="M109" s="212" t="s">
        <v>44</v>
      </c>
      <c r="N109" s="212" t="s">
        <v>45</v>
      </c>
      <c r="O109" s="212" t="s">
        <v>63</v>
      </c>
      <c r="P109" s="212" t="s">
        <v>676</v>
      </c>
      <c r="R109" s="212">
        <v>110</v>
      </c>
      <c r="S109" s="479">
        <v>44225</v>
      </c>
      <c r="T109" s="212" t="s">
        <v>2802</v>
      </c>
      <c r="U109" s="475">
        <v>18170520</v>
      </c>
      <c r="V109" s="406"/>
      <c r="W109" s="362"/>
      <c r="X109" s="308">
        <v>110</v>
      </c>
      <c r="Y109" s="484">
        <v>44237</v>
      </c>
      <c r="Z109" s="484">
        <v>44237</v>
      </c>
      <c r="AA109" s="484">
        <v>44479</v>
      </c>
      <c r="AB109" s="485" t="s">
        <v>2575</v>
      </c>
      <c r="AC109" s="211">
        <v>68</v>
      </c>
      <c r="AD109" s="487">
        <v>1024490172</v>
      </c>
      <c r="AE109" s="486" t="s">
        <v>2803</v>
      </c>
      <c r="AF109" s="473">
        <v>18170520</v>
      </c>
      <c r="AG109" s="474">
        <f t="shared" si="1"/>
        <v>0</v>
      </c>
      <c r="AJ109" s="475">
        <v>1362789</v>
      </c>
      <c r="AK109" s="475">
        <v>2271315</v>
      </c>
      <c r="AL109" s="475">
        <v>2271315</v>
      </c>
      <c r="AM109" s="306">
        <v>2271315</v>
      </c>
    </row>
    <row r="110" spans="1:39" hidden="1" x14ac:dyDescent="0.25">
      <c r="A110" s="476" t="s">
        <v>2075</v>
      </c>
      <c r="B110" s="477">
        <v>46400000</v>
      </c>
      <c r="C110" s="212" t="s">
        <v>2571</v>
      </c>
      <c r="D110" s="212">
        <v>108</v>
      </c>
      <c r="E110" s="478">
        <v>20213000003843</v>
      </c>
      <c r="F110" s="479">
        <v>44225</v>
      </c>
      <c r="G110" s="478" t="s">
        <v>2565</v>
      </c>
      <c r="H110" s="212" t="s">
        <v>2566</v>
      </c>
      <c r="I110" s="212" t="s">
        <v>432</v>
      </c>
      <c r="J110" s="475">
        <v>46400000</v>
      </c>
      <c r="K110" s="212" t="s">
        <v>358</v>
      </c>
      <c r="L110" s="212" t="s">
        <v>2716</v>
      </c>
      <c r="M110" s="212" t="s">
        <v>44</v>
      </c>
      <c r="N110" s="212" t="s">
        <v>45</v>
      </c>
      <c r="O110" s="212" t="s">
        <v>63</v>
      </c>
      <c r="P110" s="212" t="s">
        <v>676</v>
      </c>
      <c r="R110" s="212">
        <v>111</v>
      </c>
      <c r="S110" s="479">
        <v>44225</v>
      </c>
      <c r="T110" s="212" t="s">
        <v>2804</v>
      </c>
      <c r="U110" s="475">
        <v>46400000</v>
      </c>
      <c r="V110" s="406"/>
      <c r="W110" s="362"/>
      <c r="X110" s="308">
        <v>80</v>
      </c>
      <c r="Y110" s="484">
        <v>44232</v>
      </c>
      <c r="Z110" s="484">
        <v>44232</v>
      </c>
      <c r="AA110" s="484">
        <v>44474</v>
      </c>
      <c r="AB110" s="485" t="s">
        <v>2575</v>
      </c>
      <c r="AC110" s="211">
        <v>38</v>
      </c>
      <c r="AD110" s="487">
        <v>52235999</v>
      </c>
      <c r="AE110" s="486" t="s">
        <v>2805</v>
      </c>
      <c r="AF110" s="473">
        <v>46400000</v>
      </c>
      <c r="AG110" s="474">
        <f t="shared" si="1"/>
        <v>0</v>
      </c>
      <c r="AJ110" s="475">
        <v>3866667</v>
      </c>
      <c r="AK110" s="475">
        <v>5800000</v>
      </c>
      <c r="AL110" s="475">
        <v>5800000</v>
      </c>
      <c r="AM110" s="306">
        <v>5800000</v>
      </c>
    </row>
    <row r="111" spans="1:39" hidden="1" x14ac:dyDescent="0.25">
      <c r="A111" s="476" t="s">
        <v>2033</v>
      </c>
      <c r="B111" s="477">
        <v>68000000</v>
      </c>
      <c r="C111" s="212" t="s">
        <v>2571</v>
      </c>
      <c r="D111" s="212">
        <v>109</v>
      </c>
      <c r="E111" s="478">
        <v>20213000003863</v>
      </c>
      <c r="F111" s="479">
        <v>44225</v>
      </c>
      <c r="G111" s="478" t="s">
        <v>2565</v>
      </c>
      <c r="H111" s="212" t="s">
        <v>2566</v>
      </c>
      <c r="I111" s="212" t="s">
        <v>432</v>
      </c>
      <c r="J111" s="475">
        <v>68000000</v>
      </c>
      <c r="K111" s="212" t="s">
        <v>358</v>
      </c>
      <c r="L111" s="212" t="s">
        <v>2716</v>
      </c>
      <c r="M111" s="212" t="s">
        <v>44</v>
      </c>
      <c r="N111" s="212" t="s">
        <v>45</v>
      </c>
      <c r="O111" s="212" t="s">
        <v>63</v>
      </c>
      <c r="P111" s="212" t="s">
        <v>676</v>
      </c>
      <c r="R111" s="212">
        <v>112</v>
      </c>
      <c r="S111" s="479">
        <v>44225</v>
      </c>
      <c r="T111" s="212" t="s">
        <v>2806</v>
      </c>
      <c r="U111" s="475">
        <v>68000000</v>
      </c>
      <c r="V111" s="406"/>
      <c r="W111" s="362"/>
      <c r="X111" s="308">
        <v>70</v>
      </c>
      <c r="Y111" s="472">
        <v>44230</v>
      </c>
      <c r="Z111" s="472">
        <v>44230</v>
      </c>
      <c r="AA111" s="472">
        <v>44472</v>
      </c>
      <c r="AB111" s="2" t="s">
        <v>2575</v>
      </c>
      <c r="AC111" s="211">
        <v>33</v>
      </c>
      <c r="AD111" s="2">
        <v>51938975</v>
      </c>
      <c r="AE111" s="212" t="s">
        <v>2807</v>
      </c>
      <c r="AF111" s="473">
        <v>68000000</v>
      </c>
      <c r="AG111" s="474">
        <f t="shared" si="1"/>
        <v>0</v>
      </c>
      <c r="AJ111" s="475">
        <v>7366667</v>
      </c>
      <c r="AK111" s="475">
        <v>8500000</v>
      </c>
      <c r="AL111" s="475">
        <v>8500000</v>
      </c>
      <c r="AM111" s="306">
        <v>8500000</v>
      </c>
    </row>
    <row r="112" spans="1:39" hidden="1" x14ac:dyDescent="0.25">
      <c r="A112" s="476" t="s">
        <v>2808</v>
      </c>
      <c r="B112" s="477">
        <v>64000000</v>
      </c>
      <c r="C112" s="212" t="s">
        <v>2571</v>
      </c>
      <c r="D112" s="212">
        <v>110</v>
      </c>
      <c r="E112" s="478">
        <v>20213000003873</v>
      </c>
      <c r="F112" s="479">
        <v>44225</v>
      </c>
      <c r="G112" s="478" t="s">
        <v>2565</v>
      </c>
      <c r="H112" s="212" t="s">
        <v>2566</v>
      </c>
      <c r="I112" s="212" t="s">
        <v>432</v>
      </c>
      <c r="J112" s="475">
        <v>64000000</v>
      </c>
      <c r="K112" s="212" t="s">
        <v>358</v>
      </c>
      <c r="L112" s="212" t="s">
        <v>2716</v>
      </c>
      <c r="M112" s="212" t="s">
        <v>44</v>
      </c>
      <c r="N112" s="212" t="s">
        <v>45</v>
      </c>
      <c r="O112" s="212" t="s">
        <v>63</v>
      </c>
      <c r="P112" s="212" t="s">
        <v>676</v>
      </c>
      <c r="R112" s="212">
        <v>113</v>
      </c>
      <c r="S112" s="479">
        <v>44225</v>
      </c>
      <c r="T112" s="212" t="s">
        <v>2809</v>
      </c>
      <c r="U112" s="475">
        <v>64000000</v>
      </c>
      <c r="V112" s="406"/>
      <c r="W112" s="362"/>
      <c r="X112" s="308">
        <v>105</v>
      </c>
      <c r="Y112" s="484">
        <v>44236</v>
      </c>
      <c r="Z112" s="484">
        <v>44236</v>
      </c>
      <c r="AA112" s="484">
        <v>44478</v>
      </c>
      <c r="AB112" s="485" t="s">
        <v>2575</v>
      </c>
      <c r="AC112" s="211">
        <v>58</v>
      </c>
      <c r="AD112" s="487">
        <v>14396115</v>
      </c>
      <c r="AE112" s="486" t="s">
        <v>2810</v>
      </c>
      <c r="AF112" s="473">
        <v>64000000</v>
      </c>
      <c r="AG112" s="474">
        <f t="shared" si="1"/>
        <v>0</v>
      </c>
      <c r="AJ112" s="475">
        <v>5066667</v>
      </c>
      <c r="AK112" s="475">
        <v>8000000</v>
      </c>
      <c r="AL112" s="475">
        <v>8000000</v>
      </c>
      <c r="AM112" s="306">
        <v>8000000</v>
      </c>
    </row>
    <row r="113" spans="1:39" ht="15" hidden="1" customHeight="1" x14ac:dyDescent="0.25">
      <c r="A113" s="476" t="s">
        <v>2073</v>
      </c>
      <c r="B113" s="477">
        <v>84000000</v>
      </c>
      <c r="C113" s="212" t="s">
        <v>2571</v>
      </c>
      <c r="D113" s="212">
        <v>111</v>
      </c>
      <c r="E113" s="478">
        <v>20213000003893</v>
      </c>
      <c r="F113" s="479">
        <v>44225</v>
      </c>
      <c r="G113" s="478" t="s">
        <v>2565</v>
      </c>
      <c r="H113" s="212" t="s">
        <v>2566</v>
      </c>
      <c r="I113" s="212" t="s">
        <v>432</v>
      </c>
      <c r="J113" s="475">
        <v>84000000</v>
      </c>
      <c r="K113" s="212" t="s">
        <v>358</v>
      </c>
      <c r="L113" s="212" t="s">
        <v>2716</v>
      </c>
      <c r="M113" s="212" t="s">
        <v>44</v>
      </c>
      <c r="N113" s="212" t="s">
        <v>45</v>
      </c>
      <c r="O113" s="212" t="s">
        <v>63</v>
      </c>
      <c r="P113" s="212" t="s">
        <v>676</v>
      </c>
      <c r="R113" s="212">
        <v>114</v>
      </c>
      <c r="S113" s="479">
        <v>44225</v>
      </c>
      <c r="T113" s="212" t="s">
        <v>2811</v>
      </c>
      <c r="U113" s="475">
        <v>84000000</v>
      </c>
      <c r="V113" s="406"/>
      <c r="W113" s="362"/>
      <c r="X113" s="483">
        <v>137</v>
      </c>
      <c r="Y113" s="484">
        <v>44243</v>
      </c>
      <c r="Z113" s="484">
        <v>44243</v>
      </c>
      <c r="AA113" s="484">
        <v>44485</v>
      </c>
      <c r="AB113" s="485" t="s">
        <v>2575</v>
      </c>
      <c r="AC113" s="483">
        <v>93</v>
      </c>
      <c r="AD113" s="485">
        <v>79353181</v>
      </c>
      <c r="AE113" s="486" t="s">
        <v>2812</v>
      </c>
      <c r="AF113" s="473">
        <v>84000000</v>
      </c>
      <c r="AG113" s="474">
        <f t="shared" si="1"/>
        <v>0</v>
      </c>
      <c r="AM113" s="212"/>
    </row>
    <row r="114" spans="1:39" ht="15" hidden="1" customHeight="1" x14ac:dyDescent="0.25">
      <c r="A114" s="476" t="s">
        <v>2317</v>
      </c>
      <c r="B114" s="477">
        <v>42000000</v>
      </c>
      <c r="C114" s="212" t="s">
        <v>2571</v>
      </c>
      <c r="D114" s="212">
        <v>112</v>
      </c>
      <c r="E114" s="478">
        <v>20213000003913</v>
      </c>
      <c r="F114" s="479">
        <v>44225</v>
      </c>
      <c r="G114" s="478" t="s">
        <v>2565</v>
      </c>
      <c r="H114" s="212" t="s">
        <v>2566</v>
      </c>
      <c r="I114" s="212" t="s">
        <v>432</v>
      </c>
      <c r="J114" s="475">
        <v>42000000</v>
      </c>
      <c r="K114" s="212" t="s">
        <v>358</v>
      </c>
      <c r="L114" s="212" t="s">
        <v>2716</v>
      </c>
      <c r="M114" s="212" t="s">
        <v>44</v>
      </c>
      <c r="N114" s="212" t="s">
        <v>45</v>
      </c>
      <c r="O114" s="212" t="s">
        <v>63</v>
      </c>
      <c r="P114" s="212" t="s">
        <v>676</v>
      </c>
      <c r="R114" s="212">
        <v>115</v>
      </c>
      <c r="S114" s="479">
        <v>44225</v>
      </c>
      <c r="T114" s="212" t="s">
        <v>2813</v>
      </c>
      <c r="U114" s="475">
        <v>42000000</v>
      </c>
      <c r="V114" s="406"/>
      <c r="W114" s="362"/>
      <c r="X114" s="483">
        <v>163</v>
      </c>
      <c r="Y114" s="484">
        <v>44246</v>
      </c>
      <c r="Z114" s="484">
        <v>44246</v>
      </c>
      <c r="AA114" s="484">
        <v>44427</v>
      </c>
      <c r="AB114" s="485" t="s">
        <v>2575</v>
      </c>
      <c r="AC114" s="483">
        <v>103</v>
      </c>
      <c r="AD114" s="485">
        <v>20880710</v>
      </c>
      <c r="AE114" s="486" t="s">
        <v>2814</v>
      </c>
      <c r="AF114" s="473">
        <v>42000000</v>
      </c>
      <c r="AG114" s="474">
        <f t="shared" si="1"/>
        <v>0</v>
      </c>
      <c r="AJ114" s="475">
        <v>2333333</v>
      </c>
      <c r="AK114" s="475">
        <v>7000000</v>
      </c>
      <c r="AL114" s="475">
        <v>7000000</v>
      </c>
      <c r="AM114" s="306">
        <v>7000000</v>
      </c>
    </row>
    <row r="115" spans="1:39" ht="15" hidden="1" customHeight="1" x14ac:dyDescent="0.25">
      <c r="A115" s="476" t="s">
        <v>2384</v>
      </c>
      <c r="B115" s="477">
        <v>13926000</v>
      </c>
      <c r="C115" s="212" t="s">
        <v>2571</v>
      </c>
      <c r="D115" s="212">
        <v>113</v>
      </c>
      <c r="E115" s="478">
        <v>20213000003923</v>
      </c>
      <c r="F115" s="479">
        <v>44225</v>
      </c>
      <c r="G115" s="478" t="s">
        <v>2565</v>
      </c>
      <c r="H115" s="212" t="s">
        <v>2566</v>
      </c>
      <c r="I115" s="212" t="s">
        <v>432</v>
      </c>
      <c r="J115" s="475">
        <v>13926000</v>
      </c>
      <c r="K115" s="212" t="s">
        <v>358</v>
      </c>
      <c r="L115" s="212" t="s">
        <v>2716</v>
      </c>
      <c r="M115" s="212" t="s">
        <v>44</v>
      </c>
      <c r="N115" s="212" t="s">
        <v>45</v>
      </c>
      <c r="O115" s="212" t="s">
        <v>63</v>
      </c>
      <c r="P115" s="212" t="s">
        <v>676</v>
      </c>
      <c r="R115" s="212">
        <v>116</v>
      </c>
      <c r="S115" s="479">
        <v>44225</v>
      </c>
      <c r="T115" s="212" t="s">
        <v>2815</v>
      </c>
      <c r="U115" s="475">
        <v>13926000</v>
      </c>
      <c r="V115" s="406"/>
      <c r="W115" s="362"/>
      <c r="X115" s="483" t="s">
        <v>2816</v>
      </c>
      <c r="Y115" s="484">
        <v>44291</v>
      </c>
      <c r="Z115" s="484">
        <v>44291</v>
      </c>
      <c r="AA115" s="484">
        <v>44475</v>
      </c>
      <c r="AB115" s="485" t="s">
        <v>2575</v>
      </c>
      <c r="AC115" s="483" t="s">
        <v>2817</v>
      </c>
      <c r="AD115" s="485" t="s">
        <v>2818</v>
      </c>
      <c r="AE115" s="486" t="s">
        <v>2819</v>
      </c>
      <c r="AF115" s="473">
        <v>13926000</v>
      </c>
      <c r="AG115" s="474">
        <f t="shared" si="1"/>
        <v>0</v>
      </c>
      <c r="AL115" s="475">
        <v>1934167</v>
      </c>
      <c r="AM115" s="306">
        <v>2321000</v>
      </c>
    </row>
    <row r="116" spans="1:39" ht="15" hidden="1" customHeight="1" x14ac:dyDescent="0.25">
      <c r="A116" s="476" t="s">
        <v>2022</v>
      </c>
      <c r="B116" s="477">
        <v>77000000</v>
      </c>
      <c r="C116" s="212" t="s">
        <v>2571</v>
      </c>
      <c r="D116" s="212">
        <v>114</v>
      </c>
      <c r="E116" s="478">
        <v>20215000000933</v>
      </c>
      <c r="F116" s="479">
        <v>44225</v>
      </c>
      <c r="G116" s="478" t="s">
        <v>2565</v>
      </c>
      <c r="H116" s="212" t="s">
        <v>2566</v>
      </c>
      <c r="I116" s="212" t="s">
        <v>228</v>
      </c>
      <c r="J116" s="475">
        <v>77000000</v>
      </c>
      <c r="K116" s="212" t="s">
        <v>223</v>
      </c>
      <c r="L116" s="212" t="s">
        <v>2683</v>
      </c>
      <c r="M116" s="212" t="s">
        <v>44</v>
      </c>
      <c r="N116" s="212" t="s">
        <v>45</v>
      </c>
      <c r="O116" s="212" t="s">
        <v>63</v>
      </c>
      <c r="P116" s="212" t="s">
        <v>676</v>
      </c>
      <c r="R116" s="212">
        <v>117</v>
      </c>
      <c r="S116" s="479">
        <v>44225</v>
      </c>
      <c r="T116" s="212" t="s">
        <v>2820</v>
      </c>
      <c r="U116" s="475">
        <f>77000000-7000000</f>
        <v>70000000</v>
      </c>
      <c r="V116" s="411">
        <v>7000000</v>
      </c>
      <c r="W116" s="397"/>
      <c r="X116" s="308">
        <v>57</v>
      </c>
      <c r="Y116" s="472">
        <v>44229</v>
      </c>
      <c r="Z116" s="472">
        <v>44229</v>
      </c>
      <c r="AA116" s="472">
        <v>44532</v>
      </c>
      <c r="AB116" s="2" t="s">
        <v>2575</v>
      </c>
      <c r="AC116" s="211">
        <v>25</v>
      </c>
      <c r="AD116" s="2">
        <v>80762638</v>
      </c>
      <c r="AE116" s="212" t="s">
        <v>2821</v>
      </c>
      <c r="AF116" s="473">
        <v>70000000</v>
      </c>
      <c r="AG116" s="474">
        <f t="shared" si="1"/>
        <v>0</v>
      </c>
      <c r="AJ116" s="475">
        <v>6300000</v>
      </c>
      <c r="AK116" s="475">
        <v>7000000</v>
      </c>
      <c r="AL116" s="475">
        <v>7000000</v>
      </c>
      <c r="AM116" s="306">
        <v>7000000</v>
      </c>
    </row>
    <row r="117" spans="1:39" ht="15" hidden="1" customHeight="1" x14ac:dyDescent="0.25">
      <c r="A117" s="476" t="s">
        <v>2320</v>
      </c>
      <c r="B117" s="477">
        <v>77000000</v>
      </c>
      <c r="C117" s="212" t="s">
        <v>2571</v>
      </c>
      <c r="D117" s="212">
        <v>115</v>
      </c>
      <c r="E117" s="478">
        <v>20215000001023</v>
      </c>
      <c r="F117" s="479">
        <v>44225</v>
      </c>
      <c r="G117" s="478" t="s">
        <v>2565</v>
      </c>
      <c r="H117" s="212" t="s">
        <v>2566</v>
      </c>
      <c r="I117" s="212" t="s">
        <v>228</v>
      </c>
      <c r="J117" s="475">
        <v>77000000</v>
      </c>
      <c r="K117" s="212" t="s">
        <v>223</v>
      </c>
      <c r="L117" s="212" t="s">
        <v>269</v>
      </c>
      <c r="M117" s="212" t="s">
        <v>44</v>
      </c>
      <c r="N117" s="212" t="s">
        <v>45</v>
      </c>
      <c r="O117" s="212" t="s">
        <v>63</v>
      </c>
      <c r="P117" s="212" t="s">
        <v>676</v>
      </c>
      <c r="R117" s="212">
        <v>118</v>
      </c>
      <c r="S117" s="479">
        <v>44225</v>
      </c>
      <c r="T117" s="212" t="s">
        <v>2822</v>
      </c>
      <c r="U117" s="475">
        <f>77000000-7000000</f>
        <v>70000000</v>
      </c>
      <c r="V117" s="411">
        <v>7000000</v>
      </c>
      <c r="W117" s="397"/>
      <c r="X117" s="483">
        <v>120</v>
      </c>
      <c r="Y117" s="484">
        <v>44238</v>
      </c>
      <c r="Z117" s="484">
        <v>44238</v>
      </c>
      <c r="AA117" s="484">
        <v>44541</v>
      </c>
      <c r="AB117" s="485" t="s">
        <v>2575</v>
      </c>
      <c r="AC117" s="211">
        <v>73</v>
      </c>
      <c r="AD117" s="485">
        <v>79939476</v>
      </c>
      <c r="AE117" s="486" t="s">
        <v>2823</v>
      </c>
      <c r="AF117" s="473">
        <v>70000000</v>
      </c>
      <c r="AG117" s="474">
        <f t="shared" si="1"/>
        <v>0</v>
      </c>
      <c r="AJ117" s="475">
        <v>3966667</v>
      </c>
      <c r="AK117" s="475">
        <v>7000000</v>
      </c>
      <c r="AL117" s="475">
        <v>7000000</v>
      </c>
      <c r="AM117" s="306">
        <v>7000000</v>
      </c>
    </row>
    <row r="118" spans="1:39" ht="15" hidden="1" customHeight="1" x14ac:dyDescent="0.25">
      <c r="A118" s="476" t="s">
        <v>2082</v>
      </c>
      <c r="B118" s="477">
        <v>48400000</v>
      </c>
      <c r="C118" s="212" t="s">
        <v>2571</v>
      </c>
      <c r="D118" s="212">
        <v>116</v>
      </c>
      <c r="E118" s="478">
        <v>20215000001113</v>
      </c>
      <c r="F118" s="479">
        <v>44225</v>
      </c>
      <c r="G118" s="478" t="s">
        <v>2565</v>
      </c>
      <c r="H118" s="212" t="s">
        <v>2566</v>
      </c>
      <c r="I118" s="212" t="s">
        <v>228</v>
      </c>
      <c r="J118" s="475">
        <v>48400000</v>
      </c>
      <c r="K118" s="212" t="s">
        <v>223</v>
      </c>
      <c r="L118" s="212" t="s">
        <v>269</v>
      </c>
      <c r="M118" s="212" t="s">
        <v>44</v>
      </c>
      <c r="N118" s="212" t="s">
        <v>45</v>
      </c>
      <c r="O118" s="212" t="s">
        <v>63</v>
      </c>
      <c r="P118" s="212" t="s">
        <v>676</v>
      </c>
      <c r="R118" s="212">
        <v>119</v>
      </c>
      <c r="S118" s="479">
        <v>44225</v>
      </c>
      <c r="T118" s="212" t="s">
        <v>2824</v>
      </c>
      <c r="U118" s="475">
        <f>48400000-4400000</f>
        <v>44000000</v>
      </c>
      <c r="V118" s="411">
        <v>4400000</v>
      </c>
      <c r="W118" s="397"/>
      <c r="X118" s="308">
        <v>82</v>
      </c>
      <c r="Y118" s="484">
        <v>44232</v>
      </c>
      <c r="Z118" s="484">
        <v>44232</v>
      </c>
      <c r="AA118" s="484">
        <v>44535</v>
      </c>
      <c r="AB118" s="485" t="s">
        <v>2575</v>
      </c>
      <c r="AC118" s="211">
        <v>41</v>
      </c>
      <c r="AD118" s="487">
        <v>80073637</v>
      </c>
      <c r="AE118" s="690" t="s">
        <v>2825</v>
      </c>
      <c r="AF118" s="473">
        <v>44000000</v>
      </c>
      <c r="AG118" s="474">
        <f t="shared" si="1"/>
        <v>0</v>
      </c>
      <c r="AJ118" s="475">
        <v>3080000</v>
      </c>
      <c r="AK118" s="475">
        <v>4400000</v>
      </c>
      <c r="AL118" s="475">
        <v>4400000</v>
      </c>
      <c r="AM118" s="306">
        <v>4400000</v>
      </c>
    </row>
    <row r="119" spans="1:39" ht="15" hidden="1" customHeight="1" x14ac:dyDescent="0.25">
      <c r="A119" s="476" t="s">
        <v>2321</v>
      </c>
      <c r="B119" s="477">
        <v>77000000</v>
      </c>
      <c r="C119" s="212" t="s">
        <v>2571</v>
      </c>
      <c r="D119" s="212">
        <v>117</v>
      </c>
      <c r="E119" s="478">
        <v>20215000001183</v>
      </c>
      <c r="F119" s="479">
        <v>44225</v>
      </c>
      <c r="G119" s="478" t="s">
        <v>2565</v>
      </c>
      <c r="H119" s="212" t="s">
        <v>2566</v>
      </c>
      <c r="I119" s="212" t="s">
        <v>228</v>
      </c>
      <c r="J119" s="475">
        <v>77000000</v>
      </c>
      <c r="K119" s="212" t="s">
        <v>223</v>
      </c>
      <c r="L119" s="212" t="s">
        <v>2683</v>
      </c>
      <c r="M119" s="212" t="s">
        <v>44</v>
      </c>
      <c r="N119" s="212" t="s">
        <v>45</v>
      </c>
      <c r="O119" s="212" t="s">
        <v>63</v>
      </c>
      <c r="P119" s="212" t="s">
        <v>676</v>
      </c>
      <c r="R119" s="212">
        <v>120</v>
      </c>
      <c r="S119" s="479">
        <v>44225</v>
      </c>
      <c r="T119" s="212" t="s">
        <v>2826</v>
      </c>
      <c r="U119" s="475">
        <f>77000000-18000000</f>
        <v>59000000</v>
      </c>
      <c r="V119" s="411">
        <v>18000000</v>
      </c>
      <c r="W119" s="397"/>
      <c r="X119" s="308">
        <v>77</v>
      </c>
      <c r="Y119" s="484">
        <v>44231</v>
      </c>
      <c r="Z119" s="484">
        <v>44231</v>
      </c>
      <c r="AA119" s="484">
        <v>44534</v>
      </c>
      <c r="AB119" s="485" t="s">
        <v>2575</v>
      </c>
      <c r="AC119" s="211">
        <v>39</v>
      </c>
      <c r="AD119" s="487">
        <v>1016033905</v>
      </c>
      <c r="AE119" s="486" t="s">
        <v>2827</v>
      </c>
      <c r="AF119" s="473">
        <v>59000000</v>
      </c>
      <c r="AG119" s="474">
        <f t="shared" si="1"/>
        <v>0</v>
      </c>
      <c r="AJ119" s="475">
        <v>4720000</v>
      </c>
      <c r="AK119" s="475">
        <v>5900000</v>
      </c>
      <c r="AL119" s="475">
        <v>5900000</v>
      </c>
      <c r="AM119" s="306">
        <v>5900000</v>
      </c>
    </row>
    <row r="120" spans="1:39" ht="15" hidden="1" customHeight="1" x14ac:dyDescent="0.25">
      <c r="A120" s="476" t="s">
        <v>2112</v>
      </c>
      <c r="B120" s="477">
        <v>37311600</v>
      </c>
      <c r="C120" s="212" t="s">
        <v>2571</v>
      </c>
      <c r="D120" s="212">
        <v>118</v>
      </c>
      <c r="E120" s="309">
        <v>20212000008473</v>
      </c>
      <c r="F120" s="479">
        <v>44244</v>
      </c>
      <c r="G120" s="478" t="s">
        <v>2565</v>
      </c>
      <c r="H120" s="212" t="s">
        <v>2566</v>
      </c>
      <c r="I120" s="212" t="s">
        <v>391</v>
      </c>
      <c r="J120" s="475">
        <v>35550000</v>
      </c>
      <c r="K120" s="210" t="s">
        <v>2636</v>
      </c>
      <c r="L120" s="212" t="s">
        <v>2637</v>
      </c>
      <c r="M120" s="212" t="s">
        <v>44</v>
      </c>
      <c r="N120" s="212" t="s">
        <v>45</v>
      </c>
      <c r="O120" s="212" t="s">
        <v>63</v>
      </c>
      <c r="P120" s="212" t="s">
        <v>676</v>
      </c>
      <c r="R120" s="486">
        <v>263</v>
      </c>
      <c r="S120" s="490">
        <v>44244</v>
      </c>
      <c r="T120" s="486" t="s">
        <v>2828</v>
      </c>
      <c r="U120" s="475">
        <v>35550000</v>
      </c>
      <c r="V120" s="406"/>
      <c r="W120" s="362"/>
      <c r="X120" s="308">
        <v>212</v>
      </c>
      <c r="Y120" s="484">
        <v>44257</v>
      </c>
      <c r="Z120" s="484">
        <v>44257</v>
      </c>
      <c r="AA120" s="484">
        <v>44532</v>
      </c>
      <c r="AB120" s="485" t="s">
        <v>2575</v>
      </c>
      <c r="AC120" s="211">
        <v>147</v>
      </c>
      <c r="AD120" s="485" t="s">
        <v>2829</v>
      </c>
      <c r="AE120" s="486" t="s">
        <v>2830</v>
      </c>
      <c r="AF120" s="473">
        <v>35550000</v>
      </c>
      <c r="AG120" s="474">
        <f t="shared" si="1"/>
        <v>0</v>
      </c>
      <c r="AK120" s="475">
        <v>3818333</v>
      </c>
      <c r="AL120" s="475">
        <v>3950000</v>
      </c>
      <c r="AM120" s="306">
        <v>3950000</v>
      </c>
    </row>
    <row r="121" spans="1:39" ht="15" hidden="1" customHeight="1" x14ac:dyDescent="0.25">
      <c r="A121" s="476" t="s">
        <v>2361</v>
      </c>
      <c r="B121" s="477">
        <v>63600000</v>
      </c>
      <c r="C121" s="212" t="s">
        <v>2571</v>
      </c>
      <c r="D121" s="212">
        <v>119</v>
      </c>
      <c r="E121" s="478">
        <v>20215000002793</v>
      </c>
      <c r="F121" s="479">
        <v>44225</v>
      </c>
      <c r="G121" s="478" t="s">
        <v>2565</v>
      </c>
      <c r="H121" s="212" t="s">
        <v>2566</v>
      </c>
      <c r="I121" s="212" t="s">
        <v>228</v>
      </c>
      <c r="J121" s="475">
        <v>63600000</v>
      </c>
      <c r="K121" s="212" t="s">
        <v>223</v>
      </c>
      <c r="L121" s="212" t="s">
        <v>283</v>
      </c>
      <c r="M121" s="212" t="s">
        <v>44</v>
      </c>
      <c r="N121" s="212" t="s">
        <v>45</v>
      </c>
      <c r="O121" s="212" t="s">
        <v>63</v>
      </c>
      <c r="P121" s="212" t="s">
        <v>676</v>
      </c>
      <c r="R121" s="212">
        <v>122</v>
      </c>
      <c r="S121" s="479">
        <v>44225</v>
      </c>
      <c r="T121" s="212" t="s">
        <v>2831</v>
      </c>
      <c r="U121" s="475">
        <f>63600000-27600000</f>
        <v>36000000</v>
      </c>
      <c r="V121" s="444">
        <v>27600000</v>
      </c>
      <c r="W121" s="398"/>
      <c r="X121" s="308">
        <v>278</v>
      </c>
      <c r="Y121" s="472">
        <v>44273</v>
      </c>
      <c r="Z121" s="491">
        <v>44273</v>
      </c>
      <c r="AA121" s="491">
        <v>44548</v>
      </c>
      <c r="AB121" s="485" t="s">
        <v>2575</v>
      </c>
      <c r="AC121" s="211">
        <v>196</v>
      </c>
      <c r="AD121" s="492">
        <v>1023019022</v>
      </c>
      <c r="AE121" s="493" t="s">
        <v>2832</v>
      </c>
      <c r="AF121" s="473">
        <v>36000000</v>
      </c>
      <c r="AG121" s="474">
        <f t="shared" si="1"/>
        <v>0</v>
      </c>
      <c r="AM121" s="306">
        <v>3733333</v>
      </c>
    </row>
    <row r="122" spans="1:39" ht="15" hidden="1" customHeight="1" x14ac:dyDescent="0.25">
      <c r="A122" s="476" t="s">
        <v>2025</v>
      </c>
      <c r="B122" s="477">
        <v>33000000</v>
      </c>
      <c r="C122" s="212" t="s">
        <v>2571</v>
      </c>
      <c r="D122" s="212">
        <v>120</v>
      </c>
      <c r="E122" s="478">
        <v>20215000002813</v>
      </c>
      <c r="F122" s="479">
        <v>44225</v>
      </c>
      <c r="G122" s="478" t="s">
        <v>2565</v>
      </c>
      <c r="H122" s="212" t="s">
        <v>2566</v>
      </c>
      <c r="I122" s="212" t="s">
        <v>228</v>
      </c>
      <c r="J122" s="475">
        <v>33000000</v>
      </c>
      <c r="K122" s="212" t="s">
        <v>223</v>
      </c>
      <c r="L122" s="212" t="s">
        <v>236</v>
      </c>
      <c r="M122" s="212" t="s">
        <v>44</v>
      </c>
      <c r="N122" s="212" t="s">
        <v>45</v>
      </c>
      <c r="O122" s="212" t="s">
        <v>63</v>
      </c>
      <c r="P122" s="212" t="s">
        <v>676</v>
      </c>
      <c r="R122" s="212">
        <v>123</v>
      </c>
      <c r="S122" s="479">
        <v>44225</v>
      </c>
      <c r="T122" s="212" t="s">
        <v>2833</v>
      </c>
      <c r="U122" s="475">
        <f>33000000-11000000</f>
        <v>22000000</v>
      </c>
      <c r="V122" s="444">
        <v>11000000</v>
      </c>
      <c r="W122" s="398"/>
      <c r="X122" s="483">
        <v>200</v>
      </c>
      <c r="Y122" s="484">
        <v>44253</v>
      </c>
      <c r="Z122" s="484">
        <v>44253</v>
      </c>
      <c r="AA122" s="484">
        <v>44556</v>
      </c>
      <c r="AB122" s="485" t="s">
        <v>2575</v>
      </c>
      <c r="AC122" s="483">
        <v>138</v>
      </c>
      <c r="AD122" s="485" t="s">
        <v>2834</v>
      </c>
      <c r="AE122" s="486" t="s">
        <v>2835</v>
      </c>
      <c r="AF122" s="473">
        <v>22000000</v>
      </c>
      <c r="AG122" s="474">
        <f t="shared" si="1"/>
        <v>0</v>
      </c>
      <c r="AK122" s="475">
        <v>2200000</v>
      </c>
      <c r="AL122" s="475">
        <v>2200000</v>
      </c>
      <c r="AM122" s="306">
        <v>2200000</v>
      </c>
    </row>
    <row r="123" spans="1:39" ht="15" hidden="1" customHeight="1" x14ac:dyDescent="0.25">
      <c r="A123" s="494" t="s">
        <v>2836</v>
      </c>
      <c r="B123" s="495">
        <v>18000000</v>
      </c>
      <c r="C123" s="212" t="s">
        <v>2571</v>
      </c>
      <c r="D123" s="212">
        <v>121</v>
      </c>
      <c r="E123" s="478">
        <v>20214000006123</v>
      </c>
      <c r="F123" s="479">
        <v>44235</v>
      </c>
      <c r="G123" s="478" t="s">
        <v>2598</v>
      </c>
      <c r="H123" s="212" t="s">
        <v>2599</v>
      </c>
      <c r="I123" s="212" t="s">
        <v>117</v>
      </c>
      <c r="J123" s="475">
        <v>18000000</v>
      </c>
      <c r="K123" s="212" t="s">
        <v>112</v>
      </c>
      <c r="L123" s="212" t="s">
        <v>2600</v>
      </c>
      <c r="M123" s="212" t="s">
        <v>44</v>
      </c>
      <c r="N123" s="212" t="s">
        <v>45</v>
      </c>
      <c r="O123" s="212" t="s">
        <v>63</v>
      </c>
      <c r="P123" s="212" t="s">
        <v>43</v>
      </c>
      <c r="R123" s="212">
        <v>208</v>
      </c>
      <c r="S123" s="479">
        <v>44235</v>
      </c>
      <c r="T123" s="212" t="s">
        <v>2837</v>
      </c>
      <c r="U123" s="475">
        <f>18000000-3464000</f>
        <v>14536000</v>
      </c>
      <c r="V123" s="406">
        <v>3464000</v>
      </c>
      <c r="W123" s="362"/>
      <c r="X123" s="308" t="s">
        <v>2838</v>
      </c>
      <c r="Y123" s="484">
        <v>44257</v>
      </c>
      <c r="Z123" s="484">
        <v>44257</v>
      </c>
      <c r="AA123" s="484">
        <v>44379</v>
      </c>
      <c r="AB123" s="485" t="s">
        <v>2575</v>
      </c>
      <c r="AC123" s="211" t="s">
        <v>2839</v>
      </c>
      <c r="AD123" s="485" t="s">
        <v>2840</v>
      </c>
      <c r="AE123" s="486" t="s">
        <v>2841</v>
      </c>
      <c r="AF123" s="473">
        <v>14536000</v>
      </c>
      <c r="AG123" s="474">
        <f t="shared" si="1"/>
        <v>0</v>
      </c>
      <c r="AK123" s="475">
        <v>3270600</v>
      </c>
      <c r="AL123" s="475">
        <v>3634000</v>
      </c>
      <c r="AM123" s="306">
        <v>3634000</v>
      </c>
    </row>
    <row r="124" spans="1:39" ht="15" hidden="1" customHeight="1" x14ac:dyDescent="0.25">
      <c r="A124" s="476" t="s">
        <v>2026</v>
      </c>
      <c r="B124" s="477">
        <v>33000000</v>
      </c>
      <c r="C124" s="212" t="s">
        <v>2571</v>
      </c>
      <c r="D124" s="212">
        <v>122</v>
      </c>
      <c r="E124" s="478">
        <v>20215000002833</v>
      </c>
      <c r="F124" s="479">
        <v>44225</v>
      </c>
      <c r="G124" s="478" t="s">
        <v>2565</v>
      </c>
      <c r="H124" s="212" t="s">
        <v>2566</v>
      </c>
      <c r="I124" s="212" t="s">
        <v>228</v>
      </c>
      <c r="J124" s="475">
        <v>33000000</v>
      </c>
      <c r="K124" s="212" t="s">
        <v>223</v>
      </c>
      <c r="L124" s="212" t="s">
        <v>236</v>
      </c>
      <c r="M124" s="212" t="s">
        <v>44</v>
      </c>
      <c r="N124" s="212" t="s">
        <v>45</v>
      </c>
      <c r="O124" s="212" t="s">
        <v>63</v>
      </c>
      <c r="P124" s="212" t="s">
        <v>676</v>
      </c>
      <c r="R124" s="212">
        <v>125</v>
      </c>
      <c r="S124" s="479">
        <v>44225</v>
      </c>
      <c r="T124" s="212" t="s">
        <v>2842</v>
      </c>
      <c r="U124" s="475">
        <f>33000000-3000000</f>
        <v>30000000</v>
      </c>
      <c r="V124" s="444">
        <v>3000000</v>
      </c>
      <c r="W124" s="398"/>
      <c r="X124" s="483">
        <v>181</v>
      </c>
      <c r="Y124" s="484">
        <v>44250</v>
      </c>
      <c r="Z124" s="484">
        <v>44250</v>
      </c>
      <c r="AA124" s="484">
        <v>44553</v>
      </c>
      <c r="AB124" s="485" t="s">
        <v>2575</v>
      </c>
      <c r="AC124" s="483">
        <v>122</v>
      </c>
      <c r="AD124" s="485">
        <v>52302200</v>
      </c>
      <c r="AE124" s="486" t="s">
        <v>2843</v>
      </c>
      <c r="AF124" s="473">
        <v>30000000</v>
      </c>
      <c r="AG124" s="474">
        <f t="shared" si="1"/>
        <v>0</v>
      </c>
      <c r="AK124" s="475">
        <f>600000+3000000</f>
        <v>3600000</v>
      </c>
      <c r="AL124" s="475">
        <v>3000000</v>
      </c>
      <c r="AM124" s="306">
        <v>3000000</v>
      </c>
    </row>
    <row r="125" spans="1:39" ht="15" hidden="1" customHeight="1" x14ac:dyDescent="0.25">
      <c r="A125" s="494" t="s">
        <v>2456</v>
      </c>
      <c r="B125" s="495">
        <v>24000000</v>
      </c>
      <c r="C125" s="212" t="s">
        <v>2687</v>
      </c>
      <c r="D125" s="212">
        <v>123</v>
      </c>
      <c r="E125" s="478">
        <v>20214000006113</v>
      </c>
      <c r="F125" s="479">
        <v>44235</v>
      </c>
      <c r="G125" s="478" t="s">
        <v>2598</v>
      </c>
      <c r="H125" s="212" t="s">
        <v>2599</v>
      </c>
      <c r="I125" s="212" t="s">
        <v>117</v>
      </c>
      <c r="J125" s="475">
        <v>24000000</v>
      </c>
      <c r="K125" s="212" t="s">
        <v>112</v>
      </c>
      <c r="L125" s="212" t="s">
        <v>2600</v>
      </c>
      <c r="M125" s="212" t="s">
        <v>44</v>
      </c>
      <c r="N125" s="212" t="s">
        <v>45</v>
      </c>
      <c r="O125" s="212" t="s">
        <v>63</v>
      </c>
      <c r="P125" s="212" t="s">
        <v>43</v>
      </c>
      <c r="R125" s="212">
        <v>207</v>
      </c>
      <c r="S125" s="479">
        <v>44235</v>
      </c>
      <c r="T125" s="212" t="s">
        <v>2844</v>
      </c>
      <c r="U125" s="475">
        <v>24000000</v>
      </c>
      <c r="V125" s="406"/>
      <c r="W125" s="362"/>
      <c r="X125" s="308">
        <v>214</v>
      </c>
      <c r="Y125" s="484">
        <v>44257</v>
      </c>
      <c r="Z125" s="484">
        <v>44257</v>
      </c>
      <c r="AA125" s="484">
        <v>44379</v>
      </c>
      <c r="AB125" s="485" t="s">
        <v>2575</v>
      </c>
      <c r="AC125" s="211">
        <v>143</v>
      </c>
      <c r="AD125" s="485" t="s">
        <v>2845</v>
      </c>
      <c r="AE125" s="486" t="s">
        <v>2846</v>
      </c>
      <c r="AF125" s="473">
        <v>24000000</v>
      </c>
      <c r="AG125" s="474">
        <f t="shared" si="1"/>
        <v>0</v>
      </c>
      <c r="AK125" s="475">
        <v>5800000</v>
      </c>
      <c r="AL125" s="475">
        <v>6000000</v>
      </c>
      <c r="AM125" s="306">
        <v>6000000</v>
      </c>
    </row>
    <row r="126" spans="1:39" ht="15" hidden="1" customHeight="1" x14ac:dyDescent="0.25">
      <c r="A126" s="476" t="s">
        <v>2146</v>
      </c>
      <c r="B126" s="477">
        <v>8000000</v>
      </c>
      <c r="C126" s="212" t="s">
        <v>2571</v>
      </c>
      <c r="D126" s="212">
        <v>124</v>
      </c>
      <c r="E126" s="309">
        <v>20214000008293</v>
      </c>
      <c r="F126" s="310">
        <v>44243</v>
      </c>
      <c r="G126" s="478" t="s">
        <v>2605</v>
      </c>
      <c r="H126" s="212" t="s">
        <v>2606</v>
      </c>
      <c r="I126" s="212" t="s">
        <v>47</v>
      </c>
      <c r="J126" s="475">
        <v>8000000</v>
      </c>
      <c r="K126" s="212" t="s">
        <v>37</v>
      </c>
      <c r="L126" s="212" t="s">
        <v>2607</v>
      </c>
      <c r="M126" s="212" t="s">
        <v>44</v>
      </c>
      <c r="N126" s="212" t="s">
        <v>45</v>
      </c>
      <c r="O126" s="212" t="s">
        <v>310</v>
      </c>
      <c r="P126" s="212" t="s">
        <v>43</v>
      </c>
      <c r="R126" s="212">
        <v>257</v>
      </c>
      <c r="S126" s="479">
        <v>44244</v>
      </c>
      <c r="T126" s="212" t="s">
        <v>2847</v>
      </c>
      <c r="U126" s="475">
        <v>8000000</v>
      </c>
      <c r="V126" s="406"/>
      <c r="W126" s="362"/>
      <c r="X126" s="308">
        <v>215</v>
      </c>
      <c r="Y126" s="484">
        <v>44257</v>
      </c>
      <c r="Z126" s="484">
        <v>44257</v>
      </c>
      <c r="AA126" s="484">
        <v>44502</v>
      </c>
      <c r="AB126" s="485" t="s">
        <v>2575</v>
      </c>
      <c r="AC126" s="211">
        <v>144</v>
      </c>
      <c r="AD126" s="485" t="s">
        <v>2848</v>
      </c>
      <c r="AE126" s="486" t="s">
        <v>2849</v>
      </c>
      <c r="AF126" s="473">
        <v>8000000</v>
      </c>
      <c r="AG126" s="474">
        <f t="shared" si="1"/>
        <v>0</v>
      </c>
      <c r="AK126" s="475">
        <v>966667</v>
      </c>
      <c r="AL126" s="475">
        <v>1000000</v>
      </c>
      <c r="AM126" s="212"/>
    </row>
    <row r="127" spans="1:39" ht="15" hidden="1" customHeight="1" x14ac:dyDescent="0.25">
      <c r="A127" s="476" t="s">
        <v>2461</v>
      </c>
      <c r="B127" s="477">
        <v>72000000</v>
      </c>
      <c r="C127" s="212" t="s">
        <v>2687</v>
      </c>
      <c r="D127" s="212">
        <v>125</v>
      </c>
      <c r="E127" s="309">
        <v>20214000008293</v>
      </c>
      <c r="F127" s="310">
        <v>44243</v>
      </c>
      <c r="G127" s="478" t="s">
        <v>2598</v>
      </c>
      <c r="H127" s="212" t="s">
        <v>2599</v>
      </c>
      <c r="I127" s="212" t="s">
        <v>117</v>
      </c>
      <c r="J127" s="475">
        <v>56000000</v>
      </c>
      <c r="K127" s="212" t="s">
        <v>112</v>
      </c>
      <c r="L127" s="212" t="s">
        <v>2600</v>
      </c>
      <c r="M127" s="212" t="s">
        <v>44</v>
      </c>
      <c r="N127" s="212" t="s">
        <v>45</v>
      </c>
      <c r="O127" s="212" t="s">
        <v>63</v>
      </c>
      <c r="P127" s="212" t="s">
        <v>43</v>
      </c>
      <c r="R127" s="486">
        <v>257</v>
      </c>
      <c r="S127" s="490">
        <v>44244</v>
      </c>
      <c r="T127" s="486" t="s">
        <v>2847</v>
      </c>
      <c r="U127" s="475">
        <v>56000000</v>
      </c>
      <c r="V127" s="406"/>
      <c r="W127" s="362"/>
      <c r="X127" s="308">
        <v>215</v>
      </c>
      <c r="Y127" s="484">
        <v>44257</v>
      </c>
      <c r="Z127" s="484">
        <v>44257</v>
      </c>
      <c r="AA127" s="484">
        <v>44502</v>
      </c>
      <c r="AB127" s="485" t="s">
        <v>2575</v>
      </c>
      <c r="AC127" s="211">
        <v>144</v>
      </c>
      <c r="AD127" s="485" t="s">
        <v>2848</v>
      </c>
      <c r="AE127" s="486" t="s">
        <v>2849</v>
      </c>
      <c r="AF127" s="473">
        <v>56000000</v>
      </c>
      <c r="AG127" s="474">
        <f t="shared" si="1"/>
        <v>0</v>
      </c>
      <c r="AK127" s="475">
        <v>6766666</v>
      </c>
      <c r="AL127" s="475">
        <v>7000000</v>
      </c>
      <c r="AM127" s="212"/>
    </row>
    <row r="128" spans="1:39" ht="15" hidden="1" customHeight="1" x14ac:dyDescent="0.25">
      <c r="A128" s="476" t="s">
        <v>1958</v>
      </c>
      <c r="B128" s="477">
        <v>33000000</v>
      </c>
      <c r="C128" s="212" t="s">
        <v>2571</v>
      </c>
      <c r="D128" s="212">
        <v>126</v>
      </c>
      <c r="E128" s="478">
        <v>20215000002893</v>
      </c>
      <c r="F128" s="479">
        <v>44225</v>
      </c>
      <c r="G128" s="478" t="s">
        <v>2565</v>
      </c>
      <c r="H128" s="212" t="s">
        <v>2566</v>
      </c>
      <c r="I128" s="212" t="s">
        <v>228</v>
      </c>
      <c r="J128" s="475">
        <v>33000000</v>
      </c>
      <c r="K128" s="212" t="s">
        <v>223</v>
      </c>
      <c r="L128" s="212" t="s">
        <v>236</v>
      </c>
      <c r="M128" s="212" t="s">
        <v>44</v>
      </c>
      <c r="N128" s="212" t="s">
        <v>45</v>
      </c>
      <c r="O128" s="212" t="s">
        <v>63</v>
      </c>
      <c r="P128" s="212" t="s">
        <v>676</v>
      </c>
      <c r="R128" s="212">
        <v>130</v>
      </c>
      <c r="S128" s="479">
        <v>44225</v>
      </c>
      <c r="T128" s="212" t="s">
        <v>2850</v>
      </c>
      <c r="U128" s="475">
        <f>33000000-9000000</f>
        <v>24000000</v>
      </c>
      <c r="V128" s="406">
        <v>9000000</v>
      </c>
      <c r="W128" s="362"/>
      <c r="X128" s="483" t="s">
        <v>2851</v>
      </c>
      <c r="Y128" s="484">
        <v>44306</v>
      </c>
      <c r="Z128" s="484">
        <v>44306</v>
      </c>
      <c r="AA128" s="484">
        <v>44549</v>
      </c>
      <c r="AB128" s="485" t="s">
        <v>2575</v>
      </c>
      <c r="AC128" s="483" t="s">
        <v>2852</v>
      </c>
      <c r="AD128" s="485" t="s">
        <v>2853</v>
      </c>
      <c r="AE128" s="486" t="s">
        <v>2854</v>
      </c>
      <c r="AF128" s="473">
        <v>24000000</v>
      </c>
      <c r="AG128" s="474">
        <f t="shared" si="1"/>
        <v>0</v>
      </c>
      <c r="AL128" s="475">
        <v>900000</v>
      </c>
      <c r="AM128" s="306">
        <v>3000000</v>
      </c>
    </row>
    <row r="129" spans="1:39" hidden="1" x14ac:dyDescent="0.25">
      <c r="A129" s="476" t="s">
        <v>1962</v>
      </c>
      <c r="B129" s="477">
        <v>33000000</v>
      </c>
      <c r="C129" s="212" t="s">
        <v>2571</v>
      </c>
      <c r="D129" s="212">
        <v>127</v>
      </c>
      <c r="E129" s="478">
        <v>20215000002903</v>
      </c>
      <c r="F129" s="479">
        <v>44225</v>
      </c>
      <c r="G129" s="478" t="s">
        <v>2565</v>
      </c>
      <c r="H129" s="212" t="s">
        <v>2566</v>
      </c>
      <c r="I129" s="212" t="s">
        <v>228</v>
      </c>
      <c r="J129" s="475">
        <v>33000000</v>
      </c>
      <c r="K129" s="212" t="s">
        <v>223</v>
      </c>
      <c r="L129" s="212" t="s">
        <v>236</v>
      </c>
      <c r="M129" s="212" t="s">
        <v>44</v>
      </c>
      <c r="N129" s="212" t="s">
        <v>45</v>
      </c>
      <c r="O129" s="212" t="s">
        <v>63</v>
      </c>
      <c r="P129" s="212" t="s">
        <v>676</v>
      </c>
      <c r="R129" s="212">
        <v>131</v>
      </c>
      <c r="S129" s="479">
        <v>44225</v>
      </c>
      <c r="T129" s="212" t="s">
        <v>2855</v>
      </c>
      <c r="U129" s="475">
        <f>33000000-11400000</f>
        <v>21600000</v>
      </c>
      <c r="V129" s="406">
        <v>11400000</v>
      </c>
      <c r="W129" s="362"/>
      <c r="X129" s="483" t="s">
        <v>2856</v>
      </c>
      <c r="Y129" s="484">
        <v>44307</v>
      </c>
      <c r="Z129" s="484">
        <v>44307</v>
      </c>
      <c r="AA129" s="484">
        <v>44550</v>
      </c>
      <c r="AB129" s="485" t="s">
        <v>2575</v>
      </c>
      <c r="AC129" s="483" t="s">
        <v>2857</v>
      </c>
      <c r="AD129" s="485" t="s">
        <v>2858</v>
      </c>
      <c r="AE129" s="486" t="s">
        <v>2859</v>
      </c>
      <c r="AF129" s="473">
        <v>21600000</v>
      </c>
      <c r="AG129" s="474">
        <f t="shared" si="1"/>
        <v>0</v>
      </c>
      <c r="AL129" s="475">
        <v>900000</v>
      </c>
      <c r="AM129" s="306">
        <v>2700000</v>
      </c>
    </row>
    <row r="130" spans="1:39" s="312" customFormat="1" hidden="1" x14ac:dyDescent="0.25">
      <c r="A130" s="361" t="s">
        <v>2860</v>
      </c>
      <c r="B130" s="417">
        <v>55000000</v>
      </c>
      <c r="C130" s="312" t="s">
        <v>2571</v>
      </c>
      <c r="D130" s="312">
        <v>128</v>
      </c>
      <c r="E130" s="325">
        <v>20215000002913</v>
      </c>
      <c r="F130" s="315">
        <v>44225</v>
      </c>
      <c r="G130" s="325" t="s">
        <v>2565</v>
      </c>
      <c r="H130" s="312" t="s">
        <v>2566</v>
      </c>
      <c r="I130" s="312" t="s">
        <v>228</v>
      </c>
      <c r="J130" s="405">
        <v>55000000</v>
      </c>
      <c r="K130" s="312" t="s">
        <v>223</v>
      </c>
      <c r="L130" s="312" t="s">
        <v>257</v>
      </c>
      <c r="M130" s="312" t="s">
        <v>44</v>
      </c>
      <c r="N130" s="312" t="s">
        <v>2861</v>
      </c>
      <c r="O130" s="312" t="s">
        <v>255</v>
      </c>
      <c r="P130" s="312" t="s">
        <v>676</v>
      </c>
      <c r="R130" s="312">
        <v>132</v>
      </c>
      <c r="S130" s="315">
        <v>44225</v>
      </c>
      <c r="T130" s="312" t="s">
        <v>2862</v>
      </c>
      <c r="U130" s="405">
        <f>55000000-55000000</f>
        <v>0</v>
      </c>
      <c r="V130" s="406">
        <v>55000000</v>
      </c>
      <c r="W130" s="362" t="s">
        <v>1453</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x14ac:dyDescent="0.25">
      <c r="A131" s="476" t="s">
        <v>2405</v>
      </c>
      <c r="B131" s="477">
        <v>54712000</v>
      </c>
      <c r="C131" s="212" t="s">
        <v>2571</v>
      </c>
      <c r="D131" s="212">
        <v>129</v>
      </c>
      <c r="E131" s="478">
        <v>20215000002943</v>
      </c>
      <c r="F131" s="479">
        <v>44225</v>
      </c>
      <c r="G131" s="478" t="s">
        <v>2565</v>
      </c>
      <c r="H131" s="212" t="s">
        <v>2566</v>
      </c>
      <c r="I131" s="212" t="s">
        <v>228</v>
      </c>
      <c r="J131" s="475">
        <v>54712000</v>
      </c>
      <c r="K131" s="212" t="s">
        <v>288</v>
      </c>
      <c r="L131" s="212" t="s">
        <v>294</v>
      </c>
      <c r="M131" s="212" t="s">
        <v>44</v>
      </c>
      <c r="N131" s="212" t="s">
        <v>45</v>
      </c>
      <c r="O131" s="212" t="s">
        <v>63</v>
      </c>
      <c r="P131" s="212" t="s">
        <v>676</v>
      </c>
      <c r="R131" s="212">
        <v>140</v>
      </c>
      <c r="S131" s="479">
        <v>44228</v>
      </c>
      <c r="T131" s="212" t="s">
        <v>2863</v>
      </c>
      <c r="U131" s="475">
        <f>54712000-17292000</f>
        <v>37420000</v>
      </c>
      <c r="V131" s="411">
        <v>17292000</v>
      </c>
      <c r="W131" s="397"/>
      <c r="X131" s="483">
        <v>117</v>
      </c>
      <c r="Y131" s="484">
        <v>44238</v>
      </c>
      <c r="Z131" s="484">
        <v>44238</v>
      </c>
      <c r="AA131" s="484">
        <v>44541</v>
      </c>
      <c r="AB131" s="485" t="s">
        <v>2575</v>
      </c>
      <c r="AC131" s="211">
        <v>70</v>
      </c>
      <c r="AD131" s="485">
        <v>80149008</v>
      </c>
      <c r="AE131" s="486" t="s">
        <v>2864</v>
      </c>
      <c r="AF131" s="473">
        <v>37420000</v>
      </c>
      <c r="AG131" s="474">
        <f t="shared" si="2"/>
        <v>0</v>
      </c>
      <c r="AJ131" s="475">
        <v>2245200</v>
      </c>
      <c r="AK131" s="475">
        <v>3742000</v>
      </c>
      <c r="AL131" s="475">
        <v>3742000</v>
      </c>
      <c r="AM131" s="306">
        <v>3742000</v>
      </c>
    </row>
    <row r="132" spans="1:39" hidden="1" x14ac:dyDescent="0.25">
      <c r="A132" s="476" t="s">
        <v>2080</v>
      </c>
      <c r="B132" s="477">
        <v>52800000</v>
      </c>
      <c r="C132" s="212" t="s">
        <v>2571</v>
      </c>
      <c r="D132" s="212">
        <v>130</v>
      </c>
      <c r="E132" s="478">
        <v>20215000003683</v>
      </c>
      <c r="F132" s="479">
        <v>44225</v>
      </c>
      <c r="G132" s="478" t="s">
        <v>2565</v>
      </c>
      <c r="H132" s="212" t="s">
        <v>2566</v>
      </c>
      <c r="I132" s="212" t="s">
        <v>228</v>
      </c>
      <c r="J132" s="475">
        <v>52800000</v>
      </c>
      <c r="K132" s="212" t="s">
        <v>223</v>
      </c>
      <c r="L132" s="212" t="s">
        <v>269</v>
      </c>
      <c r="M132" s="212" t="s">
        <v>44</v>
      </c>
      <c r="N132" s="212" t="s">
        <v>45</v>
      </c>
      <c r="O132" s="212" t="s">
        <v>63</v>
      </c>
      <c r="P132" s="212" t="s">
        <v>676</v>
      </c>
      <c r="R132" s="212">
        <v>133</v>
      </c>
      <c r="S132" s="479">
        <v>44225</v>
      </c>
      <c r="T132" s="212" t="s">
        <v>2865</v>
      </c>
      <c r="U132" s="475">
        <f>52800000-8800000</f>
        <v>44000000</v>
      </c>
      <c r="V132" s="411">
        <v>8800000</v>
      </c>
      <c r="W132" s="397"/>
      <c r="X132" s="483">
        <v>121</v>
      </c>
      <c r="Y132" s="484">
        <v>44238</v>
      </c>
      <c r="Z132" s="484">
        <v>44238</v>
      </c>
      <c r="AA132" s="484">
        <v>44541</v>
      </c>
      <c r="AB132" s="485" t="s">
        <v>2575</v>
      </c>
      <c r="AC132" s="483">
        <v>71</v>
      </c>
      <c r="AD132" s="485">
        <v>1033729303</v>
      </c>
      <c r="AE132" s="486" t="s">
        <v>2866</v>
      </c>
      <c r="AF132" s="473">
        <v>44000000</v>
      </c>
      <c r="AG132" s="474">
        <f t="shared" si="2"/>
        <v>0</v>
      </c>
      <c r="AJ132" s="475">
        <v>2640000</v>
      </c>
      <c r="AK132" s="475">
        <v>4400000</v>
      </c>
      <c r="AL132" s="475">
        <v>4400000</v>
      </c>
      <c r="AM132" s="306">
        <v>4400000</v>
      </c>
    </row>
    <row r="133" spans="1:39" hidden="1" x14ac:dyDescent="0.25">
      <c r="A133" s="476" t="s">
        <v>2083</v>
      </c>
      <c r="B133" s="477">
        <v>64900000</v>
      </c>
      <c r="C133" s="212" t="s">
        <v>2571</v>
      </c>
      <c r="D133" s="212">
        <v>131</v>
      </c>
      <c r="E133" s="478">
        <v>20215000003693</v>
      </c>
      <c r="F133" s="479">
        <v>44225</v>
      </c>
      <c r="G133" s="478" t="s">
        <v>2565</v>
      </c>
      <c r="H133" s="212" t="s">
        <v>2566</v>
      </c>
      <c r="I133" s="212" t="s">
        <v>228</v>
      </c>
      <c r="J133" s="475">
        <v>64900000</v>
      </c>
      <c r="K133" s="212" t="s">
        <v>223</v>
      </c>
      <c r="L133" s="212" t="s">
        <v>233</v>
      </c>
      <c r="M133" s="212" t="s">
        <v>44</v>
      </c>
      <c r="N133" s="212" t="s">
        <v>45</v>
      </c>
      <c r="O133" s="212" t="s">
        <v>63</v>
      </c>
      <c r="P133" s="212" t="s">
        <v>676</v>
      </c>
      <c r="R133" s="212">
        <v>134</v>
      </c>
      <c r="S133" s="479">
        <v>44225</v>
      </c>
      <c r="T133" s="212" t="s">
        <v>2867</v>
      </c>
      <c r="U133" s="475">
        <f>64900000-24900000</f>
        <v>40000000</v>
      </c>
      <c r="V133" s="411">
        <v>24900000</v>
      </c>
      <c r="W133" s="397"/>
      <c r="X133" s="308">
        <v>101</v>
      </c>
      <c r="Y133" s="484">
        <v>44236</v>
      </c>
      <c r="Z133" s="484">
        <v>44236</v>
      </c>
      <c r="AA133" s="484">
        <v>44539</v>
      </c>
      <c r="AB133" s="485" t="s">
        <v>2575</v>
      </c>
      <c r="AC133" s="211">
        <v>62</v>
      </c>
      <c r="AD133" s="487">
        <v>1032432961</v>
      </c>
      <c r="AE133" s="486" t="s">
        <v>2868</v>
      </c>
      <c r="AF133" s="473">
        <v>40000000</v>
      </c>
      <c r="AG133" s="474">
        <f t="shared" si="2"/>
        <v>0</v>
      </c>
      <c r="AJ133" s="475">
        <v>2666667</v>
      </c>
      <c r="AK133" s="475">
        <v>4000000</v>
      </c>
      <c r="AL133" s="475">
        <v>4000000</v>
      </c>
      <c r="AM133" s="306">
        <v>4000000</v>
      </c>
    </row>
    <row r="134" spans="1:39" hidden="1" x14ac:dyDescent="0.25">
      <c r="A134" s="476" t="s">
        <v>1750</v>
      </c>
      <c r="B134" s="477">
        <v>44000000</v>
      </c>
      <c r="C134" s="212" t="s">
        <v>2571</v>
      </c>
      <c r="D134" s="212">
        <v>132</v>
      </c>
      <c r="E134" s="478">
        <v>20215000003713</v>
      </c>
      <c r="F134" s="479">
        <v>44225</v>
      </c>
      <c r="G134" s="478" t="s">
        <v>2565</v>
      </c>
      <c r="H134" s="212" t="s">
        <v>2566</v>
      </c>
      <c r="I134" s="212" t="s">
        <v>228</v>
      </c>
      <c r="J134" s="475">
        <v>44000000</v>
      </c>
      <c r="K134" s="212" t="s">
        <v>223</v>
      </c>
      <c r="L134" s="212" t="s">
        <v>269</v>
      </c>
      <c r="M134" s="212" t="s">
        <v>44</v>
      </c>
      <c r="N134" s="212" t="s">
        <v>45</v>
      </c>
      <c r="O134" s="212" t="s">
        <v>63</v>
      </c>
      <c r="P134" s="212" t="s">
        <v>676</v>
      </c>
      <c r="R134" s="212">
        <v>135</v>
      </c>
      <c r="S134" s="479">
        <v>44225</v>
      </c>
      <c r="T134" s="212" t="s">
        <v>2869</v>
      </c>
      <c r="U134" s="475">
        <f>44000000-13400000</f>
        <v>30600000</v>
      </c>
      <c r="V134" s="406">
        <v>13400000</v>
      </c>
      <c r="W134" s="362"/>
      <c r="X134" s="483" t="s">
        <v>2870</v>
      </c>
      <c r="Y134" s="484">
        <v>44302</v>
      </c>
      <c r="Z134" s="484">
        <v>44302</v>
      </c>
      <c r="AA134" s="484">
        <v>44561</v>
      </c>
      <c r="AB134" s="485" t="s">
        <v>2575</v>
      </c>
      <c r="AC134" s="483" t="s">
        <v>2871</v>
      </c>
      <c r="AD134" s="485" t="s">
        <v>2872</v>
      </c>
      <c r="AE134" s="486" t="s">
        <v>2873</v>
      </c>
      <c r="AF134" s="473">
        <v>30600000</v>
      </c>
      <c r="AG134" s="474">
        <f t="shared" si="2"/>
        <v>0</v>
      </c>
      <c r="AL134" s="475">
        <v>1440000</v>
      </c>
      <c r="AM134" s="306">
        <v>3600000</v>
      </c>
    </row>
    <row r="135" spans="1:39" hidden="1" x14ac:dyDescent="0.25">
      <c r="A135" s="476" t="s">
        <v>2180</v>
      </c>
      <c r="B135" s="477">
        <v>34967856</v>
      </c>
      <c r="C135" s="212" t="s">
        <v>2571</v>
      </c>
      <c r="D135" s="212">
        <v>133</v>
      </c>
      <c r="E135" s="478">
        <v>20217000003833</v>
      </c>
      <c r="F135" s="479">
        <v>44225</v>
      </c>
      <c r="G135" s="478" t="s">
        <v>2572</v>
      </c>
      <c r="H135" s="212" t="s">
        <v>2573</v>
      </c>
      <c r="I135" s="212" t="s">
        <v>164</v>
      </c>
      <c r="J135" s="475">
        <v>19100000</v>
      </c>
      <c r="K135" s="212" t="s">
        <v>138</v>
      </c>
      <c r="L135" s="212" t="s">
        <v>139</v>
      </c>
      <c r="M135" s="212" t="s">
        <v>44</v>
      </c>
      <c r="N135" s="212" t="s">
        <v>45</v>
      </c>
      <c r="O135" s="212" t="s">
        <v>142</v>
      </c>
      <c r="P135" s="212" t="s">
        <v>43</v>
      </c>
      <c r="R135" s="212">
        <v>136</v>
      </c>
      <c r="S135" s="479">
        <v>44225</v>
      </c>
      <c r="T135" s="212" t="s">
        <v>2874</v>
      </c>
      <c r="U135" s="475">
        <v>19100000</v>
      </c>
      <c r="V135" s="406"/>
      <c r="W135" s="362"/>
      <c r="X135" s="308">
        <v>74</v>
      </c>
      <c r="Y135" s="484">
        <v>44231</v>
      </c>
      <c r="Z135" s="484">
        <v>44231</v>
      </c>
      <c r="AA135" s="484">
        <v>44412</v>
      </c>
      <c r="AB135" s="485" t="s">
        <v>2575</v>
      </c>
      <c r="AC135" s="211">
        <v>35</v>
      </c>
      <c r="AD135" s="487">
        <v>1013582050</v>
      </c>
      <c r="AE135" s="486" t="s">
        <v>2875</v>
      </c>
      <c r="AF135" s="473">
        <v>19073376</v>
      </c>
      <c r="AG135" s="474">
        <f t="shared" si="2"/>
        <v>26624</v>
      </c>
      <c r="AJ135" s="475">
        <v>2543117</v>
      </c>
      <c r="AK135" s="475">
        <v>3178896</v>
      </c>
      <c r="AL135" s="475">
        <v>3178896</v>
      </c>
      <c r="AM135" s="306">
        <v>3178896</v>
      </c>
    </row>
    <row r="136" spans="1:39" hidden="1" x14ac:dyDescent="0.25">
      <c r="A136" s="476" t="s">
        <v>2179</v>
      </c>
      <c r="B136" s="477">
        <v>29972448</v>
      </c>
      <c r="C136" s="212" t="s">
        <v>2571</v>
      </c>
      <c r="D136" s="212">
        <v>134</v>
      </c>
      <c r="E136" s="478">
        <v>20217000002483</v>
      </c>
      <c r="F136" s="479">
        <v>44225</v>
      </c>
      <c r="G136" s="478" t="s">
        <v>2572</v>
      </c>
      <c r="H136" s="212" t="s">
        <v>2573</v>
      </c>
      <c r="I136" s="212" t="s">
        <v>164</v>
      </c>
      <c r="J136" s="475">
        <v>19079046</v>
      </c>
      <c r="K136" s="212" t="s">
        <v>138</v>
      </c>
      <c r="L136" s="212" t="s">
        <v>139</v>
      </c>
      <c r="M136" s="212" t="s">
        <v>44</v>
      </c>
      <c r="N136" s="212" t="s">
        <v>45</v>
      </c>
      <c r="O136" s="212" t="s">
        <v>142</v>
      </c>
      <c r="P136" s="212" t="s">
        <v>43</v>
      </c>
      <c r="R136" s="212">
        <v>127</v>
      </c>
      <c r="S136" s="479">
        <v>44225</v>
      </c>
      <c r="T136" s="212" t="s">
        <v>2876</v>
      </c>
      <c r="U136" s="475">
        <v>19079046</v>
      </c>
      <c r="V136" s="406"/>
      <c r="W136" s="362"/>
      <c r="X136" s="308">
        <v>216</v>
      </c>
      <c r="Y136" s="484">
        <v>44257</v>
      </c>
      <c r="Z136" s="484">
        <v>44257</v>
      </c>
      <c r="AA136" s="484">
        <v>44438</v>
      </c>
      <c r="AB136" s="485" t="s">
        <v>2575</v>
      </c>
      <c r="AC136" s="211">
        <v>153</v>
      </c>
      <c r="AD136" s="485" t="s">
        <v>2877</v>
      </c>
      <c r="AE136" s="486" t="s">
        <v>2878</v>
      </c>
      <c r="AF136" s="473">
        <v>19079046</v>
      </c>
      <c r="AG136" s="474">
        <f t="shared" si="2"/>
        <v>0</v>
      </c>
      <c r="AK136" s="475">
        <v>3179841</v>
      </c>
      <c r="AL136" s="475">
        <v>3179841</v>
      </c>
      <c r="AM136" s="306">
        <v>3179841</v>
      </c>
    </row>
    <row r="137" spans="1:39" hidden="1" x14ac:dyDescent="0.25">
      <c r="A137" s="476" t="s">
        <v>2319</v>
      </c>
      <c r="B137" s="477">
        <v>19987572</v>
      </c>
      <c r="C137" s="212" t="s">
        <v>2571</v>
      </c>
      <c r="D137" s="212">
        <v>135</v>
      </c>
      <c r="E137" s="478">
        <v>20217000002363</v>
      </c>
      <c r="F137" s="479">
        <v>44225</v>
      </c>
      <c r="G137" s="478" t="s">
        <v>2572</v>
      </c>
      <c r="H137" s="212" t="s">
        <v>2573</v>
      </c>
      <c r="I137" s="212" t="s">
        <v>164</v>
      </c>
      <c r="J137" s="475">
        <v>7268208</v>
      </c>
      <c r="K137" s="212" t="s">
        <v>138</v>
      </c>
      <c r="L137" s="212" t="s">
        <v>139</v>
      </c>
      <c r="M137" s="212" t="s">
        <v>44</v>
      </c>
      <c r="N137" s="212" t="s">
        <v>45</v>
      </c>
      <c r="O137" s="212" t="s">
        <v>142</v>
      </c>
      <c r="P137" s="212" t="s">
        <v>43</v>
      </c>
      <c r="R137" s="212">
        <v>137</v>
      </c>
      <c r="S137" s="479">
        <v>44225</v>
      </c>
      <c r="T137" s="212" t="s">
        <v>2879</v>
      </c>
      <c r="U137" s="475">
        <v>7268208</v>
      </c>
      <c r="V137" s="406"/>
      <c r="W137" s="362"/>
      <c r="X137" s="32">
        <v>88</v>
      </c>
      <c r="Y137" s="484">
        <v>44235</v>
      </c>
      <c r="Z137" s="484">
        <v>44235</v>
      </c>
      <c r="AA137" s="484">
        <v>44355</v>
      </c>
      <c r="AB137" s="485" t="s">
        <v>2575</v>
      </c>
      <c r="AC137" s="211">
        <v>51</v>
      </c>
      <c r="AD137" s="487">
        <v>1014307538</v>
      </c>
      <c r="AE137" s="486" t="s">
        <v>2880</v>
      </c>
      <c r="AF137" s="473">
        <v>7268208</v>
      </c>
      <c r="AG137" s="474">
        <f t="shared" si="2"/>
        <v>0</v>
      </c>
      <c r="AJ137" s="475">
        <v>1271936</v>
      </c>
      <c r="AK137" s="475">
        <v>1817052</v>
      </c>
      <c r="AL137" s="475">
        <v>1817052</v>
      </c>
      <c r="AM137" s="212"/>
    </row>
    <row r="138" spans="1:39" hidden="1" x14ac:dyDescent="0.25">
      <c r="A138" s="476" t="s">
        <v>2030</v>
      </c>
      <c r="B138" s="477">
        <v>39718800</v>
      </c>
      <c r="C138" s="212" t="s">
        <v>2571</v>
      </c>
      <c r="D138" s="212">
        <v>136</v>
      </c>
      <c r="E138" s="478">
        <v>20212000001333</v>
      </c>
      <c r="F138" s="479">
        <v>44228</v>
      </c>
      <c r="G138" s="478" t="s">
        <v>2565</v>
      </c>
      <c r="H138" s="212" t="s">
        <v>2566</v>
      </c>
      <c r="I138" s="212" t="s">
        <v>391</v>
      </c>
      <c r="J138" s="475">
        <v>39500000</v>
      </c>
      <c r="K138" s="210" t="s">
        <v>2636</v>
      </c>
      <c r="L138" s="212" t="s">
        <v>2637</v>
      </c>
      <c r="M138" s="212" t="s">
        <v>44</v>
      </c>
      <c r="N138" s="212" t="s">
        <v>45</v>
      </c>
      <c r="O138" s="212" t="s">
        <v>63</v>
      </c>
      <c r="P138" s="212" t="s">
        <v>676</v>
      </c>
      <c r="R138" s="212">
        <v>139</v>
      </c>
      <c r="S138" s="479">
        <v>44228</v>
      </c>
      <c r="T138" s="212" t="s">
        <v>2881</v>
      </c>
      <c r="U138" s="475">
        <v>39500000</v>
      </c>
      <c r="V138" s="406"/>
      <c r="W138" s="362"/>
      <c r="X138" s="483">
        <v>155</v>
      </c>
      <c r="Y138" s="484">
        <v>44244</v>
      </c>
      <c r="Z138" s="484">
        <v>44244</v>
      </c>
      <c r="AA138" s="484">
        <v>44547</v>
      </c>
      <c r="AB138" s="485" t="s">
        <v>2575</v>
      </c>
      <c r="AC138" s="483">
        <v>101</v>
      </c>
      <c r="AD138" s="485">
        <v>1014262560</v>
      </c>
      <c r="AE138" s="486" t="s">
        <v>2882</v>
      </c>
      <c r="AF138" s="473">
        <v>39500000</v>
      </c>
      <c r="AG138" s="474">
        <f t="shared" si="2"/>
        <v>0</v>
      </c>
      <c r="AJ138" s="475">
        <v>1448333</v>
      </c>
      <c r="AK138" s="475">
        <v>3950000</v>
      </c>
      <c r="AL138" s="475">
        <v>3950000</v>
      </c>
      <c r="AM138" s="306">
        <v>3950000</v>
      </c>
    </row>
    <row r="139" spans="1:39" hidden="1" x14ac:dyDescent="0.25">
      <c r="A139" s="476" t="s">
        <v>2422</v>
      </c>
      <c r="B139" s="477">
        <v>84766080</v>
      </c>
      <c r="C139" s="212" t="s">
        <v>2571</v>
      </c>
      <c r="D139" s="212">
        <v>137</v>
      </c>
      <c r="E139" s="478">
        <v>20212000004023</v>
      </c>
      <c r="F139" s="479">
        <v>44228</v>
      </c>
      <c r="G139" s="478" t="s">
        <v>2565</v>
      </c>
      <c r="H139" s="212" t="s">
        <v>2566</v>
      </c>
      <c r="I139" s="212" t="s">
        <v>391</v>
      </c>
      <c r="J139" s="475">
        <v>83252400</v>
      </c>
      <c r="K139" s="210" t="s">
        <v>2636</v>
      </c>
      <c r="L139" s="212" t="s">
        <v>2637</v>
      </c>
      <c r="M139" s="212" t="s">
        <v>44</v>
      </c>
      <c r="N139" s="212" t="s">
        <v>45</v>
      </c>
      <c r="O139" s="212" t="s">
        <v>63</v>
      </c>
      <c r="P139" s="212" t="s">
        <v>676</v>
      </c>
      <c r="R139" s="212">
        <v>149</v>
      </c>
      <c r="S139" s="479">
        <v>44228</v>
      </c>
      <c r="T139" s="212" t="s">
        <v>2883</v>
      </c>
      <c r="U139" s="475">
        <f>83252400-7568400</f>
        <v>75684000</v>
      </c>
      <c r="V139" s="411">
        <v>7568400</v>
      </c>
      <c r="W139" s="397"/>
      <c r="X139" s="483">
        <v>185</v>
      </c>
      <c r="Y139" s="484">
        <v>44251</v>
      </c>
      <c r="Z139" s="484">
        <v>44251</v>
      </c>
      <c r="AA139" s="484">
        <v>44554</v>
      </c>
      <c r="AB139" s="485" t="s">
        <v>2575</v>
      </c>
      <c r="AC139" s="483">
        <v>129</v>
      </c>
      <c r="AD139" s="485">
        <v>1022941209</v>
      </c>
      <c r="AE139" s="486" t="s">
        <v>2884</v>
      </c>
      <c r="AF139" s="473">
        <v>75684000</v>
      </c>
      <c r="AG139" s="474">
        <f t="shared" si="2"/>
        <v>0</v>
      </c>
      <c r="AK139" s="475">
        <v>8577520</v>
      </c>
      <c r="AL139" s="475">
        <v>7568400</v>
      </c>
      <c r="AM139" s="306">
        <v>7568400</v>
      </c>
    </row>
    <row r="140" spans="1:39" s="312" customFormat="1" hidden="1" x14ac:dyDescent="0.25">
      <c r="A140" s="361" t="s">
        <v>2885</v>
      </c>
      <c r="B140" s="417">
        <v>51408000</v>
      </c>
      <c r="C140" s="312" t="s">
        <v>2571</v>
      </c>
      <c r="D140" s="312">
        <v>138</v>
      </c>
      <c r="E140" s="325">
        <v>20212000004033</v>
      </c>
      <c r="F140" s="315">
        <v>44228</v>
      </c>
      <c r="G140" s="325" t="s">
        <v>2565</v>
      </c>
      <c r="H140" s="312" t="s">
        <v>2566</v>
      </c>
      <c r="I140" s="312" t="s">
        <v>391</v>
      </c>
      <c r="J140" s="405">
        <v>50490000</v>
      </c>
      <c r="K140" s="312" t="s">
        <v>2636</v>
      </c>
      <c r="L140" s="312" t="s">
        <v>2637</v>
      </c>
      <c r="M140" s="312" t="s">
        <v>44</v>
      </c>
      <c r="N140" s="312" t="s">
        <v>45</v>
      </c>
      <c r="O140" s="312" t="s">
        <v>63</v>
      </c>
      <c r="P140" s="312" t="s">
        <v>676</v>
      </c>
      <c r="R140" s="312">
        <v>150</v>
      </c>
      <c r="S140" s="315">
        <v>44228</v>
      </c>
      <c r="T140" s="312" t="s">
        <v>2886</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x14ac:dyDescent="0.25">
      <c r="A141" s="361" t="s">
        <v>2887</v>
      </c>
      <c r="B141" s="417">
        <v>62832000</v>
      </c>
      <c r="C141" s="312" t="s">
        <v>2571</v>
      </c>
      <c r="D141" s="312">
        <v>139</v>
      </c>
      <c r="E141" s="325">
        <v>20212000004043</v>
      </c>
      <c r="F141" s="315">
        <v>44228</v>
      </c>
      <c r="G141" s="325" t="s">
        <v>2565</v>
      </c>
      <c r="H141" s="312" t="s">
        <v>2566</v>
      </c>
      <c r="I141" s="312" t="s">
        <v>391</v>
      </c>
      <c r="J141" s="405">
        <v>28050000</v>
      </c>
      <c r="K141" s="312" t="s">
        <v>2636</v>
      </c>
      <c r="L141" s="312" t="s">
        <v>2637</v>
      </c>
      <c r="M141" s="312" t="s">
        <v>44</v>
      </c>
      <c r="N141" s="312" t="s">
        <v>45</v>
      </c>
      <c r="O141" s="312" t="s">
        <v>63</v>
      </c>
      <c r="P141" s="312" t="s">
        <v>676</v>
      </c>
      <c r="R141" s="312">
        <v>151</v>
      </c>
      <c r="S141" s="315">
        <v>44228</v>
      </c>
      <c r="T141" s="312" t="s">
        <v>2888</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x14ac:dyDescent="0.25">
      <c r="A142" s="476" t="s">
        <v>2428</v>
      </c>
      <c r="B142" s="477">
        <v>66198000</v>
      </c>
      <c r="C142" s="212" t="s">
        <v>2571</v>
      </c>
      <c r="D142" s="212">
        <v>140</v>
      </c>
      <c r="E142" s="478">
        <v>20212000004053</v>
      </c>
      <c r="F142" s="479">
        <v>44228</v>
      </c>
      <c r="G142" s="478" t="s">
        <v>2565</v>
      </c>
      <c r="H142" s="212" t="s">
        <v>2566</v>
      </c>
      <c r="I142" s="212" t="s">
        <v>391</v>
      </c>
      <c r="J142" s="475">
        <v>61710000</v>
      </c>
      <c r="K142" s="210" t="s">
        <v>2636</v>
      </c>
      <c r="L142" s="212" t="s">
        <v>2637</v>
      </c>
      <c r="M142" s="212" t="s">
        <v>44</v>
      </c>
      <c r="N142" s="212" t="s">
        <v>45</v>
      </c>
      <c r="O142" s="212" t="s">
        <v>63</v>
      </c>
      <c r="P142" s="212" t="s">
        <v>676</v>
      </c>
      <c r="R142" s="212">
        <v>152</v>
      </c>
      <c r="S142" s="479">
        <v>44228</v>
      </c>
      <c r="T142" s="212" t="s">
        <v>2889</v>
      </c>
      <c r="U142" s="475">
        <f>61710000-5610000</f>
        <v>56100000</v>
      </c>
      <c r="V142" s="411">
        <v>5610000</v>
      </c>
      <c r="W142" s="397"/>
      <c r="X142" s="483">
        <v>178</v>
      </c>
      <c r="Y142" s="484">
        <v>44249</v>
      </c>
      <c r="Z142" s="484">
        <v>44249</v>
      </c>
      <c r="AA142" s="484">
        <v>44552</v>
      </c>
      <c r="AB142" s="485" t="s">
        <v>2575</v>
      </c>
      <c r="AC142" s="483">
        <v>114</v>
      </c>
      <c r="AD142" s="485">
        <v>53093666</v>
      </c>
      <c r="AE142" s="486" t="s">
        <v>2890</v>
      </c>
      <c r="AF142" s="473">
        <v>56100000</v>
      </c>
      <c r="AG142" s="474">
        <f t="shared" si="2"/>
        <v>0</v>
      </c>
      <c r="AJ142" s="475">
        <v>1309000</v>
      </c>
      <c r="AK142" s="475">
        <v>5610000</v>
      </c>
      <c r="AL142" s="475">
        <v>5610000</v>
      </c>
      <c r="AM142" s="306">
        <v>5610000</v>
      </c>
    </row>
    <row r="143" spans="1:39" s="312" customFormat="1" hidden="1" x14ac:dyDescent="0.25">
      <c r="A143" s="361" t="s">
        <v>2430</v>
      </c>
      <c r="B143" s="417">
        <v>81844800</v>
      </c>
      <c r="C143" s="312" t="s">
        <v>2571</v>
      </c>
      <c r="D143" s="312">
        <v>141</v>
      </c>
      <c r="E143" s="325">
        <v>20212000004063</v>
      </c>
      <c r="F143" s="315">
        <v>44228</v>
      </c>
      <c r="G143" s="325" t="s">
        <v>2565</v>
      </c>
      <c r="H143" s="312" t="s">
        <v>2566</v>
      </c>
      <c r="I143" s="312" t="s">
        <v>391</v>
      </c>
      <c r="J143" s="405">
        <v>76296000</v>
      </c>
      <c r="K143" s="312" t="s">
        <v>2636</v>
      </c>
      <c r="L143" s="312" t="s">
        <v>2637</v>
      </c>
      <c r="M143" s="312" t="s">
        <v>44</v>
      </c>
      <c r="N143" s="312" t="s">
        <v>45</v>
      </c>
      <c r="O143" s="312" t="s">
        <v>63</v>
      </c>
      <c r="P143" s="312" t="s">
        <v>676</v>
      </c>
      <c r="R143" s="312">
        <v>153</v>
      </c>
      <c r="S143" s="315">
        <v>44228</v>
      </c>
      <c r="T143" s="312" t="s">
        <v>2891</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x14ac:dyDescent="0.25">
      <c r="A144" s="476" t="s">
        <v>2431</v>
      </c>
      <c r="B144" s="477">
        <v>44319000</v>
      </c>
      <c r="C144" s="212" t="s">
        <v>2571</v>
      </c>
      <c r="D144" s="212">
        <v>142</v>
      </c>
      <c r="E144" s="478">
        <v>20212000004073</v>
      </c>
      <c r="F144" s="479">
        <v>44228</v>
      </c>
      <c r="G144" s="478" t="s">
        <v>2565</v>
      </c>
      <c r="H144" s="212" t="s">
        <v>2566</v>
      </c>
      <c r="I144" s="212" t="s">
        <v>391</v>
      </c>
      <c r="J144" s="475">
        <v>44319000</v>
      </c>
      <c r="K144" s="210" t="s">
        <v>2636</v>
      </c>
      <c r="L144" s="212" t="s">
        <v>2637</v>
      </c>
      <c r="M144" s="212" t="s">
        <v>44</v>
      </c>
      <c r="N144" s="212" t="s">
        <v>45</v>
      </c>
      <c r="O144" s="212" t="s">
        <v>63</v>
      </c>
      <c r="P144" s="212" t="s">
        <v>676</v>
      </c>
      <c r="R144" s="212">
        <v>154</v>
      </c>
      <c r="S144" s="479">
        <v>44228</v>
      </c>
      <c r="T144" s="212" t="s">
        <v>2892</v>
      </c>
      <c r="U144" s="475">
        <f>44319000-4029000</f>
        <v>40290000</v>
      </c>
      <c r="V144" s="411">
        <v>4029000</v>
      </c>
      <c r="W144" s="397"/>
      <c r="X144" s="483">
        <v>161</v>
      </c>
      <c r="Y144" s="484">
        <v>44245</v>
      </c>
      <c r="Z144" s="484">
        <v>44245</v>
      </c>
      <c r="AA144" s="484">
        <v>44548</v>
      </c>
      <c r="AB144" s="485" t="s">
        <v>2575</v>
      </c>
      <c r="AC144" s="483">
        <v>108</v>
      </c>
      <c r="AD144" s="485">
        <v>1020832710</v>
      </c>
      <c r="AE144" s="486" t="s">
        <v>2893</v>
      </c>
      <c r="AF144" s="473">
        <v>40290000</v>
      </c>
      <c r="AG144" s="474">
        <f t="shared" si="2"/>
        <v>0</v>
      </c>
      <c r="AJ144" s="475">
        <v>1343000</v>
      </c>
      <c r="AK144" s="475">
        <v>4029000</v>
      </c>
      <c r="AL144" s="475">
        <v>4029000</v>
      </c>
      <c r="AM144" s="306">
        <v>4029000</v>
      </c>
    </row>
    <row r="145" spans="1:39" hidden="1" x14ac:dyDescent="0.25">
      <c r="A145" s="476" t="s">
        <v>1920</v>
      </c>
      <c r="B145" s="477">
        <v>99000000</v>
      </c>
      <c r="C145" s="212" t="s">
        <v>2571</v>
      </c>
      <c r="D145" s="212">
        <v>143</v>
      </c>
      <c r="E145" s="478">
        <v>20212000004083</v>
      </c>
      <c r="F145" s="479">
        <v>44228</v>
      </c>
      <c r="G145" s="478" t="s">
        <v>2565</v>
      </c>
      <c r="H145" s="212" t="s">
        <v>2566</v>
      </c>
      <c r="I145" s="212" t="s">
        <v>391</v>
      </c>
      <c r="J145" s="475">
        <v>99000000</v>
      </c>
      <c r="K145" s="210" t="s">
        <v>2636</v>
      </c>
      <c r="L145" s="212" t="s">
        <v>2637</v>
      </c>
      <c r="M145" s="212" t="s">
        <v>44</v>
      </c>
      <c r="N145" s="212" t="s">
        <v>45</v>
      </c>
      <c r="O145" s="212" t="s">
        <v>63</v>
      </c>
      <c r="P145" s="212" t="s">
        <v>676</v>
      </c>
      <c r="R145" s="212">
        <v>155</v>
      </c>
      <c r="S145" s="479">
        <v>44228</v>
      </c>
      <c r="T145" s="212" t="s">
        <v>2894</v>
      </c>
      <c r="U145" s="475">
        <f>99000000-4500000</f>
        <v>94500000</v>
      </c>
      <c r="V145" s="411">
        <v>4500000</v>
      </c>
      <c r="W145" s="397"/>
      <c r="X145" s="483">
        <v>133</v>
      </c>
      <c r="Y145" s="484">
        <v>44242</v>
      </c>
      <c r="Z145" s="484">
        <v>44242</v>
      </c>
      <c r="AA145" s="484">
        <v>44561</v>
      </c>
      <c r="AB145" s="485" t="s">
        <v>2575</v>
      </c>
      <c r="AC145" s="483">
        <v>82</v>
      </c>
      <c r="AD145" s="485">
        <v>9430711</v>
      </c>
      <c r="AE145" s="486" t="s">
        <v>2895</v>
      </c>
      <c r="AF145" s="473">
        <v>94500000</v>
      </c>
      <c r="AG145" s="474">
        <f t="shared" si="2"/>
        <v>0</v>
      </c>
      <c r="AM145" s="212"/>
    </row>
    <row r="146" spans="1:39" hidden="1" x14ac:dyDescent="0.25">
      <c r="A146" s="476" t="s">
        <v>2316</v>
      </c>
      <c r="B146" s="477">
        <v>13926000</v>
      </c>
      <c r="C146" s="212" t="s">
        <v>2571</v>
      </c>
      <c r="D146" s="212">
        <v>144</v>
      </c>
      <c r="E146" s="478">
        <v>20213000003813</v>
      </c>
      <c r="F146" s="479">
        <v>44228</v>
      </c>
      <c r="G146" s="478" t="s">
        <v>2565</v>
      </c>
      <c r="H146" s="212" t="s">
        <v>2566</v>
      </c>
      <c r="I146" s="212" t="s">
        <v>432</v>
      </c>
      <c r="J146" s="475">
        <v>13926000</v>
      </c>
      <c r="K146" s="212" t="s">
        <v>358</v>
      </c>
      <c r="L146" s="212" t="s">
        <v>2716</v>
      </c>
      <c r="M146" s="212" t="s">
        <v>44</v>
      </c>
      <c r="N146" s="212" t="s">
        <v>45</v>
      </c>
      <c r="O146" s="212" t="s">
        <v>63</v>
      </c>
      <c r="P146" s="212" t="s">
        <v>676</v>
      </c>
      <c r="R146" s="212">
        <v>141</v>
      </c>
      <c r="S146" s="479">
        <v>44228</v>
      </c>
      <c r="T146" s="212" t="s">
        <v>2896</v>
      </c>
      <c r="U146" s="475">
        <v>13926000</v>
      </c>
      <c r="V146" s="406"/>
      <c r="W146" s="362"/>
      <c r="X146" s="483">
        <v>171</v>
      </c>
      <c r="Y146" s="484">
        <v>44246</v>
      </c>
      <c r="Z146" s="484">
        <v>44246</v>
      </c>
      <c r="AA146" s="484">
        <v>44427</v>
      </c>
      <c r="AB146" s="485" t="s">
        <v>2575</v>
      </c>
      <c r="AC146" s="483">
        <v>118</v>
      </c>
      <c r="AD146" s="485">
        <v>71332821</v>
      </c>
      <c r="AE146" s="486" t="s">
        <v>2897</v>
      </c>
      <c r="AF146" s="473">
        <v>13926000</v>
      </c>
      <c r="AG146" s="474">
        <f t="shared" si="2"/>
        <v>0</v>
      </c>
      <c r="AJ146" s="475">
        <v>541567</v>
      </c>
      <c r="AK146" s="475">
        <v>2321000</v>
      </c>
      <c r="AL146" s="475">
        <v>2321000</v>
      </c>
      <c r="AM146" s="306">
        <v>2321000</v>
      </c>
    </row>
    <row r="147" spans="1:39" hidden="1" x14ac:dyDescent="0.25">
      <c r="A147" s="476" t="s">
        <v>2066</v>
      </c>
      <c r="B147" s="477">
        <v>68000000</v>
      </c>
      <c r="C147" s="212" t="s">
        <v>2571</v>
      </c>
      <c r="D147" s="212">
        <v>145</v>
      </c>
      <c r="E147" s="478">
        <v>20213000003853</v>
      </c>
      <c r="F147" s="479">
        <v>44228</v>
      </c>
      <c r="G147" s="478" t="s">
        <v>2565</v>
      </c>
      <c r="H147" s="212" t="s">
        <v>2566</v>
      </c>
      <c r="I147" s="212" t="s">
        <v>432</v>
      </c>
      <c r="J147" s="475">
        <v>68000000</v>
      </c>
      <c r="K147" s="212" t="s">
        <v>358</v>
      </c>
      <c r="L147" s="212" t="s">
        <v>2716</v>
      </c>
      <c r="M147" s="212" t="s">
        <v>44</v>
      </c>
      <c r="N147" s="212" t="s">
        <v>45</v>
      </c>
      <c r="O147" s="212" t="s">
        <v>63</v>
      </c>
      <c r="P147" s="212" t="s">
        <v>676</v>
      </c>
      <c r="R147" s="212">
        <v>142</v>
      </c>
      <c r="S147" s="479">
        <v>44228</v>
      </c>
      <c r="T147" s="212" t="s">
        <v>2898</v>
      </c>
      <c r="U147" s="475">
        <v>68000000</v>
      </c>
      <c r="V147" s="406"/>
      <c r="W147" s="362"/>
      <c r="X147" s="308">
        <v>107</v>
      </c>
      <c r="Y147" s="484">
        <v>44236</v>
      </c>
      <c r="Z147" s="484">
        <v>44236</v>
      </c>
      <c r="AA147" s="484">
        <v>44478</v>
      </c>
      <c r="AB147" s="485" t="s">
        <v>2575</v>
      </c>
      <c r="AC147" s="211">
        <v>54</v>
      </c>
      <c r="AD147" s="487">
        <v>80053511</v>
      </c>
      <c r="AE147" s="486" t="s">
        <v>2899</v>
      </c>
      <c r="AF147" s="473">
        <v>68000000</v>
      </c>
      <c r="AG147" s="474">
        <f t="shared" si="2"/>
        <v>0</v>
      </c>
      <c r="AJ147" s="475">
        <v>5666667</v>
      </c>
      <c r="AK147" s="475">
        <v>8500000</v>
      </c>
      <c r="AL147" s="475">
        <v>8500000</v>
      </c>
      <c r="AM147" s="306">
        <v>8500000</v>
      </c>
    </row>
    <row r="148" spans="1:39" hidden="1" x14ac:dyDescent="0.25">
      <c r="A148" s="476" t="s">
        <v>2071</v>
      </c>
      <c r="B148" s="477">
        <v>39975144</v>
      </c>
      <c r="C148" s="212" t="s">
        <v>2571</v>
      </c>
      <c r="D148" s="212">
        <v>146</v>
      </c>
      <c r="E148" s="478">
        <v>20213000003883</v>
      </c>
      <c r="F148" s="479">
        <v>44228</v>
      </c>
      <c r="G148" s="478" t="s">
        <v>2565</v>
      </c>
      <c r="H148" s="212" t="s">
        <v>2566</v>
      </c>
      <c r="I148" s="212" t="s">
        <v>432</v>
      </c>
      <c r="J148" s="475">
        <v>39975144</v>
      </c>
      <c r="K148" s="212" t="s">
        <v>358</v>
      </c>
      <c r="L148" s="212" t="s">
        <v>2716</v>
      </c>
      <c r="M148" s="212" t="s">
        <v>44</v>
      </c>
      <c r="N148" s="212" t="s">
        <v>45</v>
      </c>
      <c r="O148" s="212" t="s">
        <v>63</v>
      </c>
      <c r="P148" s="212" t="s">
        <v>676</v>
      </c>
      <c r="R148" s="212">
        <v>143</v>
      </c>
      <c r="S148" s="479">
        <v>44228</v>
      </c>
      <c r="T148" s="212" t="s">
        <v>2900</v>
      </c>
      <c r="U148" s="475">
        <v>39975144</v>
      </c>
      <c r="V148" s="406"/>
      <c r="W148" s="362"/>
      <c r="X148" s="308">
        <v>103</v>
      </c>
      <c r="Y148" s="484">
        <v>44236</v>
      </c>
      <c r="Z148" s="484">
        <v>44236</v>
      </c>
      <c r="AA148" s="484">
        <v>44478</v>
      </c>
      <c r="AB148" s="485" t="s">
        <v>2575</v>
      </c>
      <c r="AC148" s="211">
        <v>56</v>
      </c>
      <c r="AD148" s="487">
        <v>1014215801</v>
      </c>
      <c r="AE148" s="486" t="s">
        <v>2901</v>
      </c>
      <c r="AF148" s="473">
        <v>39975144</v>
      </c>
      <c r="AG148" s="474">
        <f t="shared" si="2"/>
        <v>0</v>
      </c>
      <c r="AJ148" s="475">
        <v>3164699</v>
      </c>
      <c r="AK148" s="475">
        <v>4996893</v>
      </c>
      <c r="AL148" s="475">
        <v>4996893</v>
      </c>
      <c r="AM148" s="306">
        <v>4996893</v>
      </c>
    </row>
    <row r="149" spans="1:39" hidden="1" x14ac:dyDescent="0.25">
      <c r="A149" s="476" t="s">
        <v>2902</v>
      </c>
      <c r="B149" s="477">
        <v>12000000</v>
      </c>
      <c r="C149" s="212" t="s">
        <v>2571</v>
      </c>
      <c r="D149" s="212">
        <v>147</v>
      </c>
      <c r="E149" s="478">
        <v>20213000003903</v>
      </c>
      <c r="F149" s="479">
        <v>44228</v>
      </c>
      <c r="G149" s="478" t="s">
        <v>2565</v>
      </c>
      <c r="H149" s="212" t="s">
        <v>2566</v>
      </c>
      <c r="I149" s="212" t="s">
        <v>432</v>
      </c>
      <c r="J149" s="475">
        <v>12000000</v>
      </c>
      <c r="K149" s="212" t="s">
        <v>358</v>
      </c>
      <c r="L149" s="212" t="s">
        <v>2716</v>
      </c>
      <c r="M149" s="212" t="s">
        <v>44</v>
      </c>
      <c r="N149" s="212" t="s">
        <v>45</v>
      </c>
      <c r="O149" s="212" t="s">
        <v>63</v>
      </c>
      <c r="P149" s="212" t="s">
        <v>676</v>
      </c>
      <c r="R149" s="212">
        <v>144</v>
      </c>
      <c r="S149" s="479">
        <v>44228</v>
      </c>
      <c r="T149" s="212" t="s">
        <v>2903</v>
      </c>
      <c r="U149" s="475">
        <v>12000000</v>
      </c>
      <c r="V149" s="406"/>
      <c r="W149" s="362"/>
      <c r="X149" s="308">
        <v>99</v>
      </c>
      <c r="Y149" s="484">
        <v>44236</v>
      </c>
      <c r="Z149" s="484">
        <v>44236</v>
      </c>
      <c r="AA149" s="484">
        <v>44356</v>
      </c>
      <c r="AB149" s="485" t="s">
        <v>2575</v>
      </c>
      <c r="AC149" s="211">
        <v>60</v>
      </c>
      <c r="AD149" s="487">
        <v>1033777087</v>
      </c>
      <c r="AE149" s="486" t="s">
        <v>2904</v>
      </c>
      <c r="AF149" s="473">
        <v>12000000</v>
      </c>
      <c r="AG149" s="474">
        <f t="shared" si="2"/>
        <v>0</v>
      </c>
      <c r="AJ149" s="475">
        <v>2000000</v>
      </c>
      <c r="AK149" s="475">
        <v>3000000</v>
      </c>
      <c r="AL149" s="475">
        <v>3000000</v>
      </c>
      <c r="AM149" s="306">
        <v>3000000</v>
      </c>
    </row>
    <row r="150" spans="1:39" hidden="1" x14ac:dyDescent="0.25">
      <c r="A150" s="476" t="s">
        <v>2074</v>
      </c>
      <c r="B150" s="477">
        <v>16353468</v>
      </c>
      <c r="C150" s="212" t="s">
        <v>2571</v>
      </c>
      <c r="D150" s="212">
        <v>148</v>
      </c>
      <c r="E150" s="478">
        <v>20213000003933</v>
      </c>
      <c r="F150" s="479">
        <v>44228</v>
      </c>
      <c r="G150" s="478" t="s">
        <v>2565</v>
      </c>
      <c r="H150" s="212" t="s">
        <v>2566</v>
      </c>
      <c r="I150" s="212" t="s">
        <v>432</v>
      </c>
      <c r="J150" s="475">
        <v>16353468</v>
      </c>
      <c r="K150" s="212" t="s">
        <v>358</v>
      </c>
      <c r="L150" s="212" t="s">
        <v>2716</v>
      </c>
      <c r="M150" s="212" t="s">
        <v>44</v>
      </c>
      <c r="N150" s="212" t="s">
        <v>45</v>
      </c>
      <c r="O150" s="212" t="s">
        <v>63</v>
      </c>
      <c r="P150" s="212" t="s">
        <v>676</v>
      </c>
      <c r="R150" s="212">
        <v>145</v>
      </c>
      <c r="S150" s="479">
        <v>44228</v>
      </c>
      <c r="T150" s="212" t="s">
        <v>2905</v>
      </c>
      <c r="U150" s="475">
        <v>16353468</v>
      </c>
      <c r="V150" s="406"/>
      <c r="W150" s="362"/>
      <c r="X150" s="308">
        <v>100</v>
      </c>
      <c r="Y150" s="484">
        <v>44236</v>
      </c>
      <c r="Z150" s="484">
        <v>44236</v>
      </c>
      <c r="AA150" s="484">
        <v>44356</v>
      </c>
      <c r="AB150" s="485" t="s">
        <v>2575</v>
      </c>
      <c r="AC150" s="211">
        <v>63</v>
      </c>
      <c r="AD150" s="487">
        <v>1133929197</v>
      </c>
      <c r="AE150" s="486" t="s">
        <v>2906</v>
      </c>
      <c r="AF150" s="473">
        <v>16353468</v>
      </c>
      <c r="AG150" s="474">
        <f t="shared" si="2"/>
        <v>0</v>
      </c>
      <c r="AJ150" s="475">
        <v>2725578</v>
      </c>
      <c r="AK150" s="475">
        <v>4088367</v>
      </c>
      <c r="AL150" s="475">
        <v>4088367</v>
      </c>
      <c r="AM150" s="306">
        <v>4088367</v>
      </c>
    </row>
    <row r="151" spans="1:39" hidden="1" x14ac:dyDescent="0.25">
      <c r="A151" s="476" t="s">
        <v>2072</v>
      </c>
      <c r="B151" s="477">
        <v>64000000</v>
      </c>
      <c r="C151" s="212" t="s">
        <v>2571</v>
      </c>
      <c r="D151" s="212">
        <v>149</v>
      </c>
      <c r="E151" s="478">
        <v>20213000003943</v>
      </c>
      <c r="F151" s="479">
        <v>44228</v>
      </c>
      <c r="G151" s="478" t="s">
        <v>2565</v>
      </c>
      <c r="H151" s="212" t="s">
        <v>2566</v>
      </c>
      <c r="I151" s="212" t="s">
        <v>432</v>
      </c>
      <c r="J151" s="475">
        <v>64000000</v>
      </c>
      <c r="K151" s="212" t="s">
        <v>358</v>
      </c>
      <c r="L151" s="212" t="s">
        <v>2716</v>
      </c>
      <c r="M151" s="212" t="s">
        <v>44</v>
      </c>
      <c r="N151" s="212" t="s">
        <v>45</v>
      </c>
      <c r="O151" s="212" t="s">
        <v>63</v>
      </c>
      <c r="P151" s="212" t="s">
        <v>676</v>
      </c>
      <c r="R151" s="212">
        <v>146</v>
      </c>
      <c r="S151" s="479">
        <v>44228</v>
      </c>
      <c r="T151" s="212" t="s">
        <v>2907</v>
      </c>
      <c r="U151" s="475">
        <v>64000000</v>
      </c>
      <c r="V151" s="406"/>
      <c r="W151" s="362"/>
      <c r="X151" s="483">
        <v>157</v>
      </c>
      <c r="Y151" s="484">
        <v>44245</v>
      </c>
      <c r="Z151" s="484">
        <v>44245</v>
      </c>
      <c r="AA151" s="484">
        <v>44487</v>
      </c>
      <c r="AB151" s="485" t="s">
        <v>2575</v>
      </c>
      <c r="AC151" s="483">
        <v>104</v>
      </c>
      <c r="AD151" s="485">
        <v>1020714204</v>
      </c>
      <c r="AE151" s="486" t="s">
        <v>2908</v>
      </c>
      <c r="AF151" s="473">
        <v>64000000</v>
      </c>
      <c r="AG151" s="474">
        <f t="shared" si="2"/>
        <v>0</v>
      </c>
      <c r="AJ151" s="475">
        <v>2933333</v>
      </c>
      <c r="AK151" s="475">
        <v>8000000</v>
      </c>
      <c r="AL151" s="475">
        <v>8000000</v>
      </c>
      <c r="AM151" s="306">
        <v>8000000</v>
      </c>
    </row>
    <row r="152" spans="1:39" hidden="1" x14ac:dyDescent="0.25">
      <c r="A152" s="476" t="s">
        <v>2031</v>
      </c>
      <c r="B152" s="477">
        <v>39975144</v>
      </c>
      <c r="C152" s="212" t="s">
        <v>2571</v>
      </c>
      <c r="D152" s="212">
        <v>150</v>
      </c>
      <c r="E152" s="478">
        <v>20213000003963</v>
      </c>
      <c r="F152" s="479">
        <v>44228</v>
      </c>
      <c r="G152" s="478" t="s">
        <v>2565</v>
      </c>
      <c r="H152" s="212" t="s">
        <v>2566</v>
      </c>
      <c r="I152" s="212" t="s">
        <v>432</v>
      </c>
      <c r="J152" s="475">
        <v>39975144</v>
      </c>
      <c r="K152" s="212" t="s">
        <v>358</v>
      </c>
      <c r="L152" s="212" t="s">
        <v>2716</v>
      </c>
      <c r="M152" s="212" t="s">
        <v>44</v>
      </c>
      <c r="N152" s="212" t="s">
        <v>45</v>
      </c>
      <c r="O152" s="212" t="s">
        <v>63</v>
      </c>
      <c r="P152" s="212" t="s">
        <v>676</v>
      </c>
      <c r="R152" s="212">
        <v>147</v>
      </c>
      <c r="S152" s="479">
        <v>44228</v>
      </c>
      <c r="T152" s="212" t="s">
        <v>2909</v>
      </c>
      <c r="U152" s="475">
        <v>39975144</v>
      </c>
      <c r="V152" s="406"/>
      <c r="W152" s="362"/>
      <c r="X152" s="483">
        <v>187</v>
      </c>
      <c r="Y152" s="484">
        <v>44251</v>
      </c>
      <c r="Z152" s="484">
        <v>44251</v>
      </c>
      <c r="AA152" s="484">
        <v>44493</v>
      </c>
      <c r="AB152" s="485" t="s">
        <v>2575</v>
      </c>
      <c r="AC152" s="483">
        <v>128</v>
      </c>
      <c r="AD152" s="485">
        <v>52157159</v>
      </c>
      <c r="AE152" s="486" t="s">
        <v>2910</v>
      </c>
      <c r="AF152" s="473">
        <v>39975144</v>
      </c>
      <c r="AG152" s="474">
        <f t="shared" si="2"/>
        <v>0</v>
      </c>
      <c r="AK152" s="475">
        <v>5663145</v>
      </c>
      <c r="AL152" s="475">
        <v>4996893</v>
      </c>
      <c r="AM152" s="306">
        <v>4996893</v>
      </c>
    </row>
    <row r="153" spans="1:39" hidden="1" x14ac:dyDescent="0.25">
      <c r="A153" s="476" t="s">
        <v>2032</v>
      </c>
      <c r="B153" s="477">
        <v>40883670</v>
      </c>
      <c r="C153" s="212" t="s">
        <v>2571</v>
      </c>
      <c r="D153" s="212">
        <v>151</v>
      </c>
      <c r="E153" s="478">
        <v>20213000003973</v>
      </c>
      <c r="F153" s="479">
        <v>44228</v>
      </c>
      <c r="G153" s="478" t="s">
        <v>2565</v>
      </c>
      <c r="H153" s="212" t="s">
        <v>2566</v>
      </c>
      <c r="I153" s="212" t="s">
        <v>432</v>
      </c>
      <c r="J153" s="475">
        <v>40883670</v>
      </c>
      <c r="K153" s="212" t="s">
        <v>358</v>
      </c>
      <c r="L153" s="212" t="s">
        <v>2716</v>
      </c>
      <c r="M153" s="212" t="s">
        <v>44</v>
      </c>
      <c r="N153" s="212" t="s">
        <v>45</v>
      </c>
      <c r="O153" s="212" t="s">
        <v>63</v>
      </c>
      <c r="P153" s="212" t="s">
        <v>676</v>
      </c>
      <c r="R153" s="212">
        <v>148</v>
      </c>
      <c r="S153" s="479">
        <v>44228</v>
      </c>
      <c r="T153" s="212" t="s">
        <v>2911</v>
      </c>
      <c r="U153" s="475">
        <v>40883670</v>
      </c>
      <c r="V153" s="406"/>
      <c r="W153" s="362"/>
      <c r="X153" s="308">
        <v>94</v>
      </c>
      <c r="Y153" s="484">
        <v>44235</v>
      </c>
      <c r="Z153" s="484">
        <v>44235</v>
      </c>
      <c r="AA153" s="484">
        <v>44538</v>
      </c>
      <c r="AB153" s="485" t="s">
        <v>2575</v>
      </c>
      <c r="AC153" s="211">
        <v>57</v>
      </c>
      <c r="AD153" s="487">
        <v>1019124435</v>
      </c>
      <c r="AE153" s="486" t="s">
        <v>2912</v>
      </c>
      <c r="AF153" s="473">
        <v>40883670</v>
      </c>
      <c r="AG153" s="474">
        <f t="shared" si="2"/>
        <v>0</v>
      </c>
      <c r="AJ153" s="475">
        <v>2861857</v>
      </c>
      <c r="AK153" s="475">
        <v>4088367</v>
      </c>
      <c r="AL153" s="475">
        <v>4088367</v>
      </c>
      <c r="AM153" s="306">
        <v>4088367</v>
      </c>
    </row>
    <row r="154" spans="1:39" hidden="1" x14ac:dyDescent="0.25">
      <c r="A154" s="476" t="s">
        <v>2913</v>
      </c>
      <c r="B154" s="477">
        <v>60282833</v>
      </c>
      <c r="C154" s="212" t="s">
        <v>2571</v>
      </c>
      <c r="D154" s="212">
        <v>152</v>
      </c>
      <c r="E154" s="478">
        <v>20214000004313</v>
      </c>
      <c r="F154" s="479">
        <v>44228</v>
      </c>
      <c r="G154" s="478" t="s">
        <v>2598</v>
      </c>
      <c r="H154" s="212" t="s">
        <v>2599</v>
      </c>
      <c r="I154" s="212" t="s">
        <v>117</v>
      </c>
      <c r="J154" s="475">
        <v>51345000</v>
      </c>
      <c r="K154" s="212" t="s">
        <v>112</v>
      </c>
      <c r="L154" s="212" t="s">
        <v>2600</v>
      </c>
      <c r="M154" s="212" t="s">
        <v>44</v>
      </c>
      <c r="N154" s="212" t="s">
        <v>45</v>
      </c>
      <c r="O154" s="212" t="s">
        <v>63</v>
      </c>
      <c r="P154" s="212" t="s">
        <v>43</v>
      </c>
      <c r="R154" s="212">
        <v>156</v>
      </c>
      <c r="S154" s="479">
        <v>44228</v>
      </c>
      <c r="T154" s="212" t="s">
        <v>2914</v>
      </c>
      <c r="U154" s="475">
        <v>51345000</v>
      </c>
      <c r="V154" s="406"/>
      <c r="W154" s="362"/>
      <c r="X154" s="483">
        <v>177</v>
      </c>
      <c r="Y154" s="484">
        <v>44249</v>
      </c>
      <c r="Z154" s="484">
        <v>44249</v>
      </c>
      <c r="AA154" s="484">
        <v>44522</v>
      </c>
      <c r="AB154" s="485" t="s">
        <v>2575</v>
      </c>
      <c r="AC154" s="483">
        <v>115</v>
      </c>
      <c r="AD154" s="485">
        <v>1022381682</v>
      </c>
      <c r="AE154" s="486" t="s">
        <v>2915</v>
      </c>
      <c r="AF154" s="473">
        <v>51345000</v>
      </c>
      <c r="AG154" s="474">
        <f t="shared" si="2"/>
        <v>0</v>
      </c>
      <c r="AK154" s="475">
        <f>1101400+5705000</f>
        <v>6806400</v>
      </c>
      <c r="AL154" s="475">
        <v>5705000</v>
      </c>
      <c r="AM154" s="306">
        <v>5705000</v>
      </c>
    </row>
    <row r="155" spans="1:39" hidden="1" x14ac:dyDescent="0.25">
      <c r="A155" s="476" t="s">
        <v>2916</v>
      </c>
      <c r="B155" s="477">
        <v>52833333</v>
      </c>
      <c r="C155" s="212" t="s">
        <v>2571</v>
      </c>
      <c r="D155" s="212">
        <v>153</v>
      </c>
      <c r="E155" s="478">
        <v>20214000004323</v>
      </c>
      <c r="F155" s="479">
        <v>44228</v>
      </c>
      <c r="G155" s="478" t="s">
        <v>2598</v>
      </c>
      <c r="H155" s="212" t="s">
        <v>2599</v>
      </c>
      <c r="I155" s="212" t="s">
        <v>117</v>
      </c>
      <c r="J155" s="475">
        <v>45000000</v>
      </c>
      <c r="K155" s="212" t="s">
        <v>112</v>
      </c>
      <c r="L155" s="212" t="s">
        <v>2600</v>
      </c>
      <c r="M155" s="212" t="s">
        <v>44</v>
      </c>
      <c r="N155" s="212" t="s">
        <v>45</v>
      </c>
      <c r="O155" s="212" t="s">
        <v>63</v>
      </c>
      <c r="P155" s="212" t="s">
        <v>43</v>
      </c>
      <c r="R155" s="212">
        <v>157</v>
      </c>
      <c r="S155" s="479">
        <v>44228</v>
      </c>
      <c r="T155" s="212" t="s">
        <v>2917</v>
      </c>
      <c r="U155" s="475">
        <v>45000000</v>
      </c>
      <c r="V155" s="406"/>
      <c r="W155" s="362"/>
      <c r="X155" s="483">
        <v>151</v>
      </c>
      <c r="Y155" s="484">
        <v>44244</v>
      </c>
      <c r="Z155" s="484">
        <v>44244</v>
      </c>
      <c r="AA155" s="484">
        <v>44517</v>
      </c>
      <c r="AB155" s="485" t="s">
        <v>2575</v>
      </c>
      <c r="AC155" s="483">
        <v>96</v>
      </c>
      <c r="AD155" s="485">
        <v>1012370019</v>
      </c>
      <c r="AE155" s="486" t="s">
        <v>2918</v>
      </c>
      <c r="AF155" s="473">
        <v>45000000</v>
      </c>
      <c r="AG155" s="474">
        <f t="shared" si="2"/>
        <v>0</v>
      </c>
      <c r="AK155" s="475">
        <f>2000000+5000000</f>
        <v>7000000</v>
      </c>
      <c r="AL155" s="475">
        <v>5000000</v>
      </c>
      <c r="AM155" s="212"/>
    </row>
    <row r="156" spans="1:39" hidden="1" x14ac:dyDescent="0.25">
      <c r="A156" s="476" t="s">
        <v>2919</v>
      </c>
      <c r="B156" s="477">
        <v>28700000</v>
      </c>
      <c r="C156" s="212" t="s">
        <v>2571</v>
      </c>
      <c r="D156" s="212">
        <v>154</v>
      </c>
      <c r="E156" s="478">
        <v>20214000004333</v>
      </c>
      <c r="F156" s="479">
        <v>44228</v>
      </c>
      <c r="G156" s="478" t="s">
        <v>2605</v>
      </c>
      <c r="H156" s="212" t="s">
        <v>2606</v>
      </c>
      <c r="I156" s="212" t="s">
        <v>47</v>
      </c>
      <c r="J156" s="475">
        <v>27000000</v>
      </c>
      <c r="K156" s="212" t="s">
        <v>37</v>
      </c>
      <c r="L156" s="212" t="s">
        <v>2607</v>
      </c>
      <c r="M156" s="212" t="s">
        <v>44</v>
      </c>
      <c r="N156" s="212" t="s">
        <v>45</v>
      </c>
      <c r="O156" s="212" t="s">
        <v>310</v>
      </c>
      <c r="P156" s="212" t="s">
        <v>43</v>
      </c>
      <c r="R156" s="212">
        <v>158</v>
      </c>
      <c r="S156" s="479">
        <v>44228</v>
      </c>
      <c r="T156" s="212" t="s">
        <v>2920</v>
      </c>
      <c r="U156" s="475">
        <v>27000000</v>
      </c>
      <c r="V156" s="406"/>
      <c r="W156" s="362"/>
      <c r="X156" s="483">
        <v>189</v>
      </c>
      <c r="Y156" s="484">
        <v>44252</v>
      </c>
      <c r="Z156" s="484">
        <v>44252</v>
      </c>
      <c r="AA156" s="484">
        <v>44525</v>
      </c>
      <c r="AB156" s="485" t="s">
        <v>2575</v>
      </c>
      <c r="AC156" s="483">
        <v>126</v>
      </c>
      <c r="AD156" s="485">
        <v>1014249184</v>
      </c>
      <c r="AE156" s="486" t="s">
        <v>2921</v>
      </c>
      <c r="AF156" s="473">
        <v>27000000</v>
      </c>
      <c r="AG156" s="474">
        <f t="shared" si="2"/>
        <v>0</v>
      </c>
      <c r="AL156" s="475">
        <v>3400000</v>
      </c>
      <c r="AM156" s="306">
        <v>3000000</v>
      </c>
    </row>
    <row r="157" spans="1:39" hidden="1" x14ac:dyDescent="0.25">
      <c r="A157" s="476" t="s">
        <v>2409</v>
      </c>
      <c r="B157" s="477">
        <v>54965093</v>
      </c>
      <c r="C157" s="212" t="s">
        <v>2571</v>
      </c>
      <c r="D157" s="212">
        <v>155</v>
      </c>
      <c r="E157" s="478">
        <v>20214000004343</v>
      </c>
      <c r="F157" s="479">
        <v>44228</v>
      </c>
      <c r="G157" s="478" t="s">
        <v>2605</v>
      </c>
      <c r="H157" s="212" t="s">
        <v>2606</v>
      </c>
      <c r="I157" s="212" t="s">
        <v>47</v>
      </c>
      <c r="J157" s="475">
        <v>51345000</v>
      </c>
      <c r="K157" s="212" t="s">
        <v>37</v>
      </c>
      <c r="L157" s="212" t="s">
        <v>2607</v>
      </c>
      <c r="M157" s="212" t="s">
        <v>44</v>
      </c>
      <c r="N157" s="212" t="s">
        <v>45</v>
      </c>
      <c r="O157" s="212" t="s">
        <v>310</v>
      </c>
      <c r="P157" s="212" t="s">
        <v>43</v>
      </c>
      <c r="R157" s="212">
        <v>159</v>
      </c>
      <c r="S157" s="479">
        <v>44228</v>
      </c>
      <c r="T157" s="212" t="s">
        <v>2922</v>
      </c>
      <c r="U157" s="475">
        <v>51345000</v>
      </c>
      <c r="V157" s="406"/>
      <c r="W157" s="362"/>
      <c r="X157" s="483">
        <v>142</v>
      </c>
      <c r="Y157" s="484">
        <v>44243</v>
      </c>
      <c r="Z157" s="484">
        <v>44243</v>
      </c>
      <c r="AA157" s="484">
        <v>44516</v>
      </c>
      <c r="AB157" s="485" t="s">
        <v>2575</v>
      </c>
      <c r="AC157" s="483">
        <v>94</v>
      </c>
      <c r="AD157" s="485">
        <v>1026270734</v>
      </c>
      <c r="AE157" s="486" t="s">
        <v>2923</v>
      </c>
      <c r="AF157" s="473">
        <v>51345000</v>
      </c>
      <c r="AG157" s="474">
        <f t="shared" si="2"/>
        <v>0</v>
      </c>
      <c r="AJ157" s="475">
        <v>2472167</v>
      </c>
      <c r="AK157" s="475">
        <v>5705000</v>
      </c>
      <c r="AL157" s="475">
        <v>5705000</v>
      </c>
      <c r="AM157" s="306">
        <v>5705000</v>
      </c>
    </row>
    <row r="158" spans="1:39" hidden="1" x14ac:dyDescent="0.25">
      <c r="A158" s="476" t="s">
        <v>2924</v>
      </c>
      <c r="B158" s="477">
        <v>5940000</v>
      </c>
      <c r="C158" s="212" t="s">
        <v>2571</v>
      </c>
      <c r="D158" s="212">
        <v>156</v>
      </c>
      <c r="E158" s="478">
        <v>20214000004353</v>
      </c>
      <c r="F158" s="479">
        <v>44228</v>
      </c>
      <c r="G158" s="478" t="s">
        <v>2605</v>
      </c>
      <c r="H158" s="212" t="s">
        <v>2606</v>
      </c>
      <c r="I158" s="212" t="s">
        <v>47</v>
      </c>
      <c r="J158" s="475">
        <v>5940000</v>
      </c>
      <c r="K158" s="212" t="s">
        <v>37</v>
      </c>
      <c r="L158" s="212" t="s">
        <v>2607</v>
      </c>
      <c r="M158" s="212" t="s">
        <v>44</v>
      </c>
      <c r="N158" s="212" t="s">
        <v>45</v>
      </c>
      <c r="O158" s="212" t="s">
        <v>310</v>
      </c>
      <c r="P158" s="212" t="s">
        <v>43</v>
      </c>
      <c r="R158" s="212">
        <v>160</v>
      </c>
      <c r="S158" s="479">
        <v>44228</v>
      </c>
      <c r="T158" s="212" t="s">
        <v>2925</v>
      </c>
      <c r="U158" s="475">
        <v>5940000</v>
      </c>
      <c r="V158" s="406"/>
      <c r="W158" s="362"/>
      <c r="X158" s="483">
        <v>119</v>
      </c>
      <c r="Y158" s="484">
        <v>44238</v>
      </c>
      <c r="Z158" s="484">
        <v>44238</v>
      </c>
      <c r="AA158" s="484">
        <v>44511</v>
      </c>
      <c r="AB158" s="485" t="s">
        <v>2575</v>
      </c>
      <c r="AC158" s="211">
        <v>69</v>
      </c>
      <c r="AD158" s="485">
        <v>1118550734</v>
      </c>
      <c r="AE158" s="486" t="s">
        <v>2926</v>
      </c>
      <c r="AF158" s="473">
        <v>5940000</v>
      </c>
      <c r="AG158" s="474">
        <f t="shared" si="2"/>
        <v>0</v>
      </c>
      <c r="AJ158" s="475">
        <v>396000</v>
      </c>
      <c r="AK158" s="475">
        <v>660000</v>
      </c>
      <c r="AL158" s="475">
        <v>660000</v>
      </c>
      <c r="AM158" s="306">
        <v>660000</v>
      </c>
    </row>
    <row r="159" spans="1:39" hidden="1" x14ac:dyDescent="0.25">
      <c r="A159" s="476" t="s">
        <v>2924</v>
      </c>
      <c r="B159" s="477">
        <v>53460000</v>
      </c>
      <c r="C159" s="212" t="s">
        <v>2571</v>
      </c>
      <c r="D159" s="212">
        <v>156</v>
      </c>
      <c r="E159" s="478">
        <v>20214000004353</v>
      </c>
      <c r="F159" s="479">
        <v>44228</v>
      </c>
      <c r="G159" s="478" t="s">
        <v>2598</v>
      </c>
      <c r="H159" s="212" t="s">
        <v>2599</v>
      </c>
      <c r="I159" s="212" t="s">
        <v>117</v>
      </c>
      <c r="J159" s="475">
        <v>43560000</v>
      </c>
      <c r="K159" s="212" t="s">
        <v>112</v>
      </c>
      <c r="L159" s="212" t="s">
        <v>2600</v>
      </c>
      <c r="M159" s="212" t="s">
        <v>44</v>
      </c>
      <c r="N159" s="212" t="s">
        <v>45</v>
      </c>
      <c r="O159" s="212" t="s">
        <v>63</v>
      </c>
      <c r="P159" s="212" t="s">
        <v>43</v>
      </c>
      <c r="R159" s="329">
        <v>160</v>
      </c>
      <c r="S159" s="479">
        <v>44228</v>
      </c>
      <c r="T159" s="212" t="s">
        <v>2925</v>
      </c>
      <c r="U159" s="475">
        <v>43560000</v>
      </c>
      <c r="V159" s="406"/>
      <c r="W159" s="362"/>
      <c r="X159" s="483">
        <v>119</v>
      </c>
      <c r="Y159" s="484">
        <v>44238</v>
      </c>
      <c r="Z159" s="484">
        <v>44238</v>
      </c>
      <c r="AA159" s="484">
        <v>44511</v>
      </c>
      <c r="AB159" s="485" t="s">
        <v>2575</v>
      </c>
      <c r="AC159" s="211">
        <v>69</v>
      </c>
      <c r="AD159" s="485">
        <v>1118550734</v>
      </c>
      <c r="AE159" s="486" t="s">
        <v>2926</v>
      </c>
      <c r="AF159" s="473">
        <v>43560000</v>
      </c>
      <c r="AG159" s="474">
        <f t="shared" si="2"/>
        <v>0</v>
      </c>
      <c r="AJ159" s="496">
        <v>2904000</v>
      </c>
      <c r="AK159" s="475">
        <v>4840000</v>
      </c>
      <c r="AL159" s="475">
        <v>4840000</v>
      </c>
      <c r="AM159" s="306">
        <v>4840000</v>
      </c>
    </row>
    <row r="160" spans="1:39" hidden="1" x14ac:dyDescent="0.25">
      <c r="A160" s="476" t="s">
        <v>2408</v>
      </c>
      <c r="B160" s="477">
        <v>82500000</v>
      </c>
      <c r="C160" s="212" t="s">
        <v>2571</v>
      </c>
      <c r="D160" s="212">
        <v>157</v>
      </c>
      <c r="E160" s="478">
        <v>20214000004373</v>
      </c>
      <c r="F160" s="479">
        <v>44228</v>
      </c>
      <c r="G160" s="478" t="s">
        <v>2605</v>
      </c>
      <c r="H160" s="212" t="s">
        <v>2606</v>
      </c>
      <c r="I160" s="212" t="s">
        <v>47</v>
      </c>
      <c r="J160" s="475">
        <v>67500000</v>
      </c>
      <c r="K160" s="212" t="s">
        <v>37</v>
      </c>
      <c r="L160" s="212" t="s">
        <v>2607</v>
      </c>
      <c r="M160" s="212" t="s">
        <v>44</v>
      </c>
      <c r="N160" s="212" t="s">
        <v>45</v>
      </c>
      <c r="O160" s="212" t="s">
        <v>310</v>
      </c>
      <c r="P160" s="212" t="s">
        <v>43</v>
      </c>
      <c r="R160" s="212">
        <v>161</v>
      </c>
      <c r="S160" s="479">
        <v>44228</v>
      </c>
      <c r="T160" s="212" t="s">
        <v>2927</v>
      </c>
      <c r="U160" s="475">
        <v>67500000</v>
      </c>
      <c r="V160" s="406"/>
      <c r="W160" s="362"/>
      <c r="X160" s="308">
        <v>98</v>
      </c>
      <c r="Y160" s="484">
        <v>44236</v>
      </c>
      <c r="Z160" s="484">
        <v>44236</v>
      </c>
      <c r="AA160" s="484">
        <v>44509</v>
      </c>
      <c r="AB160" s="485" t="s">
        <v>2575</v>
      </c>
      <c r="AC160" s="211">
        <v>59</v>
      </c>
      <c r="AD160" s="487">
        <v>52975379</v>
      </c>
      <c r="AE160" s="486" t="s">
        <v>2928</v>
      </c>
      <c r="AF160" s="473">
        <v>67500000</v>
      </c>
      <c r="AG160" s="474">
        <f t="shared" si="2"/>
        <v>0</v>
      </c>
      <c r="AJ160" s="475">
        <v>5000000</v>
      </c>
      <c r="AK160" s="475">
        <v>7500000</v>
      </c>
      <c r="AL160" s="475">
        <v>7500000</v>
      </c>
      <c r="AM160" s="306">
        <v>7500000</v>
      </c>
    </row>
    <row r="161" spans="1:39" hidden="1" x14ac:dyDescent="0.25">
      <c r="A161" s="476" t="s">
        <v>2929</v>
      </c>
      <c r="B161" s="477">
        <v>6000000</v>
      </c>
      <c r="C161" s="212" t="s">
        <v>2571</v>
      </c>
      <c r="D161" s="212">
        <v>158</v>
      </c>
      <c r="E161" s="478">
        <v>20214000004383</v>
      </c>
      <c r="F161" s="479">
        <v>44228</v>
      </c>
      <c r="G161" s="478" t="s">
        <v>2605</v>
      </c>
      <c r="H161" s="212" t="s">
        <v>2606</v>
      </c>
      <c r="I161" s="212" t="s">
        <v>47</v>
      </c>
      <c r="J161" s="475">
        <v>6000000</v>
      </c>
      <c r="K161" s="212" t="s">
        <v>37</v>
      </c>
      <c r="L161" s="212" t="s">
        <v>2607</v>
      </c>
      <c r="M161" s="212" t="s">
        <v>44</v>
      </c>
      <c r="N161" s="212" t="s">
        <v>45</v>
      </c>
      <c r="O161" s="212" t="s">
        <v>310</v>
      </c>
      <c r="P161" s="212" t="s">
        <v>43</v>
      </c>
      <c r="R161" s="212">
        <v>162</v>
      </c>
      <c r="S161" s="479">
        <v>44228</v>
      </c>
      <c r="T161" s="212" t="s">
        <v>2930</v>
      </c>
      <c r="U161" s="475">
        <v>6000000</v>
      </c>
      <c r="V161" s="406"/>
      <c r="W161" s="362"/>
      <c r="X161" s="308">
        <v>114</v>
      </c>
      <c r="Y161" s="484">
        <v>44237</v>
      </c>
      <c r="Z161" s="484">
        <v>44237</v>
      </c>
      <c r="AA161" s="484">
        <v>44510</v>
      </c>
      <c r="AB161" s="485" t="s">
        <v>2575</v>
      </c>
      <c r="AC161" s="211">
        <v>64</v>
      </c>
      <c r="AD161" s="487">
        <v>79316274</v>
      </c>
      <c r="AE161" s="486" t="s">
        <v>2931</v>
      </c>
      <c r="AF161" s="473">
        <v>6000000</v>
      </c>
      <c r="AG161" s="474">
        <f t="shared" si="2"/>
        <v>0</v>
      </c>
      <c r="AJ161" s="475">
        <v>422222</v>
      </c>
      <c r="AK161" s="475">
        <v>666667</v>
      </c>
      <c r="AL161" s="475">
        <v>666667</v>
      </c>
      <c r="AM161" s="306">
        <v>666667</v>
      </c>
    </row>
    <row r="162" spans="1:39" hidden="1" x14ac:dyDescent="0.25">
      <c r="A162" s="476" t="s">
        <v>2929</v>
      </c>
      <c r="B162" s="477">
        <v>54000000</v>
      </c>
      <c r="C162" s="212" t="s">
        <v>2571</v>
      </c>
      <c r="D162" s="212">
        <v>158</v>
      </c>
      <c r="E162" s="478">
        <v>20214000004383</v>
      </c>
      <c r="F162" s="479">
        <v>44228</v>
      </c>
      <c r="G162" s="478" t="s">
        <v>2598</v>
      </c>
      <c r="H162" s="212" t="s">
        <v>2599</v>
      </c>
      <c r="I162" s="212" t="s">
        <v>117</v>
      </c>
      <c r="J162" s="475">
        <v>48000000</v>
      </c>
      <c r="K162" s="212" t="s">
        <v>112</v>
      </c>
      <c r="L162" s="212" t="s">
        <v>2600</v>
      </c>
      <c r="M162" s="212" t="s">
        <v>44</v>
      </c>
      <c r="N162" s="212" t="s">
        <v>45</v>
      </c>
      <c r="O162" s="212" t="s">
        <v>63</v>
      </c>
      <c r="P162" s="212" t="s">
        <v>43</v>
      </c>
      <c r="R162" s="329">
        <v>162</v>
      </c>
      <c r="S162" s="479">
        <v>44228</v>
      </c>
      <c r="T162" s="212" t="s">
        <v>2930</v>
      </c>
      <c r="U162" s="475">
        <v>48000000</v>
      </c>
      <c r="V162" s="406"/>
      <c r="W162" s="362"/>
      <c r="X162" s="308">
        <v>114</v>
      </c>
      <c r="Y162" s="484">
        <v>44237</v>
      </c>
      <c r="Z162" s="484">
        <v>44237</v>
      </c>
      <c r="AA162" s="484">
        <v>44510</v>
      </c>
      <c r="AB162" s="485" t="s">
        <v>2575</v>
      </c>
      <c r="AC162" s="211">
        <v>64</v>
      </c>
      <c r="AD162" s="487">
        <v>79316274</v>
      </c>
      <c r="AE162" s="486" t="s">
        <v>2931</v>
      </c>
      <c r="AF162" s="473">
        <v>48000000</v>
      </c>
      <c r="AG162" s="474">
        <f t="shared" si="2"/>
        <v>0</v>
      </c>
      <c r="AJ162" s="475">
        <v>3377778</v>
      </c>
      <c r="AK162" s="475">
        <v>5333333</v>
      </c>
      <c r="AL162" s="475">
        <v>5333333</v>
      </c>
      <c r="AM162" s="306">
        <v>5333333</v>
      </c>
    </row>
    <row r="163" spans="1:39" hidden="1" x14ac:dyDescent="0.25">
      <c r="A163" s="476" t="s">
        <v>2410</v>
      </c>
      <c r="B163" s="477">
        <v>24000000</v>
      </c>
      <c r="C163" s="212" t="s">
        <v>2571</v>
      </c>
      <c r="D163" s="212">
        <v>159</v>
      </c>
      <c r="E163" s="478">
        <v>20214000004593</v>
      </c>
      <c r="F163" s="479">
        <v>44228</v>
      </c>
      <c r="G163" s="478" t="s">
        <v>2605</v>
      </c>
      <c r="H163" s="212" t="s">
        <v>2606</v>
      </c>
      <c r="I163" s="212" t="s">
        <v>47</v>
      </c>
      <c r="J163" s="475">
        <v>24000000</v>
      </c>
      <c r="K163" s="212" t="s">
        <v>37</v>
      </c>
      <c r="L163" s="212" t="s">
        <v>2607</v>
      </c>
      <c r="M163" s="212" t="s">
        <v>44</v>
      </c>
      <c r="N163" s="212" t="s">
        <v>45</v>
      </c>
      <c r="O163" s="212" t="s">
        <v>310</v>
      </c>
      <c r="P163" s="212" t="s">
        <v>43</v>
      </c>
      <c r="R163" s="212">
        <v>164</v>
      </c>
      <c r="S163" s="479">
        <v>44228</v>
      </c>
      <c r="T163" s="212" t="s">
        <v>2932</v>
      </c>
      <c r="U163" s="475">
        <v>24000000</v>
      </c>
      <c r="V163" s="406"/>
      <c r="W163" s="362"/>
      <c r="X163" s="483">
        <v>123</v>
      </c>
      <c r="Y163" s="484">
        <v>44239</v>
      </c>
      <c r="Z163" s="484">
        <v>44239</v>
      </c>
      <c r="AA163" s="484">
        <v>44359</v>
      </c>
      <c r="AB163" s="485" t="s">
        <v>2575</v>
      </c>
      <c r="AC163" s="483">
        <v>81</v>
      </c>
      <c r="AD163" s="485">
        <v>74859637</v>
      </c>
      <c r="AE163" s="486" t="s">
        <v>2933</v>
      </c>
      <c r="AF163" s="473">
        <v>24000000</v>
      </c>
      <c r="AG163" s="474">
        <f t="shared" si="2"/>
        <v>0</v>
      </c>
      <c r="AM163" s="212"/>
    </row>
    <row r="164" spans="1:39" hidden="1" x14ac:dyDescent="0.25">
      <c r="A164" s="476" t="s">
        <v>2313</v>
      </c>
      <c r="B164" s="477">
        <v>56000000</v>
      </c>
      <c r="C164" s="212" t="s">
        <v>2571</v>
      </c>
      <c r="D164" s="212">
        <v>160</v>
      </c>
      <c r="E164" s="478">
        <v>20213000007863</v>
      </c>
      <c r="F164" s="479">
        <v>44243</v>
      </c>
      <c r="G164" s="478" t="s">
        <v>2565</v>
      </c>
      <c r="H164" s="212" t="s">
        <v>2566</v>
      </c>
      <c r="I164" s="212" t="s">
        <v>432</v>
      </c>
      <c r="J164" s="475">
        <v>56000000</v>
      </c>
      <c r="K164" s="212" t="s">
        <v>358</v>
      </c>
      <c r="L164" s="212" t="s">
        <v>2716</v>
      </c>
      <c r="M164" s="212" t="s">
        <v>44</v>
      </c>
      <c r="N164" s="212" t="s">
        <v>45</v>
      </c>
      <c r="O164" s="212" t="s">
        <v>63</v>
      </c>
      <c r="P164" s="212" t="s">
        <v>676</v>
      </c>
      <c r="R164" s="212">
        <v>241</v>
      </c>
      <c r="S164" s="479">
        <v>44243</v>
      </c>
      <c r="T164" s="212" t="s">
        <v>2934</v>
      </c>
      <c r="U164" s="475">
        <v>56000000</v>
      </c>
      <c r="V164" s="406"/>
      <c r="W164" s="362"/>
      <c r="X164" s="308">
        <v>217</v>
      </c>
      <c r="Y164" s="484">
        <v>44257</v>
      </c>
      <c r="Z164" s="484">
        <v>44257</v>
      </c>
      <c r="AA164" s="484">
        <v>44500</v>
      </c>
      <c r="AB164" s="485" t="s">
        <v>2575</v>
      </c>
      <c r="AC164" s="211">
        <v>133</v>
      </c>
      <c r="AD164" s="485" t="s">
        <v>2935</v>
      </c>
      <c r="AE164" s="486" t="s">
        <v>2936</v>
      </c>
      <c r="AF164" s="473">
        <v>56000000</v>
      </c>
      <c r="AG164" s="474">
        <f t="shared" si="2"/>
        <v>0</v>
      </c>
      <c r="AK164" s="475">
        <v>6766666</v>
      </c>
      <c r="AL164" s="475">
        <v>7000000</v>
      </c>
      <c r="AM164" s="306">
        <v>7000000</v>
      </c>
    </row>
    <row r="165" spans="1:39" hidden="1" x14ac:dyDescent="0.25">
      <c r="A165" s="476" t="s">
        <v>2364</v>
      </c>
      <c r="B165" s="477">
        <v>60000000</v>
      </c>
      <c r="C165" s="212" t="s">
        <v>2571</v>
      </c>
      <c r="D165" s="212">
        <v>161</v>
      </c>
      <c r="E165" s="478">
        <v>20211200004633</v>
      </c>
      <c r="F165" s="479">
        <v>44228</v>
      </c>
      <c r="G165" s="478" t="s">
        <v>2572</v>
      </c>
      <c r="H165" s="212" t="s">
        <v>2573</v>
      </c>
      <c r="I165" s="212" t="s">
        <v>143</v>
      </c>
      <c r="J165" s="475">
        <v>60000000</v>
      </c>
      <c r="K165" s="212" t="s">
        <v>138</v>
      </c>
      <c r="L165" s="212" t="s">
        <v>139</v>
      </c>
      <c r="M165" s="212" t="s">
        <v>44</v>
      </c>
      <c r="N165" s="212" t="s">
        <v>45</v>
      </c>
      <c r="O165" s="212" t="s">
        <v>142</v>
      </c>
      <c r="P165" s="212" t="s">
        <v>43</v>
      </c>
      <c r="R165" s="212">
        <v>166</v>
      </c>
      <c r="S165" s="479">
        <v>44228</v>
      </c>
      <c r="T165" s="212" t="s">
        <v>2937</v>
      </c>
      <c r="U165" s="475">
        <v>60000000</v>
      </c>
      <c r="V165" s="406"/>
      <c r="W165" s="362"/>
      <c r="X165" s="483">
        <v>147</v>
      </c>
      <c r="Y165" s="484">
        <v>44243</v>
      </c>
      <c r="Z165" s="484">
        <v>44243</v>
      </c>
      <c r="AA165" s="484">
        <v>44546</v>
      </c>
      <c r="AB165" s="485" t="s">
        <v>2575</v>
      </c>
      <c r="AC165" s="483">
        <v>83</v>
      </c>
      <c r="AD165" s="485">
        <v>52964083</v>
      </c>
      <c r="AE165" s="486" t="s">
        <v>2938</v>
      </c>
      <c r="AF165" s="473">
        <v>60000000</v>
      </c>
      <c r="AG165" s="474">
        <f t="shared" si="2"/>
        <v>0</v>
      </c>
      <c r="AJ165" s="475">
        <v>2600000</v>
      </c>
      <c r="AK165" s="475">
        <v>6000000</v>
      </c>
      <c r="AL165" s="475">
        <v>6000000</v>
      </c>
      <c r="AM165" s="306">
        <v>6000000</v>
      </c>
    </row>
    <row r="166" spans="1:39" s="312" customFormat="1" hidden="1" x14ac:dyDescent="0.25">
      <c r="A166" s="361" t="s">
        <v>2365</v>
      </c>
      <c r="B166" s="417">
        <v>65000000</v>
      </c>
      <c r="C166" s="312" t="s">
        <v>2571</v>
      </c>
      <c r="D166" s="312">
        <v>162</v>
      </c>
      <c r="E166" s="325">
        <v>20211200004653</v>
      </c>
      <c r="F166" s="315">
        <v>44228</v>
      </c>
      <c r="G166" s="325" t="s">
        <v>2572</v>
      </c>
      <c r="H166" s="312" t="s">
        <v>2573</v>
      </c>
      <c r="I166" s="312" t="s">
        <v>143</v>
      </c>
      <c r="J166" s="405">
        <v>32500000</v>
      </c>
      <c r="K166" s="312" t="s">
        <v>138</v>
      </c>
      <c r="L166" s="312" t="s">
        <v>139</v>
      </c>
      <c r="M166" s="312" t="s">
        <v>44</v>
      </c>
      <c r="N166" s="312" t="s">
        <v>45</v>
      </c>
      <c r="O166" s="312" t="s">
        <v>142</v>
      </c>
      <c r="P166" s="312" t="s">
        <v>43</v>
      </c>
      <c r="R166" s="312">
        <v>167</v>
      </c>
      <c r="S166" s="315">
        <v>44228</v>
      </c>
      <c r="T166" s="312" t="s">
        <v>2939</v>
      </c>
      <c r="U166" s="405">
        <f>32500000-29250000</f>
        <v>3250000</v>
      </c>
      <c r="V166" s="444">
        <v>29250000</v>
      </c>
      <c r="W166" s="398"/>
      <c r="X166" s="314">
        <v>113</v>
      </c>
      <c r="Y166" s="390">
        <v>44237</v>
      </c>
      <c r="Z166" s="390">
        <v>44237</v>
      </c>
      <c r="AA166" s="390">
        <v>44387</v>
      </c>
      <c r="AB166" s="391" t="s">
        <v>2575</v>
      </c>
      <c r="AC166" s="316">
        <v>61</v>
      </c>
      <c r="AD166" s="392">
        <v>52428475</v>
      </c>
      <c r="AE166" s="360" t="s">
        <v>2940</v>
      </c>
      <c r="AF166" s="410">
        <f>32500000-29250000</f>
        <v>3250000</v>
      </c>
      <c r="AG166" s="318">
        <f t="shared" si="2"/>
        <v>0</v>
      </c>
      <c r="AH166" s="405"/>
      <c r="AI166" s="405"/>
      <c r="AJ166" s="405"/>
      <c r="AK166" s="405"/>
      <c r="AL166" s="405"/>
      <c r="AM166" s="212"/>
    </row>
    <row r="167" spans="1:39" hidden="1" x14ac:dyDescent="0.25">
      <c r="A167" s="476" t="s">
        <v>2941</v>
      </c>
      <c r="C167" s="212" t="s">
        <v>2571</v>
      </c>
      <c r="D167" s="212">
        <v>163</v>
      </c>
      <c r="E167" s="478">
        <v>20213000004523</v>
      </c>
      <c r="F167" s="479">
        <v>44228</v>
      </c>
      <c r="G167" s="478" t="s">
        <v>2565</v>
      </c>
      <c r="H167" s="212" t="s">
        <v>2566</v>
      </c>
      <c r="I167" s="212" t="s">
        <v>432</v>
      </c>
      <c r="J167" s="475">
        <v>2800000</v>
      </c>
      <c r="K167" s="212" t="s">
        <v>358</v>
      </c>
      <c r="L167" s="212" t="s">
        <v>2716</v>
      </c>
      <c r="M167" s="212" t="s">
        <v>44</v>
      </c>
      <c r="N167" s="212" t="s">
        <v>45</v>
      </c>
      <c r="O167" s="212" t="s">
        <v>63</v>
      </c>
      <c r="P167" s="212" t="s">
        <v>676</v>
      </c>
      <c r="R167" s="212">
        <v>163</v>
      </c>
      <c r="S167" s="479">
        <v>44228</v>
      </c>
      <c r="T167" s="212" t="s">
        <v>2942</v>
      </c>
      <c r="U167" s="475">
        <v>2800000</v>
      </c>
      <c r="V167" s="406"/>
      <c r="W167" s="362"/>
      <c r="X167" s="308">
        <v>79</v>
      </c>
      <c r="Y167" s="484">
        <v>44232</v>
      </c>
      <c r="Z167" s="484">
        <v>44233</v>
      </c>
      <c r="AA167" s="484">
        <v>44260</v>
      </c>
      <c r="AB167" s="485" t="s">
        <v>2575</v>
      </c>
      <c r="AC167" s="211">
        <v>559</v>
      </c>
      <c r="AD167" s="487">
        <v>1024579339</v>
      </c>
      <c r="AE167" s="486" t="s">
        <v>2943</v>
      </c>
      <c r="AF167" s="473">
        <v>2800000</v>
      </c>
      <c r="AG167" s="474">
        <f t="shared" si="2"/>
        <v>0</v>
      </c>
      <c r="AJ167" s="475">
        <v>2800000</v>
      </c>
      <c r="AM167" s="212"/>
    </row>
    <row r="168" spans="1:39" hidden="1" x14ac:dyDescent="0.25">
      <c r="A168" s="476" t="s">
        <v>2944</v>
      </c>
      <c r="B168" s="477">
        <v>12000000</v>
      </c>
      <c r="C168" s="212" t="s">
        <v>2571</v>
      </c>
      <c r="D168" s="212">
        <v>164</v>
      </c>
      <c r="E168" s="478">
        <v>20214000004683</v>
      </c>
      <c r="F168" s="479">
        <v>44228</v>
      </c>
      <c r="G168" s="478" t="s">
        <v>2598</v>
      </c>
      <c r="H168" s="212" t="s">
        <v>2599</v>
      </c>
      <c r="I168" s="212" t="s">
        <v>117</v>
      </c>
      <c r="J168" s="475">
        <v>12000000</v>
      </c>
      <c r="K168" s="212" t="s">
        <v>112</v>
      </c>
      <c r="L168" s="212" t="s">
        <v>2600</v>
      </c>
      <c r="M168" s="212" t="s">
        <v>44</v>
      </c>
      <c r="N168" s="212" t="s">
        <v>45</v>
      </c>
      <c r="O168" s="212" t="s">
        <v>63</v>
      </c>
      <c r="P168" s="212" t="s">
        <v>43</v>
      </c>
      <c r="R168" s="212">
        <v>168</v>
      </c>
      <c r="S168" s="479">
        <v>44229</v>
      </c>
      <c r="T168" s="212" t="s">
        <v>2945</v>
      </c>
      <c r="U168" s="475">
        <v>12000000</v>
      </c>
      <c r="V168" s="406"/>
      <c r="W168" s="362"/>
      <c r="X168" s="483">
        <v>172</v>
      </c>
      <c r="Y168" s="484">
        <v>44246</v>
      </c>
      <c r="Z168" s="484">
        <v>44246</v>
      </c>
      <c r="AA168" s="484">
        <v>44366</v>
      </c>
      <c r="AB168" s="485" t="s">
        <v>2575</v>
      </c>
      <c r="AC168" s="483">
        <v>117</v>
      </c>
      <c r="AD168" s="485">
        <v>51692528</v>
      </c>
      <c r="AE168" s="486" t="s">
        <v>2946</v>
      </c>
      <c r="AF168" s="473">
        <v>12000000</v>
      </c>
      <c r="AG168" s="474">
        <f t="shared" si="2"/>
        <v>0</v>
      </c>
      <c r="AL168" s="475">
        <v>6700000</v>
      </c>
      <c r="AM168" s="306">
        <v>3000000</v>
      </c>
    </row>
    <row r="169" spans="1:39" hidden="1" x14ac:dyDescent="0.25">
      <c r="A169" s="476" t="s">
        <v>2947</v>
      </c>
      <c r="B169" s="477">
        <v>77500000</v>
      </c>
      <c r="C169" s="212" t="s">
        <v>2571</v>
      </c>
      <c r="D169" s="212">
        <v>165</v>
      </c>
      <c r="E169" s="478">
        <v>20214000004703</v>
      </c>
      <c r="F169" s="479">
        <v>44228</v>
      </c>
      <c r="G169" s="478" t="s">
        <v>2598</v>
      </c>
      <c r="H169" s="212" t="s">
        <v>2599</v>
      </c>
      <c r="I169" s="212" t="s">
        <v>117</v>
      </c>
      <c r="J169" s="475">
        <v>60000000</v>
      </c>
      <c r="K169" s="212" t="s">
        <v>112</v>
      </c>
      <c r="L169" s="212" t="s">
        <v>2600</v>
      </c>
      <c r="M169" s="212" t="s">
        <v>44</v>
      </c>
      <c r="N169" s="212" t="s">
        <v>45</v>
      </c>
      <c r="O169" s="212" t="s">
        <v>63</v>
      </c>
      <c r="P169" s="212" t="s">
        <v>43</v>
      </c>
      <c r="R169" s="212">
        <v>169</v>
      </c>
      <c r="S169" s="479">
        <v>44229</v>
      </c>
      <c r="T169" s="212" t="s">
        <v>2948</v>
      </c>
      <c r="U169" s="475">
        <v>60000000</v>
      </c>
      <c r="V169" s="406"/>
      <c r="W169" s="362"/>
      <c r="X169" s="483">
        <v>198</v>
      </c>
      <c r="Y169" s="484">
        <v>44253</v>
      </c>
      <c r="Z169" s="484">
        <v>44253</v>
      </c>
      <c r="AA169" s="484">
        <v>44495</v>
      </c>
      <c r="AB169" s="485" t="s">
        <v>2575</v>
      </c>
      <c r="AC169" s="483">
        <v>135</v>
      </c>
      <c r="AD169" s="485">
        <v>74369283</v>
      </c>
      <c r="AE169" s="486" t="s">
        <v>2949</v>
      </c>
      <c r="AF169" s="473">
        <v>60000000</v>
      </c>
      <c r="AG169" s="474">
        <f t="shared" si="2"/>
        <v>0</v>
      </c>
      <c r="AL169" s="475">
        <v>8250000</v>
      </c>
      <c r="AM169" s="212"/>
    </row>
    <row r="170" spans="1:39" hidden="1" x14ac:dyDescent="0.25">
      <c r="A170" s="476" t="s">
        <v>2950</v>
      </c>
      <c r="B170" s="477">
        <v>31000000</v>
      </c>
      <c r="C170" s="212" t="s">
        <v>2571</v>
      </c>
      <c r="D170" s="212">
        <v>166</v>
      </c>
      <c r="E170" s="478">
        <v>20214000004713</v>
      </c>
      <c r="F170" s="479">
        <v>44228</v>
      </c>
      <c r="G170" s="478" t="s">
        <v>2598</v>
      </c>
      <c r="H170" s="212" t="s">
        <v>2599</v>
      </c>
      <c r="I170" s="212" t="s">
        <v>117</v>
      </c>
      <c r="J170" s="475">
        <v>24000000</v>
      </c>
      <c r="K170" s="212" t="s">
        <v>112</v>
      </c>
      <c r="L170" s="212" t="s">
        <v>2600</v>
      </c>
      <c r="M170" s="212" t="s">
        <v>44</v>
      </c>
      <c r="N170" s="212" t="s">
        <v>45</v>
      </c>
      <c r="O170" s="212" t="s">
        <v>63</v>
      </c>
      <c r="P170" s="212" t="s">
        <v>43</v>
      </c>
      <c r="R170" s="212">
        <v>170</v>
      </c>
      <c r="S170" s="479">
        <v>44229</v>
      </c>
      <c r="T170" s="212" t="s">
        <v>2951</v>
      </c>
      <c r="U170" s="475">
        <v>24000000</v>
      </c>
      <c r="V170" s="406"/>
      <c r="W170" s="362"/>
      <c r="X170" s="483">
        <v>197</v>
      </c>
      <c r="Y170" s="484">
        <v>44253</v>
      </c>
      <c r="Z170" s="484">
        <v>44253</v>
      </c>
      <c r="AA170" s="484">
        <v>44495</v>
      </c>
      <c r="AB170" s="485" t="s">
        <v>2575</v>
      </c>
      <c r="AC170" s="483">
        <v>137</v>
      </c>
      <c r="AD170" s="485">
        <v>1022444236</v>
      </c>
      <c r="AE170" s="486" t="s">
        <v>2952</v>
      </c>
      <c r="AF170" s="473">
        <v>24000000</v>
      </c>
      <c r="AG170" s="474">
        <f t="shared" si="2"/>
        <v>0</v>
      </c>
      <c r="AL170" s="475">
        <v>6300000</v>
      </c>
      <c r="AM170" s="306">
        <v>3000000</v>
      </c>
    </row>
    <row r="171" spans="1:39" hidden="1" x14ac:dyDescent="0.25">
      <c r="A171" s="476" t="s">
        <v>2953</v>
      </c>
      <c r="B171" s="477">
        <v>58900000</v>
      </c>
      <c r="C171" s="212" t="s">
        <v>2571</v>
      </c>
      <c r="D171" s="212">
        <v>167</v>
      </c>
      <c r="E171" s="478">
        <v>20214000004603</v>
      </c>
      <c r="F171" s="479">
        <v>44228</v>
      </c>
      <c r="G171" s="478" t="s">
        <v>2598</v>
      </c>
      <c r="H171" s="212" t="s">
        <v>2599</v>
      </c>
      <c r="I171" s="212" t="s">
        <v>117</v>
      </c>
      <c r="J171" s="475">
        <v>45600000</v>
      </c>
      <c r="K171" s="212" t="s">
        <v>112</v>
      </c>
      <c r="L171" s="212" t="s">
        <v>2600</v>
      </c>
      <c r="M171" s="212" t="s">
        <v>44</v>
      </c>
      <c r="N171" s="212" t="s">
        <v>45</v>
      </c>
      <c r="O171" s="212" t="s">
        <v>63</v>
      </c>
      <c r="P171" s="212" t="s">
        <v>43</v>
      </c>
      <c r="R171" s="212">
        <v>165</v>
      </c>
      <c r="S171" s="479">
        <v>44228</v>
      </c>
      <c r="T171" s="212" t="s">
        <v>2954</v>
      </c>
      <c r="U171" s="475">
        <v>45600000</v>
      </c>
      <c r="V171" s="406"/>
      <c r="W171" s="362"/>
      <c r="X171" s="308">
        <v>218</v>
      </c>
      <c r="Y171" s="484">
        <v>44257</v>
      </c>
      <c r="Z171" s="484">
        <v>44257</v>
      </c>
      <c r="AA171" s="484">
        <v>44500</v>
      </c>
      <c r="AB171" s="485" t="s">
        <v>2575</v>
      </c>
      <c r="AC171" s="211">
        <v>160</v>
      </c>
      <c r="AD171" s="485" t="s">
        <v>2955</v>
      </c>
      <c r="AE171" s="486" t="s">
        <v>2956</v>
      </c>
      <c r="AF171" s="473">
        <v>45600000</v>
      </c>
      <c r="AG171" s="474">
        <f t="shared" si="2"/>
        <v>0</v>
      </c>
      <c r="AK171" s="475">
        <v>5320000</v>
      </c>
      <c r="AL171" s="475">
        <v>5700000</v>
      </c>
      <c r="AM171" s="306">
        <v>5700000</v>
      </c>
    </row>
    <row r="172" spans="1:39" hidden="1" x14ac:dyDescent="0.25">
      <c r="A172" s="476" t="s">
        <v>2458</v>
      </c>
      <c r="B172" s="477">
        <v>55000000</v>
      </c>
      <c r="C172" s="212" t="s">
        <v>2571</v>
      </c>
      <c r="D172" s="212">
        <v>168</v>
      </c>
      <c r="E172" s="309">
        <v>20214000008333</v>
      </c>
      <c r="F172" s="310">
        <v>44243</v>
      </c>
      <c r="G172" s="478" t="s">
        <v>2598</v>
      </c>
      <c r="H172" s="212" t="s">
        <v>2599</v>
      </c>
      <c r="I172" s="212" t="s">
        <v>117</v>
      </c>
      <c r="J172" s="475">
        <v>38500000</v>
      </c>
      <c r="K172" s="212" t="s">
        <v>112</v>
      </c>
      <c r="L172" s="212" t="s">
        <v>2600</v>
      </c>
      <c r="M172" s="212" t="s">
        <v>44</v>
      </c>
      <c r="N172" s="212" t="s">
        <v>45</v>
      </c>
      <c r="O172" s="212" t="s">
        <v>63</v>
      </c>
      <c r="P172" s="212" t="s">
        <v>43</v>
      </c>
      <c r="R172" s="486">
        <v>259</v>
      </c>
      <c r="S172" s="490">
        <v>44244</v>
      </c>
      <c r="T172" s="486" t="s">
        <v>2957</v>
      </c>
      <c r="U172" s="475">
        <v>38500000</v>
      </c>
      <c r="V172" s="406"/>
      <c r="W172" s="362"/>
      <c r="X172" s="308">
        <v>219</v>
      </c>
      <c r="Y172" s="484">
        <v>44257</v>
      </c>
      <c r="Z172" s="484">
        <v>44257</v>
      </c>
      <c r="AA172" s="484">
        <v>44469</v>
      </c>
      <c r="AB172" s="485" t="s">
        <v>2575</v>
      </c>
      <c r="AC172" s="211">
        <v>159</v>
      </c>
      <c r="AD172" s="485" t="s">
        <v>2958</v>
      </c>
      <c r="AE172" s="486" t="s">
        <v>2959</v>
      </c>
      <c r="AF172" s="473">
        <v>38500000</v>
      </c>
      <c r="AG172" s="474">
        <f t="shared" si="2"/>
        <v>0</v>
      </c>
      <c r="AK172" s="475">
        <v>5133333</v>
      </c>
      <c r="AL172" s="475">
        <v>5500000</v>
      </c>
      <c r="AM172" s="306">
        <v>5500000</v>
      </c>
    </row>
    <row r="173" spans="1:39" hidden="1" x14ac:dyDescent="0.25">
      <c r="A173" s="476" t="s">
        <v>1860</v>
      </c>
      <c r="B173" s="477">
        <v>17854947</v>
      </c>
      <c r="C173" s="212" t="s">
        <v>2571</v>
      </c>
      <c r="D173" s="212">
        <v>169</v>
      </c>
      <c r="E173" s="478">
        <v>20212000007613</v>
      </c>
      <c r="F173" s="479">
        <v>44243</v>
      </c>
      <c r="G173" s="478" t="s">
        <v>2565</v>
      </c>
      <c r="H173" s="212" t="s">
        <v>2566</v>
      </c>
      <c r="I173" s="212" t="s">
        <v>391</v>
      </c>
      <c r="J173" s="475">
        <v>15800000</v>
      </c>
      <c r="K173" s="210" t="s">
        <v>2636</v>
      </c>
      <c r="L173" s="212" t="s">
        <v>2637</v>
      </c>
      <c r="M173" s="212" t="s">
        <v>44</v>
      </c>
      <c r="N173" s="212" t="s">
        <v>45</v>
      </c>
      <c r="O173" s="212" t="s">
        <v>63</v>
      </c>
      <c r="P173" s="212" t="s">
        <v>676</v>
      </c>
      <c r="R173" s="212">
        <v>239</v>
      </c>
      <c r="S173" s="479">
        <v>44243</v>
      </c>
      <c r="T173" s="212" t="s">
        <v>2960</v>
      </c>
      <c r="U173" s="475">
        <v>15800000</v>
      </c>
      <c r="V173" s="406"/>
      <c r="W173" s="362"/>
      <c r="X173" s="308">
        <v>220</v>
      </c>
      <c r="Y173" s="484">
        <v>44257</v>
      </c>
      <c r="Z173" s="484">
        <v>44257</v>
      </c>
      <c r="AA173" s="484">
        <v>44377</v>
      </c>
      <c r="AB173" s="485" t="s">
        <v>2575</v>
      </c>
      <c r="AC173" s="211">
        <v>157</v>
      </c>
      <c r="AD173" s="485" t="s">
        <v>2961</v>
      </c>
      <c r="AE173" s="486" t="s">
        <v>2962</v>
      </c>
      <c r="AF173" s="473">
        <v>15800000</v>
      </c>
      <c r="AG173" s="474">
        <f t="shared" si="2"/>
        <v>0</v>
      </c>
      <c r="AK173" s="475">
        <v>3555000</v>
      </c>
      <c r="AL173" s="475">
        <v>3950000</v>
      </c>
      <c r="AM173" s="306">
        <v>3950000</v>
      </c>
    </row>
    <row r="174" spans="1:39" hidden="1" x14ac:dyDescent="0.25">
      <c r="A174" s="476" t="s">
        <v>2438</v>
      </c>
      <c r="B174" s="477">
        <v>33129600</v>
      </c>
      <c r="C174" s="212" t="s">
        <v>2571</v>
      </c>
      <c r="D174" s="212">
        <v>170</v>
      </c>
      <c r="E174" s="478">
        <v>20212000005163</v>
      </c>
      <c r="F174" s="479">
        <v>44229</v>
      </c>
      <c r="G174" s="478" t="s">
        <v>2565</v>
      </c>
      <c r="H174" s="212" t="s">
        <v>2566</v>
      </c>
      <c r="I174" s="212" t="s">
        <v>391</v>
      </c>
      <c r="J174" s="475">
        <v>31059000</v>
      </c>
      <c r="K174" s="210" t="s">
        <v>2636</v>
      </c>
      <c r="L174" s="212" t="s">
        <v>2637</v>
      </c>
      <c r="M174" s="212" t="s">
        <v>44</v>
      </c>
      <c r="N174" s="212" t="s">
        <v>45</v>
      </c>
      <c r="O174" s="212" t="s">
        <v>63</v>
      </c>
      <c r="P174" s="212" t="s">
        <v>676</v>
      </c>
      <c r="R174" s="212">
        <v>176</v>
      </c>
      <c r="S174" s="479">
        <v>44229</v>
      </c>
      <c r="T174" s="212" t="s">
        <v>2963</v>
      </c>
      <c r="U174" s="475">
        <f>31059000-1479000</f>
        <v>29580000</v>
      </c>
      <c r="V174" s="411">
        <v>1479000</v>
      </c>
      <c r="W174" s="397"/>
      <c r="X174" s="483">
        <v>199</v>
      </c>
      <c r="Y174" s="484">
        <v>44253</v>
      </c>
      <c r="Z174" s="484">
        <v>44253</v>
      </c>
      <c r="AA174" s="484">
        <v>44556</v>
      </c>
      <c r="AB174" s="485" t="s">
        <v>2575</v>
      </c>
      <c r="AC174" s="483">
        <v>132</v>
      </c>
      <c r="AD174" s="485" t="s">
        <v>2964</v>
      </c>
      <c r="AE174" s="486" t="s">
        <v>2965</v>
      </c>
      <c r="AF174" s="473">
        <v>29580000</v>
      </c>
      <c r="AG174" s="474">
        <f t="shared" si="2"/>
        <v>0</v>
      </c>
      <c r="AJ174" s="475">
        <v>295800</v>
      </c>
      <c r="AK174" s="475">
        <v>2958000</v>
      </c>
      <c r="AL174" s="475">
        <v>2958000</v>
      </c>
      <c r="AM174" s="306">
        <v>2958000</v>
      </c>
    </row>
    <row r="175" spans="1:39" hidden="1" x14ac:dyDescent="0.25">
      <c r="A175" s="476" t="s">
        <v>2439</v>
      </c>
      <c r="B175" s="477">
        <v>33129600</v>
      </c>
      <c r="C175" s="212" t="s">
        <v>2571</v>
      </c>
      <c r="D175" s="212">
        <v>171</v>
      </c>
      <c r="E175" s="478">
        <v>20212000005173</v>
      </c>
      <c r="F175" s="479">
        <v>44229</v>
      </c>
      <c r="G175" s="478" t="s">
        <v>2565</v>
      </c>
      <c r="H175" s="212" t="s">
        <v>2566</v>
      </c>
      <c r="I175" s="212" t="s">
        <v>391</v>
      </c>
      <c r="J175" s="475">
        <v>31059000</v>
      </c>
      <c r="K175" s="210" t="s">
        <v>2636</v>
      </c>
      <c r="L175" s="212" t="s">
        <v>2637</v>
      </c>
      <c r="M175" s="212" t="s">
        <v>44</v>
      </c>
      <c r="N175" s="212" t="s">
        <v>45</v>
      </c>
      <c r="O175" s="212" t="s">
        <v>63</v>
      </c>
      <c r="P175" s="212" t="s">
        <v>676</v>
      </c>
      <c r="R175" s="212">
        <v>177</v>
      </c>
      <c r="S175" s="479">
        <v>44229</v>
      </c>
      <c r="T175" s="212" t="s">
        <v>2966</v>
      </c>
      <c r="U175" s="475">
        <f>31059000-1479000</f>
        <v>29580000</v>
      </c>
      <c r="V175" s="411">
        <v>1479000</v>
      </c>
      <c r="W175" s="397"/>
      <c r="X175" s="483">
        <v>182</v>
      </c>
      <c r="Y175" s="484">
        <v>44250</v>
      </c>
      <c r="Z175" s="484">
        <v>44250</v>
      </c>
      <c r="AA175" s="484">
        <v>44553</v>
      </c>
      <c r="AB175" s="485" t="s">
        <v>2575</v>
      </c>
      <c r="AC175" s="483">
        <v>123</v>
      </c>
      <c r="AD175" s="485">
        <v>1030630774</v>
      </c>
      <c r="AE175" s="486" t="s">
        <v>2967</v>
      </c>
      <c r="AF175" s="473">
        <v>29580000</v>
      </c>
      <c r="AG175" s="474">
        <f t="shared" si="2"/>
        <v>0</v>
      </c>
      <c r="AJ175" s="475">
        <v>591600</v>
      </c>
      <c r="AK175" s="475">
        <v>2958000</v>
      </c>
      <c r="AL175" s="475">
        <v>2958000</v>
      </c>
      <c r="AM175" s="306">
        <v>2958000</v>
      </c>
    </row>
    <row r="176" spans="1:39" hidden="1" x14ac:dyDescent="0.25">
      <c r="A176" s="476" t="s">
        <v>2440</v>
      </c>
      <c r="B176" s="477">
        <v>33129600</v>
      </c>
      <c r="C176" s="212" t="s">
        <v>2571</v>
      </c>
      <c r="D176" s="212">
        <v>172</v>
      </c>
      <c r="E176" s="478">
        <v>20212000005183</v>
      </c>
      <c r="F176" s="479">
        <v>44229</v>
      </c>
      <c r="G176" s="478" t="s">
        <v>2565</v>
      </c>
      <c r="H176" s="212" t="s">
        <v>2566</v>
      </c>
      <c r="I176" s="212" t="s">
        <v>391</v>
      </c>
      <c r="J176" s="475">
        <v>31059000</v>
      </c>
      <c r="K176" s="210" t="s">
        <v>2636</v>
      </c>
      <c r="L176" s="212" t="s">
        <v>2637</v>
      </c>
      <c r="M176" s="212" t="s">
        <v>44</v>
      </c>
      <c r="N176" s="212" t="s">
        <v>45</v>
      </c>
      <c r="O176" s="212" t="s">
        <v>63</v>
      </c>
      <c r="P176" s="212" t="s">
        <v>676</v>
      </c>
      <c r="R176" s="212">
        <v>178</v>
      </c>
      <c r="S176" s="479">
        <v>44229</v>
      </c>
      <c r="T176" s="212" t="s">
        <v>2968</v>
      </c>
      <c r="U176" s="475">
        <f>31059000-1479000</f>
        <v>29580000</v>
      </c>
      <c r="V176" s="411">
        <v>1479000</v>
      </c>
      <c r="W176" s="397"/>
      <c r="X176" s="483">
        <v>164</v>
      </c>
      <c r="Y176" s="484">
        <v>44246</v>
      </c>
      <c r="Z176" s="484">
        <v>44246</v>
      </c>
      <c r="AA176" s="484">
        <v>44549</v>
      </c>
      <c r="AB176" s="485" t="s">
        <v>2575</v>
      </c>
      <c r="AC176" s="483">
        <v>107</v>
      </c>
      <c r="AD176" s="485">
        <v>1018456945</v>
      </c>
      <c r="AE176" s="486" t="s">
        <v>2969</v>
      </c>
      <c r="AF176" s="473">
        <v>29580000</v>
      </c>
      <c r="AG176" s="474">
        <f t="shared" si="2"/>
        <v>0</v>
      </c>
      <c r="AJ176" s="475">
        <v>690200</v>
      </c>
      <c r="AK176" s="475">
        <v>2958000</v>
      </c>
      <c r="AL176" s="475">
        <v>2958000</v>
      </c>
      <c r="AM176" s="306">
        <v>2958000</v>
      </c>
    </row>
    <row r="177" spans="1:39" hidden="1" x14ac:dyDescent="0.25">
      <c r="A177" s="476" t="s">
        <v>2970</v>
      </c>
      <c r="B177" s="477">
        <v>80000000</v>
      </c>
      <c r="C177" s="212" t="s">
        <v>2571</v>
      </c>
      <c r="D177" s="212">
        <v>173</v>
      </c>
      <c r="E177" s="478">
        <v>20214000005383</v>
      </c>
      <c r="F177" s="479">
        <v>44230</v>
      </c>
      <c r="G177" s="478" t="s">
        <v>2598</v>
      </c>
      <c r="H177" s="212" t="s">
        <v>2599</v>
      </c>
      <c r="I177" s="212" t="s">
        <v>117</v>
      </c>
      <c r="J177" s="475">
        <v>64000000</v>
      </c>
      <c r="K177" s="212" t="s">
        <v>112</v>
      </c>
      <c r="L177" s="212" t="s">
        <v>2600</v>
      </c>
      <c r="M177" s="212" t="s">
        <v>44</v>
      </c>
      <c r="N177" s="212" t="s">
        <v>45</v>
      </c>
      <c r="O177" s="212" t="s">
        <v>63</v>
      </c>
      <c r="P177" s="212" t="s">
        <v>43</v>
      </c>
      <c r="R177" s="212">
        <v>188</v>
      </c>
      <c r="S177" s="479">
        <v>44230</v>
      </c>
      <c r="T177" s="212" t="s">
        <v>2971</v>
      </c>
      <c r="U177" s="475">
        <v>64000000</v>
      </c>
      <c r="V177" s="406"/>
      <c r="W177" s="362"/>
      <c r="X177" s="308">
        <v>221</v>
      </c>
      <c r="Y177" s="484">
        <v>44257</v>
      </c>
      <c r="Z177" s="484">
        <v>44257</v>
      </c>
      <c r="AA177" s="484">
        <v>44500</v>
      </c>
      <c r="AB177" s="485" t="s">
        <v>2575</v>
      </c>
      <c r="AC177" s="211">
        <v>158</v>
      </c>
      <c r="AD177" s="485" t="s">
        <v>2972</v>
      </c>
      <c r="AE177" s="486" t="s">
        <v>2973</v>
      </c>
      <c r="AF177" s="473">
        <v>64000000</v>
      </c>
      <c r="AG177" s="474">
        <f t="shared" si="2"/>
        <v>0</v>
      </c>
      <c r="AK177" s="475">
        <v>7466666</v>
      </c>
      <c r="AL177" s="475">
        <v>8000000</v>
      </c>
      <c r="AM177" s="306">
        <v>8000000</v>
      </c>
    </row>
    <row r="178" spans="1:39" hidden="1" x14ac:dyDescent="0.25">
      <c r="A178" s="476" t="s">
        <v>2040</v>
      </c>
      <c r="B178" s="477">
        <v>28152000</v>
      </c>
      <c r="C178" s="212" t="s">
        <v>2571</v>
      </c>
      <c r="D178" s="212">
        <v>174</v>
      </c>
      <c r="E178" s="478">
        <v>20211400005073</v>
      </c>
      <c r="F178" s="479">
        <v>44230</v>
      </c>
      <c r="G178" s="478" t="s">
        <v>2572</v>
      </c>
      <c r="H178" s="212" t="s">
        <v>2573</v>
      </c>
      <c r="I178" s="212" t="s">
        <v>184</v>
      </c>
      <c r="J178" s="475">
        <v>28152000</v>
      </c>
      <c r="K178" s="212" t="s">
        <v>138</v>
      </c>
      <c r="L178" s="212" t="s">
        <v>2577</v>
      </c>
      <c r="M178" s="212" t="s">
        <v>44</v>
      </c>
      <c r="N178" s="212" t="s">
        <v>45</v>
      </c>
      <c r="O178" s="212" t="s">
        <v>142</v>
      </c>
      <c r="P178" s="212" t="s">
        <v>43</v>
      </c>
      <c r="R178" s="212">
        <v>184</v>
      </c>
      <c r="S178" s="479">
        <v>44230</v>
      </c>
      <c r="T178" s="212" t="s">
        <v>2974</v>
      </c>
      <c r="U178" s="475">
        <v>28152000</v>
      </c>
      <c r="V178" s="406"/>
      <c r="W178" s="362"/>
      <c r="X178" s="483">
        <v>135</v>
      </c>
      <c r="Y178" s="484">
        <v>44243</v>
      </c>
      <c r="Z178" s="484">
        <v>44243</v>
      </c>
      <c r="AA178" s="484">
        <v>44485</v>
      </c>
      <c r="AB178" s="485" t="s">
        <v>2575</v>
      </c>
      <c r="AC178" s="483">
        <v>84</v>
      </c>
      <c r="AD178" s="485">
        <v>1012417801</v>
      </c>
      <c r="AE178" s="486" t="s">
        <v>2975</v>
      </c>
      <c r="AF178" s="473">
        <v>28152000</v>
      </c>
      <c r="AG178" s="474">
        <f t="shared" si="2"/>
        <v>0</v>
      </c>
      <c r="AJ178" s="481">
        <v>1524900</v>
      </c>
      <c r="AK178" s="475">
        <v>3519000</v>
      </c>
      <c r="AL178" s="475">
        <v>3519000</v>
      </c>
      <c r="AM178" s="306">
        <v>3519000</v>
      </c>
    </row>
    <row r="179" spans="1:39" hidden="1" x14ac:dyDescent="0.25">
      <c r="A179" s="476" t="s">
        <v>2038</v>
      </c>
      <c r="B179" s="477">
        <v>26400000</v>
      </c>
      <c r="C179" s="212" t="s">
        <v>2571</v>
      </c>
      <c r="D179" s="212">
        <v>175</v>
      </c>
      <c r="E179" s="478">
        <v>20211400005033</v>
      </c>
      <c r="F179" s="479">
        <v>44230</v>
      </c>
      <c r="G179" s="478" t="s">
        <v>2572</v>
      </c>
      <c r="H179" s="212" t="s">
        <v>2573</v>
      </c>
      <c r="I179" s="212" t="s">
        <v>184</v>
      </c>
      <c r="J179" s="475">
        <v>26400000</v>
      </c>
      <c r="K179" s="212" t="s">
        <v>138</v>
      </c>
      <c r="L179" s="212" t="s">
        <v>2577</v>
      </c>
      <c r="M179" s="212" t="s">
        <v>44</v>
      </c>
      <c r="N179" s="212" t="s">
        <v>45</v>
      </c>
      <c r="O179" s="212" t="s">
        <v>142</v>
      </c>
      <c r="P179" s="212" t="s">
        <v>43</v>
      </c>
      <c r="R179" s="212">
        <v>181</v>
      </c>
      <c r="S179" s="479">
        <v>44230</v>
      </c>
      <c r="T179" s="212" t="s">
        <v>2976</v>
      </c>
      <c r="U179" s="475">
        <v>26400000</v>
      </c>
      <c r="V179" s="406"/>
      <c r="W179" s="362"/>
      <c r="X179" s="483">
        <v>124</v>
      </c>
      <c r="Y179" s="484">
        <v>44239</v>
      </c>
      <c r="Z179" s="484">
        <v>44239</v>
      </c>
      <c r="AA179" s="484">
        <v>44481</v>
      </c>
      <c r="AB179" s="485" t="s">
        <v>2575</v>
      </c>
      <c r="AC179" s="483">
        <v>76</v>
      </c>
      <c r="AD179" s="485">
        <v>1064977513</v>
      </c>
      <c r="AE179" s="486" t="s">
        <v>2977</v>
      </c>
      <c r="AF179" s="473">
        <v>26400000</v>
      </c>
      <c r="AG179" s="474">
        <f t="shared" si="2"/>
        <v>0</v>
      </c>
      <c r="AJ179" s="481">
        <v>1870000</v>
      </c>
      <c r="AK179" s="475">
        <v>3300000</v>
      </c>
      <c r="AL179" s="475">
        <v>3300000</v>
      </c>
      <c r="AM179" s="306">
        <v>3300000</v>
      </c>
    </row>
    <row r="180" spans="1:39" hidden="1" x14ac:dyDescent="0.25">
      <c r="A180" s="476" t="s">
        <v>2363</v>
      </c>
      <c r="B180" s="477">
        <v>43470000</v>
      </c>
      <c r="C180" s="212" t="s">
        <v>2571</v>
      </c>
      <c r="D180" s="212">
        <v>176</v>
      </c>
      <c r="E180" s="478">
        <v>20211400005083</v>
      </c>
      <c r="F180" s="479">
        <v>44230</v>
      </c>
      <c r="G180" s="478" t="s">
        <v>2572</v>
      </c>
      <c r="H180" s="212" t="s">
        <v>2573</v>
      </c>
      <c r="I180" s="212" t="s">
        <v>184</v>
      </c>
      <c r="J180" s="475">
        <v>43470000</v>
      </c>
      <c r="K180" s="212" t="s">
        <v>138</v>
      </c>
      <c r="L180" s="212" t="s">
        <v>2577</v>
      </c>
      <c r="M180" s="212" t="s">
        <v>44</v>
      </c>
      <c r="N180" s="212" t="s">
        <v>45</v>
      </c>
      <c r="O180" s="212" t="s">
        <v>142</v>
      </c>
      <c r="P180" s="212" t="s">
        <v>43</v>
      </c>
      <c r="R180" s="212">
        <v>185</v>
      </c>
      <c r="S180" s="479">
        <v>44230</v>
      </c>
      <c r="T180" s="212" t="s">
        <v>2978</v>
      </c>
      <c r="U180" s="475">
        <v>43470000</v>
      </c>
      <c r="V180" s="406"/>
      <c r="W180" s="362"/>
      <c r="X180" s="483">
        <v>183</v>
      </c>
      <c r="Y180" s="484">
        <v>44250</v>
      </c>
      <c r="Z180" s="484">
        <v>44250</v>
      </c>
      <c r="AA180" s="484">
        <v>44462</v>
      </c>
      <c r="AB180" s="485" t="s">
        <v>2575</v>
      </c>
      <c r="AC180" s="483">
        <v>121</v>
      </c>
      <c r="AD180" s="485">
        <v>80010368</v>
      </c>
      <c r="AE180" s="486" t="s">
        <v>2979</v>
      </c>
      <c r="AF180" s="473">
        <v>43470000</v>
      </c>
      <c r="AG180" s="474">
        <f t="shared" si="2"/>
        <v>0</v>
      </c>
      <c r="AK180" s="475">
        <v>7452000</v>
      </c>
      <c r="AL180" s="475">
        <v>6210000</v>
      </c>
      <c r="AM180" s="306">
        <v>6210000</v>
      </c>
    </row>
    <row r="181" spans="1:39" hidden="1" x14ac:dyDescent="0.25">
      <c r="A181" s="476" t="s">
        <v>2039</v>
      </c>
      <c r="B181" s="477">
        <v>47092500</v>
      </c>
      <c r="C181" s="212" t="s">
        <v>2571</v>
      </c>
      <c r="D181" s="212">
        <v>177</v>
      </c>
      <c r="E181" s="478">
        <v>20211400005063</v>
      </c>
      <c r="F181" s="479">
        <v>44230</v>
      </c>
      <c r="G181" s="478" t="s">
        <v>2572</v>
      </c>
      <c r="H181" s="212" t="s">
        <v>2573</v>
      </c>
      <c r="I181" s="212" t="s">
        <v>184</v>
      </c>
      <c r="J181" s="475">
        <v>47092500</v>
      </c>
      <c r="K181" s="212" t="s">
        <v>138</v>
      </c>
      <c r="L181" s="212" t="s">
        <v>2577</v>
      </c>
      <c r="M181" s="212" t="s">
        <v>44</v>
      </c>
      <c r="N181" s="212" t="s">
        <v>45</v>
      </c>
      <c r="O181" s="212" t="s">
        <v>142</v>
      </c>
      <c r="P181" s="212" t="s">
        <v>43</v>
      </c>
      <c r="R181" s="212">
        <v>183</v>
      </c>
      <c r="S181" s="479">
        <v>44230</v>
      </c>
      <c r="T181" s="212" t="s">
        <v>2980</v>
      </c>
      <c r="U181" s="475">
        <v>47092500</v>
      </c>
      <c r="V181" s="406"/>
      <c r="W181" s="362"/>
      <c r="X181" s="483">
        <v>132</v>
      </c>
      <c r="Y181" s="497">
        <v>44239</v>
      </c>
      <c r="Z181" s="497">
        <v>44239</v>
      </c>
      <c r="AA181" s="497">
        <v>44451</v>
      </c>
      <c r="AB181" s="498" t="s">
        <v>2575</v>
      </c>
      <c r="AC181" s="499">
        <v>77</v>
      </c>
      <c r="AD181" s="498">
        <v>1015995682</v>
      </c>
      <c r="AE181" s="500" t="s">
        <v>2981</v>
      </c>
      <c r="AF181" s="473">
        <v>47092500</v>
      </c>
      <c r="AG181" s="474">
        <f t="shared" si="2"/>
        <v>0</v>
      </c>
      <c r="AJ181" s="481">
        <v>3139500</v>
      </c>
      <c r="AK181" s="475">
        <v>6727500</v>
      </c>
      <c r="AL181" s="475">
        <v>6727500</v>
      </c>
      <c r="AM181" s="306">
        <v>6727500</v>
      </c>
    </row>
    <row r="182" spans="1:39" hidden="1" x14ac:dyDescent="0.25">
      <c r="A182" s="476" t="s">
        <v>2062</v>
      </c>
      <c r="B182" s="477">
        <v>38377800</v>
      </c>
      <c r="C182" s="212" t="s">
        <v>2571</v>
      </c>
      <c r="D182" s="212">
        <v>178</v>
      </c>
      <c r="E182" s="478">
        <v>20211400005093</v>
      </c>
      <c r="F182" s="479">
        <v>44230</v>
      </c>
      <c r="G182" s="478" t="s">
        <v>2572</v>
      </c>
      <c r="H182" s="212" t="s">
        <v>2573</v>
      </c>
      <c r="I182" s="212" t="s">
        <v>184</v>
      </c>
      <c r="J182" s="475">
        <v>38377800</v>
      </c>
      <c r="K182" s="212" t="s">
        <v>138</v>
      </c>
      <c r="L182" s="212" t="s">
        <v>2577</v>
      </c>
      <c r="M182" s="212" t="s">
        <v>44</v>
      </c>
      <c r="N182" s="212" t="s">
        <v>45</v>
      </c>
      <c r="O182" s="212" t="s">
        <v>142</v>
      </c>
      <c r="P182" s="212" t="s">
        <v>43</v>
      </c>
      <c r="R182" s="212">
        <v>186</v>
      </c>
      <c r="S182" s="479">
        <v>44230</v>
      </c>
      <c r="T182" s="212" t="s">
        <v>2982</v>
      </c>
      <c r="U182" s="475">
        <v>38377800</v>
      </c>
      <c r="V182" s="406"/>
      <c r="W182" s="362"/>
      <c r="X182" s="483">
        <v>145</v>
      </c>
      <c r="Y182" s="484">
        <v>44243</v>
      </c>
      <c r="Z182" s="484">
        <v>44243</v>
      </c>
      <c r="AA182" s="484">
        <v>44485</v>
      </c>
      <c r="AB182" s="485" t="s">
        <v>2575</v>
      </c>
      <c r="AC182" s="483">
        <v>95</v>
      </c>
      <c r="AD182" s="485">
        <v>36275348</v>
      </c>
      <c r="AE182" s="486" t="s">
        <v>2983</v>
      </c>
      <c r="AF182" s="473">
        <v>38377800</v>
      </c>
      <c r="AG182" s="474">
        <f t="shared" si="2"/>
        <v>0</v>
      </c>
      <c r="AJ182" s="481">
        <v>1918890</v>
      </c>
      <c r="AK182" s="475">
        <v>4797225</v>
      </c>
      <c r="AL182" s="475">
        <v>4797225</v>
      </c>
      <c r="AM182" s="306">
        <v>4797225</v>
      </c>
    </row>
    <row r="183" spans="1:39" hidden="1" x14ac:dyDescent="0.25">
      <c r="A183" s="476" t="s">
        <v>2037</v>
      </c>
      <c r="B183" s="477">
        <v>42745500</v>
      </c>
      <c r="C183" s="212" t="s">
        <v>2571</v>
      </c>
      <c r="D183" s="212">
        <v>179</v>
      </c>
      <c r="E183" s="478">
        <v>20211400005043</v>
      </c>
      <c r="F183" s="479">
        <v>44230</v>
      </c>
      <c r="G183" s="478" t="s">
        <v>2572</v>
      </c>
      <c r="H183" s="212" t="s">
        <v>2573</v>
      </c>
      <c r="I183" s="212" t="s">
        <v>184</v>
      </c>
      <c r="J183" s="475">
        <v>42745500</v>
      </c>
      <c r="K183" s="212" t="s">
        <v>138</v>
      </c>
      <c r="L183" s="212" t="s">
        <v>2577</v>
      </c>
      <c r="M183" s="212" t="s">
        <v>44</v>
      </c>
      <c r="N183" s="212" t="s">
        <v>45</v>
      </c>
      <c r="O183" s="212" t="s">
        <v>142</v>
      </c>
      <c r="P183" s="212" t="s">
        <v>43</v>
      </c>
      <c r="R183" s="212">
        <v>182</v>
      </c>
      <c r="S183" s="479">
        <v>44230</v>
      </c>
      <c r="T183" s="212" t="s">
        <v>2984</v>
      </c>
      <c r="U183" s="475">
        <v>42745500</v>
      </c>
      <c r="V183" s="406"/>
      <c r="W183" s="362"/>
      <c r="X183" s="483">
        <v>165</v>
      </c>
      <c r="Y183" s="484">
        <v>44246</v>
      </c>
      <c r="Z183" s="484">
        <v>44246</v>
      </c>
      <c r="AA183" s="484">
        <v>44458</v>
      </c>
      <c r="AB183" s="485" t="s">
        <v>2575</v>
      </c>
      <c r="AC183" s="483">
        <v>112</v>
      </c>
      <c r="AD183" s="485">
        <v>80014213</v>
      </c>
      <c r="AE183" s="486" t="s">
        <v>2985</v>
      </c>
      <c r="AF183" s="473">
        <v>42745500</v>
      </c>
      <c r="AG183" s="474">
        <f t="shared" si="2"/>
        <v>0</v>
      </c>
      <c r="AJ183" s="481">
        <v>1424850</v>
      </c>
      <c r="AK183" s="475">
        <v>6106500</v>
      </c>
      <c r="AL183" s="475">
        <v>6106500</v>
      </c>
      <c r="AM183" s="306">
        <v>6106500</v>
      </c>
    </row>
    <row r="184" spans="1:39" hidden="1" x14ac:dyDescent="0.25">
      <c r="A184" s="476" t="s">
        <v>2941</v>
      </c>
      <c r="B184" s="501" t="s">
        <v>2941</v>
      </c>
      <c r="C184" s="212" t="s">
        <v>2571</v>
      </c>
      <c r="D184" s="212">
        <v>180</v>
      </c>
      <c r="E184" s="478">
        <v>20217000005243</v>
      </c>
      <c r="F184" s="479">
        <v>44230</v>
      </c>
      <c r="G184" s="478" t="s">
        <v>2572</v>
      </c>
      <c r="H184" s="212" t="s">
        <v>2573</v>
      </c>
      <c r="I184" s="212" t="s">
        <v>164</v>
      </c>
      <c r="J184" s="475">
        <v>2633406</v>
      </c>
      <c r="K184" s="212" t="s">
        <v>138</v>
      </c>
      <c r="L184" s="212" t="s">
        <v>139</v>
      </c>
      <c r="M184" s="212" t="s">
        <v>44</v>
      </c>
      <c r="N184" s="212" t="s">
        <v>45</v>
      </c>
      <c r="O184" s="212" t="s">
        <v>142</v>
      </c>
      <c r="P184" s="212" t="s">
        <v>43</v>
      </c>
      <c r="R184" s="212">
        <v>196</v>
      </c>
      <c r="S184" s="479">
        <v>44230</v>
      </c>
      <c r="T184" s="212" t="s">
        <v>2986</v>
      </c>
      <c r="U184" s="475">
        <v>2633406</v>
      </c>
      <c r="V184" s="406"/>
      <c r="W184" s="362"/>
      <c r="X184" s="308">
        <f>VLOOKUP(R184,[3]Sheet1!$F$67:$O$130,2,0)</f>
        <v>85</v>
      </c>
      <c r="Y184" s="484">
        <v>44232</v>
      </c>
      <c r="Z184" s="484">
        <v>44233</v>
      </c>
      <c r="AA184" s="484">
        <v>44275</v>
      </c>
      <c r="AB184" s="485" t="s">
        <v>2575</v>
      </c>
      <c r="AC184" s="211">
        <v>569</v>
      </c>
      <c r="AD184" s="487">
        <v>1010118375</v>
      </c>
      <c r="AE184" s="486" t="s">
        <v>2987</v>
      </c>
      <c r="AF184" s="473">
        <v>2633406</v>
      </c>
      <c r="AG184" s="474">
        <f t="shared" si="2"/>
        <v>0</v>
      </c>
      <c r="AJ184" s="475">
        <v>1755604</v>
      </c>
      <c r="AK184" s="475">
        <v>877802</v>
      </c>
      <c r="AM184" s="212"/>
    </row>
    <row r="185" spans="1:39" hidden="1" x14ac:dyDescent="0.25">
      <c r="A185" s="476" t="s">
        <v>2292</v>
      </c>
      <c r="B185" s="477">
        <v>45500000</v>
      </c>
      <c r="C185" s="212" t="s">
        <v>2571</v>
      </c>
      <c r="D185" s="212">
        <v>181</v>
      </c>
      <c r="E185" s="478">
        <v>20214000005373</v>
      </c>
      <c r="F185" s="479">
        <v>44230</v>
      </c>
      <c r="G185" s="478" t="s">
        <v>2598</v>
      </c>
      <c r="H185" s="212" t="s">
        <v>2599</v>
      </c>
      <c r="I185" s="212" t="s">
        <v>117</v>
      </c>
      <c r="J185" s="475">
        <v>22800000</v>
      </c>
      <c r="K185" s="212" t="s">
        <v>112</v>
      </c>
      <c r="L185" s="212" t="s">
        <v>2600</v>
      </c>
      <c r="M185" s="212" t="s">
        <v>44</v>
      </c>
      <c r="N185" s="212" t="s">
        <v>45</v>
      </c>
      <c r="O185" s="212" t="s">
        <v>63</v>
      </c>
      <c r="P185" s="212" t="s">
        <v>43</v>
      </c>
      <c r="R185" s="212">
        <v>187</v>
      </c>
      <c r="S185" s="479">
        <v>44230</v>
      </c>
      <c r="T185" s="212" t="s">
        <v>2988</v>
      </c>
      <c r="U185" s="475">
        <v>22800000</v>
      </c>
      <c r="V185" s="406"/>
      <c r="W185" s="362"/>
      <c r="X185" s="483">
        <v>129</v>
      </c>
      <c r="Y185" s="484">
        <v>44239</v>
      </c>
      <c r="Z185" s="484">
        <v>44239</v>
      </c>
      <c r="AA185" s="484">
        <v>44359</v>
      </c>
      <c r="AB185" s="485" t="s">
        <v>2575</v>
      </c>
      <c r="AC185" s="483">
        <v>78</v>
      </c>
      <c r="AD185" s="485">
        <v>1053820192</v>
      </c>
      <c r="AE185" s="486" t="s">
        <v>2989</v>
      </c>
      <c r="AF185" s="473">
        <v>22800000</v>
      </c>
      <c r="AG185" s="474">
        <f t="shared" si="2"/>
        <v>0</v>
      </c>
      <c r="AJ185" s="475">
        <v>3230000</v>
      </c>
      <c r="AK185" s="475">
        <v>5700000</v>
      </c>
      <c r="AL185" s="475">
        <v>5700000</v>
      </c>
      <c r="AM185" s="306">
        <v>5700000</v>
      </c>
    </row>
    <row r="186" spans="1:39" hidden="1" x14ac:dyDescent="0.25">
      <c r="A186" s="494" t="s">
        <v>1762</v>
      </c>
      <c r="B186" s="495">
        <v>58300000</v>
      </c>
      <c r="C186" s="212" t="s">
        <v>2571</v>
      </c>
      <c r="D186" s="212">
        <v>182</v>
      </c>
      <c r="E186" s="478">
        <v>20215000006413</v>
      </c>
      <c r="F186" s="479">
        <v>44235</v>
      </c>
      <c r="G186" s="478" t="s">
        <v>2565</v>
      </c>
      <c r="H186" s="212" t="s">
        <v>2566</v>
      </c>
      <c r="I186" s="212" t="s">
        <v>228</v>
      </c>
      <c r="J186" s="475">
        <v>58300000</v>
      </c>
      <c r="K186" s="212" t="s">
        <v>223</v>
      </c>
      <c r="L186" s="212" t="s">
        <v>236</v>
      </c>
      <c r="M186" s="212" t="s">
        <v>44</v>
      </c>
      <c r="N186" s="212" t="s">
        <v>45</v>
      </c>
      <c r="O186" s="212" t="s">
        <v>63</v>
      </c>
      <c r="P186" s="212" t="s">
        <v>676</v>
      </c>
      <c r="R186" s="212">
        <v>220</v>
      </c>
      <c r="S186" s="479">
        <v>44236</v>
      </c>
      <c r="T186" s="212" t="s">
        <v>2990</v>
      </c>
      <c r="U186" s="475">
        <f>58300000-7950000</f>
        <v>50350000</v>
      </c>
      <c r="V186" s="444">
        <v>7950000</v>
      </c>
      <c r="W186" s="398"/>
      <c r="X186" s="308">
        <v>222</v>
      </c>
      <c r="Y186" s="484">
        <v>44258</v>
      </c>
      <c r="Z186" s="484">
        <v>44258</v>
      </c>
      <c r="AA186" s="484">
        <v>44545</v>
      </c>
      <c r="AB186" s="485" t="s">
        <v>2575</v>
      </c>
      <c r="AC186" s="211">
        <v>155</v>
      </c>
      <c r="AD186" s="485" t="s">
        <v>2991</v>
      </c>
      <c r="AE186" s="486" t="s">
        <v>2992</v>
      </c>
      <c r="AF186" s="473">
        <v>50350000</v>
      </c>
      <c r="AG186" s="474">
        <f t="shared" si="2"/>
        <v>0</v>
      </c>
      <c r="AK186" s="475">
        <v>4770000</v>
      </c>
      <c r="AL186" s="475">
        <v>5300000</v>
      </c>
      <c r="AM186" s="306">
        <v>5300000</v>
      </c>
    </row>
    <row r="187" spans="1:39" hidden="1" x14ac:dyDescent="0.25">
      <c r="A187" s="476" t="s">
        <v>2293</v>
      </c>
      <c r="B187" s="477">
        <v>80000000</v>
      </c>
      <c r="C187" s="212" t="s">
        <v>2571</v>
      </c>
      <c r="D187" s="212">
        <v>183</v>
      </c>
      <c r="E187" s="478">
        <v>20211200005433</v>
      </c>
      <c r="F187" s="479">
        <v>44230</v>
      </c>
      <c r="G187" s="478" t="s">
        <v>2572</v>
      </c>
      <c r="H187" s="212" t="s">
        <v>2573</v>
      </c>
      <c r="I187" s="212" t="s">
        <v>143</v>
      </c>
      <c r="J187" s="475">
        <v>80000000</v>
      </c>
      <c r="K187" s="212" t="s">
        <v>138</v>
      </c>
      <c r="L187" s="212" t="s">
        <v>139</v>
      </c>
      <c r="M187" s="212" t="s">
        <v>44</v>
      </c>
      <c r="N187" s="212" t="s">
        <v>45</v>
      </c>
      <c r="O187" s="212" t="s">
        <v>142</v>
      </c>
      <c r="P187" s="212" t="s">
        <v>43</v>
      </c>
      <c r="R187" s="212">
        <v>189</v>
      </c>
      <c r="S187" s="479">
        <v>44230</v>
      </c>
      <c r="T187" s="212" t="s">
        <v>2993</v>
      </c>
      <c r="U187" s="475">
        <v>80000000</v>
      </c>
      <c r="V187" s="406"/>
      <c r="W187" s="362"/>
      <c r="X187" s="483">
        <v>131</v>
      </c>
      <c r="Y187" s="484">
        <v>44239</v>
      </c>
      <c r="Z187" s="484">
        <v>44239</v>
      </c>
      <c r="AA187" s="484">
        <v>44542</v>
      </c>
      <c r="AB187" s="485" t="s">
        <v>2575</v>
      </c>
      <c r="AC187" s="483">
        <v>79</v>
      </c>
      <c r="AD187" s="485">
        <v>55250008</v>
      </c>
      <c r="AE187" s="486" t="s">
        <v>2994</v>
      </c>
      <c r="AF187" s="473">
        <v>80000000</v>
      </c>
      <c r="AG187" s="474">
        <f t="shared" si="2"/>
        <v>0</v>
      </c>
      <c r="AJ187" s="475">
        <v>4533333</v>
      </c>
      <c r="AK187" s="475">
        <v>8000000</v>
      </c>
      <c r="AL187" s="475">
        <v>8000000</v>
      </c>
      <c r="AM187" s="306">
        <v>8000000</v>
      </c>
    </row>
    <row r="188" spans="1:39" hidden="1" x14ac:dyDescent="0.25">
      <c r="A188" s="476" t="s">
        <v>2294</v>
      </c>
      <c r="B188" s="477">
        <v>80000000</v>
      </c>
      <c r="C188" s="212" t="s">
        <v>2571</v>
      </c>
      <c r="D188" s="212">
        <v>184</v>
      </c>
      <c r="E188" s="478">
        <v>20211200005453</v>
      </c>
      <c r="F188" s="479">
        <v>44230</v>
      </c>
      <c r="G188" s="478" t="s">
        <v>2572</v>
      </c>
      <c r="H188" s="212" t="s">
        <v>2573</v>
      </c>
      <c r="I188" s="212" t="s">
        <v>143</v>
      </c>
      <c r="J188" s="475">
        <v>80000000</v>
      </c>
      <c r="K188" s="212" t="s">
        <v>138</v>
      </c>
      <c r="L188" s="212" t="s">
        <v>139</v>
      </c>
      <c r="M188" s="212" t="s">
        <v>44</v>
      </c>
      <c r="N188" s="212" t="s">
        <v>45</v>
      </c>
      <c r="O188" s="212" t="s">
        <v>142</v>
      </c>
      <c r="P188" s="212" t="s">
        <v>43</v>
      </c>
      <c r="R188" s="212">
        <v>190</v>
      </c>
      <c r="S188" s="479">
        <v>44230</v>
      </c>
      <c r="T188" s="212" t="s">
        <v>2995</v>
      </c>
      <c r="U188" s="475">
        <v>80000000</v>
      </c>
      <c r="V188" s="406"/>
      <c r="W188" s="362"/>
      <c r="X188" s="483">
        <v>144</v>
      </c>
      <c r="Y188" s="484">
        <v>44243</v>
      </c>
      <c r="Z188" s="484">
        <v>44243</v>
      </c>
      <c r="AA188" s="484">
        <v>44546</v>
      </c>
      <c r="AB188" s="485" t="s">
        <v>2575</v>
      </c>
      <c r="AC188" s="483">
        <v>89</v>
      </c>
      <c r="AD188" s="485">
        <v>66999693</v>
      </c>
      <c r="AE188" s="486" t="s">
        <v>2996</v>
      </c>
      <c r="AF188" s="473">
        <v>80000000</v>
      </c>
      <c r="AG188" s="474">
        <f t="shared" si="2"/>
        <v>0</v>
      </c>
      <c r="AJ188" s="475">
        <v>3466666</v>
      </c>
      <c r="AK188" s="475">
        <v>8000000</v>
      </c>
      <c r="AL188" s="475">
        <v>8000000</v>
      </c>
      <c r="AM188" s="306">
        <v>8000000</v>
      </c>
    </row>
    <row r="189" spans="1:39" hidden="1" x14ac:dyDescent="0.25">
      <c r="A189" s="476" t="s">
        <v>2295</v>
      </c>
      <c r="B189" s="477">
        <v>65000000</v>
      </c>
      <c r="C189" s="212" t="s">
        <v>2571</v>
      </c>
      <c r="D189" s="212">
        <v>185</v>
      </c>
      <c r="E189" s="478">
        <v>20211200005473</v>
      </c>
      <c r="F189" s="479">
        <v>44230</v>
      </c>
      <c r="G189" s="478" t="s">
        <v>2572</v>
      </c>
      <c r="H189" s="212" t="s">
        <v>2573</v>
      </c>
      <c r="I189" s="212" t="s">
        <v>143</v>
      </c>
      <c r="J189" s="475">
        <v>65000000</v>
      </c>
      <c r="K189" s="212" t="s">
        <v>138</v>
      </c>
      <c r="L189" s="212" t="s">
        <v>139</v>
      </c>
      <c r="M189" s="212" t="s">
        <v>44</v>
      </c>
      <c r="N189" s="212" t="s">
        <v>45</v>
      </c>
      <c r="O189" s="212" t="s">
        <v>142</v>
      </c>
      <c r="P189" s="212" t="s">
        <v>43</v>
      </c>
      <c r="R189" s="212">
        <v>191</v>
      </c>
      <c r="S189" s="479">
        <v>44230</v>
      </c>
      <c r="T189" s="212" t="s">
        <v>2997</v>
      </c>
      <c r="U189" s="475">
        <v>65000000</v>
      </c>
      <c r="V189" s="406"/>
      <c r="W189" s="362"/>
      <c r="X189" s="483">
        <v>156</v>
      </c>
      <c r="Y189" s="484">
        <v>44244</v>
      </c>
      <c r="Z189" s="484">
        <v>44244</v>
      </c>
      <c r="AA189" s="484">
        <v>44547</v>
      </c>
      <c r="AB189" s="485" t="s">
        <v>2575</v>
      </c>
      <c r="AC189" s="483">
        <v>102</v>
      </c>
      <c r="AD189" s="485">
        <v>1010195421</v>
      </c>
      <c r="AE189" s="486" t="s">
        <v>2998</v>
      </c>
      <c r="AF189" s="473">
        <v>65000000</v>
      </c>
      <c r="AG189" s="474">
        <f t="shared" si="2"/>
        <v>0</v>
      </c>
      <c r="AJ189" s="475">
        <v>2383333</v>
      </c>
      <c r="AK189" s="475">
        <v>6500000</v>
      </c>
      <c r="AL189" s="475">
        <v>6500000</v>
      </c>
      <c r="AM189" s="306">
        <v>6500000</v>
      </c>
    </row>
    <row r="190" spans="1:39" hidden="1" x14ac:dyDescent="0.25">
      <c r="A190" s="476" t="s">
        <v>2297</v>
      </c>
      <c r="B190" s="477">
        <v>41337934</v>
      </c>
      <c r="C190" s="212" t="s">
        <v>2571</v>
      </c>
      <c r="D190" s="212">
        <v>186</v>
      </c>
      <c r="E190" s="478">
        <v>20211300005503</v>
      </c>
      <c r="F190" s="479">
        <v>44230</v>
      </c>
      <c r="G190" s="478" t="s">
        <v>2572</v>
      </c>
      <c r="H190" s="212" t="s">
        <v>2573</v>
      </c>
      <c r="I190" s="212" t="s">
        <v>210</v>
      </c>
      <c r="J190" s="475">
        <v>41337934</v>
      </c>
      <c r="K190" s="212" t="s">
        <v>138</v>
      </c>
      <c r="L190" s="212" t="s">
        <v>139</v>
      </c>
      <c r="M190" s="212" t="s">
        <v>44</v>
      </c>
      <c r="N190" s="212" t="s">
        <v>45</v>
      </c>
      <c r="O190" s="212" t="s">
        <v>142</v>
      </c>
      <c r="P190" s="212" t="s">
        <v>43</v>
      </c>
      <c r="R190" s="212">
        <v>192</v>
      </c>
      <c r="S190" s="479">
        <v>44230</v>
      </c>
      <c r="T190" s="212" t="s">
        <v>2999</v>
      </c>
      <c r="U190" s="475">
        <v>41337934</v>
      </c>
      <c r="V190" s="406"/>
      <c r="W190" s="362"/>
      <c r="X190" s="483">
        <v>139</v>
      </c>
      <c r="Y190" s="484">
        <v>44243</v>
      </c>
      <c r="Z190" s="484">
        <v>44243</v>
      </c>
      <c r="AA190" s="484">
        <v>44455</v>
      </c>
      <c r="AB190" s="485" t="s">
        <v>2575</v>
      </c>
      <c r="AC190" s="483">
        <v>87</v>
      </c>
      <c r="AD190" s="485">
        <v>52178572</v>
      </c>
      <c r="AE190" s="486" t="s">
        <v>3000</v>
      </c>
      <c r="AF190" s="473">
        <v>41337934</v>
      </c>
      <c r="AG190" s="474">
        <f t="shared" si="2"/>
        <v>0</v>
      </c>
      <c r="AJ190" s="475">
        <v>2362168</v>
      </c>
      <c r="AK190" s="475">
        <v>5905419</v>
      </c>
      <c r="AL190" s="475">
        <v>5905419</v>
      </c>
      <c r="AM190" s="306">
        <v>5905419</v>
      </c>
    </row>
    <row r="191" spans="1:39" hidden="1" x14ac:dyDescent="0.25">
      <c r="A191" s="476" t="s">
        <v>2018</v>
      </c>
      <c r="B191" s="477">
        <v>64900000</v>
      </c>
      <c r="C191" s="212" t="s">
        <v>2571</v>
      </c>
      <c r="D191" s="212">
        <v>187</v>
      </c>
      <c r="E191" s="309">
        <v>20215000007183</v>
      </c>
      <c r="F191" s="479">
        <v>44243</v>
      </c>
      <c r="G191" s="309" t="s">
        <v>2565</v>
      </c>
      <c r="H191" s="210" t="s">
        <v>2566</v>
      </c>
      <c r="I191" s="210" t="s">
        <v>228</v>
      </c>
      <c r="J191" s="407">
        <v>64900000</v>
      </c>
      <c r="K191" s="212" t="s">
        <v>288</v>
      </c>
      <c r="L191" s="212" t="s">
        <v>2661</v>
      </c>
      <c r="M191" s="212" t="s">
        <v>44</v>
      </c>
      <c r="N191" s="212" t="s">
        <v>45</v>
      </c>
      <c r="O191" s="212" t="s">
        <v>63</v>
      </c>
      <c r="P191" s="212" t="s">
        <v>676</v>
      </c>
      <c r="R191" s="212">
        <v>247</v>
      </c>
      <c r="S191" s="479">
        <v>44243</v>
      </c>
      <c r="T191" s="212" t="s">
        <v>3001</v>
      </c>
      <c r="U191" s="475">
        <f>64900000-8850000</f>
        <v>56050000</v>
      </c>
      <c r="V191" s="444">
        <v>8850000</v>
      </c>
      <c r="W191" s="398"/>
      <c r="X191" s="308">
        <v>223</v>
      </c>
      <c r="Y191" s="484">
        <v>44258</v>
      </c>
      <c r="Z191" s="484">
        <v>44258</v>
      </c>
      <c r="AA191" s="484">
        <v>44545</v>
      </c>
      <c r="AB191" s="485" t="s">
        <v>2575</v>
      </c>
      <c r="AC191" s="483" t="s">
        <v>3002</v>
      </c>
      <c r="AD191" s="485" t="s">
        <v>3003</v>
      </c>
      <c r="AE191" s="486" t="s">
        <v>3004</v>
      </c>
      <c r="AF191" s="473">
        <v>56050000</v>
      </c>
      <c r="AG191" s="474">
        <f t="shared" si="2"/>
        <v>0</v>
      </c>
      <c r="AK191" s="475">
        <v>5310000</v>
      </c>
      <c r="AL191" s="475">
        <v>5900000</v>
      </c>
      <c r="AM191" s="306">
        <v>5900000</v>
      </c>
    </row>
    <row r="192" spans="1:39" hidden="1" x14ac:dyDescent="0.25">
      <c r="A192" s="446" t="s">
        <v>1852</v>
      </c>
      <c r="B192" s="477">
        <v>309400000</v>
      </c>
      <c r="C192" s="212" t="s">
        <v>3005</v>
      </c>
      <c r="D192" s="212">
        <v>188</v>
      </c>
      <c r="E192" s="478">
        <v>20217000005513</v>
      </c>
      <c r="F192" s="479">
        <v>44230</v>
      </c>
      <c r="G192" s="478" t="s">
        <v>2572</v>
      </c>
      <c r="H192" s="212" t="s">
        <v>2573</v>
      </c>
      <c r="I192" s="212" t="s">
        <v>164</v>
      </c>
      <c r="J192" s="475">
        <v>105000000</v>
      </c>
      <c r="K192" s="212" t="s">
        <v>138</v>
      </c>
      <c r="L192" s="212" t="s">
        <v>139</v>
      </c>
      <c r="M192" s="212" t="s">
        <v>44</v>
      </c>
      <c r="N192" s="212" t="s">
        <v>45</v>
      </c>
      <c r="O192" s="212" t="s">
        <v>142</v>
      </c>
      <c r="P192" s="212" t="s">
        <v>43</v>
      </c>
      <c r="R192" s="212">
        <v>193</v>
      </c>
      <c r="S192" s="479">
        <v>44230</v>
      </c>
      <c r="T192" s="212" t="s">
        <v>3006</v>
      </c>
      <c r="U192" s="475">
        <v>105000000</v>
      </c>
      <c r="V192" s="406"/>
      <c r="W192" s="362"/>
      <c r="X192" s="483">
        <v>184</v>
      </c>
      <c r="Y192" s="484">
        <v>44250</v>
      </c>
      <c r="Z192" s="484">
        <v>44250</v>
      </c>
      <c r="AA192" s="484">
        <v>44553</v>
      </c>
      <c r="AB192" s="485" t="s">
        <v>3007</v>
      </c>
      <c r="AC192" s="483">
        <v>64584</v>
      </c>
      <c r="AD192" s="485">
        <v>900229503</v>
      </c>
      <c r="AE192" s="486" t="s">
        <v>3008</v>
      </c>
      <c r="AF192" s="691">
        <v>105000000</v>
      </c>
      <c r="AG192" s="474">
        <f t="shared" si="2"/>
        <v>0</v>
      </c>
      <c r="AL192" s="475">
        <v>10493743</v>
      </c>
      <c r="AM192" s="306">
        <f>9045236</f>
        <v>9045236</v>
      </c>
    </row>
    <row r="193" spans="1:50" ht="15" hidden="1" customHeight="1" x14ac:dyDescent="0.25">
      <c r="B193" s="477" t="s">
        <v>2608</v>
      </c>
      <c r="C193" s="212" t="s">
        <v>2571</v>
      </c>
      <c r="D193" s="212">
        <v>189</v>
      </c>
      <c r="E193" s="478">
        <v>20217000005583</v>
      </c>
      <c r="F193" s="479">
        <v>44230</v>
      </c>
      <c r="G193" s="478" t="s">
        <v>2572</v>
      </c>
      <c r="H193" s="212" t="s">
        <v>2573</v>
      </c>
      <c r="I193" s="212" t="s">
        <v>164</v>
      </c>
      <c r="J193" s="475">
        <v>6144620</v>
      </c>
      <c r="K193" s="212" t="s">
        <v>138</v>
      </c>
      <c r="L193" s="212" t="s">
        <v>139</v>
      </c>
      <c r="M193" s="212" t="s">
        <v>44</v>
      </c>
      <c r="N193" s="212" t="s">
        <v>45</v>
      </c>
      <c r="O193" s="212" t="s">
        <v>142</v>
      </c>
      <c r="P193" s="212" t="s">
        <v>43</v>
      </c>
      <c r="R193" s="212">
        <v>195</v>
      </c>
      <c r="S193" s="479">
        <v>44230</v>
      </c>
      <c r="T193" s="212" t="s">
        <v>3009</v>
      </c>
      <c r="U193" s="475">
        <v>6144620</v>
      </c>
      <c r="V193" s="406"/>
      <c r="W193" s="362"/>
      <c r="X193" s="483">
        <v>192</v>
      </c>
      <c r="Y193" s="484">
        <v>44252</v>
      </c>
      <c r="Z193" s="484">
        <v>44255</v>
      </c>
      <c r="AA193" s="484">
        <v>44313</v>
      </c>
      <c r="AB193" s="485" t="s">
        <v>2575</v>
      </c>
      <c r="AC193" s="483">
        <v>540</v>
      </c>
      <c r="AD193" s="485">
        <v>74858158</v>
      </c>
      <c r="AE193" s="486" t="s">
        <v>3010</v>
      </c>
      <c r="AF193" s="473">
        <v>6144620</v>
      </c>
      <c r="AG193" s="474">
        <f t="shared" si="2"/>
        <v>0</v>
      </c>
      <c r="AJ193" s="475">
        <v>3072310</v>
      </c>
      <c r="AK193" s="475">
        <v>3072310</v>
      </c>
      <c r="AM193" s="212"/>
    </row>
    <row r="194" spans="1:50" ht="15" hidden="1" customHeight="1" x14ac:dyDescent="0.25">
      <c r="A194" s="476" t="s">
        <v>2404</v>
      </c>
      <c r="B194" s="477">
        <v>58300000</v>
      </c>
      <c r="C194" s="212" t="s">
        <v>2571</v>
      </c>
      <c r="D194" s="212">
        <v>190</v>
      </c>
      <c r="E194" s="478">
        <v>20215000007263</v>
      </c>
      <c r="F194" s="479">
        <v>44239</v>
      </c>
      <c r="G194" s="478" t="s">
        <v>2565</v>
      </c>
      <c r="H194" s="212" t="s">
        <v>2566</v>
      </c>
      <c r="I194" s="212" t="s">
        <v>228</v>
      </c>
      <c r="J194" s="475">
        <v>58300000</v>
      </c>
      <c r="K194" s="212" t="s">
        <v>223</v>
      </c>
      <c r="L194" s="212" t="s">
        <v>236</v>
      </c>
      <c r="M194" s="212" t="s">
        <v>44</v>
      </c>
      <c r="N194" s="212" t="s">
        <v>45</v>
      </c>
      <c r="O194" s="671" t="s">
        <v>46</v>
      </c>
      <c r="P194" s="672" t="s">
        <v>676</v>
      </c>
      <c r="Q194" s="672"/>
      <c r="R194" s="672">
        <v>235</v>
      </c>
      <c r="S194" s="673">
        <v>44242</v>
      </c>
      <c r="T194" s="672" t="s">
        <v>3011</v>
      </c>
      <c r="U194" s="674">
        <f>58300000-20300000</f>
        <v>38000000</v>
      </c>
      <c r="V194" s="444">
        <v>20300000</v>
      </c>
      <c r="W194" s="398"/>
      <c r="X194" s="308">
        <v>224</v>
      </c>
      <c r="Y194" s="484">
        <v>44258</v>
      </c>
      <c r="Z194" s="484">
        <v>44258</v>
      </c>
      <c r="AA194" s="484">
        <v>44545</v>
      </c>
      <c r="AB194" s="485" t="s">
        <v>2575</v>
      </c>
      <c r="AC194" s="211">
        <v>154</v>
      </c>
      <c r="AD194" s="485" t="s">
        <v>3012</v>
      </c>
      <c r="AE194" s="360" t="s">
        <v>3013</v>
      </c>
      <c r="AF194" s="473">
        <v>38000000</v>
      </c>
      <c r="AG194" s="474">
        <f t="shared" ref="AG194:AG253" si="3">+U194-AF194</f>
        <v>0</v>
      </c>
      <c r="AK194" s="475">
        <v>3733333</v>
      </c>
      <c r="AL194" s="475">
        <v>4000000</v>
      </c>
      <c r="AM194" s="306">
        <v>4000000</v>
      </c>
    </row>
    <row r="195" spans="1:50" ht="15" hidden="1" customHeight="1" x14ac:dyDescent="0.25">
      <c r="A195" s="494" t="s">
        <v>2069</v>
      </c>
      <c r="B195" s="495">
        <v>24000000</v>
      </c>
      <c r="C195" s="502" t="s">
        <v>2571</v>
      </c>
      <c r="D195" s="212">
        <v>191</v>
      </c>
      <c r="E195" s="478">
        <v>20213000005693</v>
      </c>
      <c r="F195" s="479">
        <v>44231</v>
      </c>
      <c r="G195" s="478" t="s">
        <v>2565</v>
      </c>
      <c r="H195" s="212" t="s">
        <v>2566</v>
      </c>
      <c r="I195" s="212" t="s">
        <v>432</v>
      </c>
      <c r="J195" s="475">
        <v>24000000</v>
      </c>
      <c r="K195" s="212" t="s">
        <v>358</v>
      </c>
      <c r="L195" s="212" t="s">
        <v>2716</v>
      </c>
      <c r="M195" s="212" t="s">
        <v>44</v>
      </c>
      <c r="N195" s="212" t="s">
        <v>45</v>
      </c>
      <c r="O195" s="212" t="s">
        <v>63</v>
      </c>
      <c r="P195" s="212" t="s">
        <v>676</v>
      </c>
      <c r="R195" s="212">
        <v>198</v>
      </c>
      <c r="S195" s="479">
        <v>44231</v>
      </c>
      <c r="T195" s="212" t="s">
        <v>3014</v>
      </c>
      <c r="U195" s="475">
        <v>24000000</v>
      </c>
      <c r="V195" s="406"/>
      <c r="W195" s="362"/>
      <c r="X195" s="483">
        <v>148</v>
      </c>
      <c r="Y195" s="484">
        <v>44243</v>
      </c>
      <c r="Z195" s="484">
        <v>44243</v>
      </c>
      <c r="AA195" s="484">
        <v>44485</v>
      </c>
      <c r="AB195" s="485" t="s">
        <v>2575</v>
      </c>
      <c r="AC195" s="483">
        <v>98</v>
      </c>
      <c r="AD195" s="485">
        <v>1024535595</v>
      </c>
      <c r="AE195" s="486" t="s">
        <v>3015</v>
      </c>
      <c r="AF195" s="473">
        <v>24000000</v>
      </c>
      <c r="AG195" s="474">
        <f t="shared" si="3"/>
        <v>0</v>
      </c>
      <c r="AL195" s="475">
        <v>1100000</v>
      </c>
      <c r="AM195" s="306">
        <v>3000000</v>
      </c>
    </row>
    <row r="196" spans="1:50" ht="15" hidden="1" customHeight="1" x14ac:dyDescent="0.25">
      <c r="A196" s="494" t="s">
        <v>2070</v>
      </c>
      <c r="B196" s="495">
        <v>56000000</v>
      </c>
      <c r="C196" s="212" t="s">
        <v>2571</v>
      </c>
      <c r="D196" s="478">
        <v>192</v>
      </c>
      <c r="E196" s="478">
        <v>20213000005703</v>
      </c>
      <c r="F196" s="479">
        <v>44231</v>
      </c>
      <c r="G196" s="478" t="s">
        <v>2565</v>
      </c>
      <c r="H196" s="212" t="s">
        <v>2566</v>
      </c>
      <c r="I196" s="212" t="s">
        <v>432</v>
      </c>
      <c r="J196" s="475">
        <v>56000000</v>
      </c>
      <c r="K196" s="212" t="s">
        <v>358</v>
      </c>
      <c r="L196" s="212" t="s">
        <v>2716</v>
      </c>
      <c r="M196" s="212" t="s">
        <v>44</v>
      </c>
      <c r="N196" s="212" t="s">
        <v>45</v>
      </c>
      <c r="O196" s="212" t="s">
        <v>63</v>
      </c>
      <c r="P196" s="212" t="s">
        <v>676</v>
      </c>
      <c r="R196" s="212">
        <v>199</v>
      </c>
      <c r="S196" s="479">
        <v>44231</v>
      </c>
      <c r="T196" s="212" t="s">
        <v>3016</v>
      </c>
      <c r="U196" s="475">
        <f>56000000-1488440</f>
        <v>54511560</v>
      </c>
      <c r="V196" s="411">
        <v>1488440</v>
      </c>
      <c r="W196" s="397"/>
      <c r="X196" s="483">
        <v>190</v>
      </c>
      <c r="Y196" s="484">
        <v>44252</v>
      </c>
      <c r="Z196" s="484">
        <v>44252</v>
      </c>
      <c r="AA196" s="484">
        <v>44494</v>
      </c>
      <c r="AB196" s="485" t="s">
        <v>2575</v>
      </c>
      <c r="AC196" s="483">
        <v>127</v>
      </c>
      <c r="AD196" s="485">
        <v>34546695</v>
      </c>
      <c r="AE196" s="486" t="s">
        <v>3017</v>
      </c>
      <c r="AF196" s="473">
        <v>54511560</v>
      </c>
      <c r="AG196" s="474">
        <f t="shared" si="3"/>
        <v>0</v>
      </c>
      <c r="AJ196" s="475">
        <v>681395</v>
      </c>
      <c r="AK196" s="475">
        <v>6813945</v>
      </c>
      <c r="AL196" s="475">
        <v>6813945</v>
      </c>
      <c r="AM196" s="306">
        <v>6813945</v>
      </c>
    </row>
    <row r="197" spans="1:50" ht="15" hidden="1" customHeight="1" x14ac:dyDescent="0.25">
      <c r="A197" s="476" t="s">
        <v>2175</v>
      </c>
      <c r="B197" s="477">
        <v>58128384</v>
      </c>
      <c r="C197" s="212" t="s">
        <v>2571</v>
      </c>
      <c r="D197" s="478">
        <v>193</v>
      </c>
      <c r="E197" s="309">
        <v>20217000008343</v>
      </c>
      <c r="F197" s="479">
        <v>44243</v>
      </c>
      <c r="G197" s="478" t="s">
        <v>2572</v>
      </c>
      <c r="H197" s="212" t="s">
        <v>2573</v>
      </c>
      <c r="I197" s="212" t="s">
        <v>164</v>
      </c>
      <c r="J197" s="475">
        <v>28000000</v>
      </c>
      <c r="K197" s="212" t="s">
        <v>138</v>
      </c>
      <c r="L197" s="212" t="s">
        <v>139</v>
      </c>
      <c r="M197" s="212" t="s">
        <v>44</v>
      </c>
      <c r="N197" s="212" t="s">
        <v>45</v>
      </c>
      <c r="O197" s="212" t="s">
        <v>142</v>
      </c>
      <c r="P197" s="212" t="s">
        <v>43</v>
      </c>
      <c r="R197" s="212">
        <v>260</v>
      </c>
      <c r="S197" s="479">
        <v>44244</v>
      </c>
      <c r="T197" s="212" t="s">
        <v>3018</v>
      </c>
      <c r="U197" s="475">
        <v>28000000</v>
      </c>
      <c r="V197" s="406"/>
      <c r="W197" s="362"/>
      <c r="X197" s="308">
        <v>225</v>
      </c>
      <c r="Y197" s="484">
        <v>44258</v>
      </c>
      <c r="Z197" s="484">
        <v>44258</v>
      </c>
      <c r="AA197" s="484">
        <v>44380</v>
      </c>
      <c r="AB197" s="485" t="s">
        <v>2575</v>
      </c>
      <c r="AC197" s="211">
        <v>148</v>
      </c>
      <c r="AD197" s="485" t="s">
        <v>3019</v>
      </c>
      <c r="AE197" s="486" t="s">
        <v>3020</v>
      </c>
      <c r="AF197" s="473">
        <v>28000000</v>
      </c>
      <c r="AG197" s="474">
        <f t="shared" si="3"/>
        <v>0</v>
      </c>
      <c r="AK197" s="475">
        <v>6766667</v>
      </c>
      <c r="AL197" s="475">
        <v>7000000</v>
      </c>
      <c r="AM197" s="306">
        <v>7000000</v>
      </c>
    </row>
    <row r="198" spans="1:50" ht="15" hidden="1" customHeight="1" x14ac:dyDescent="0.25">
      <c r="A198" s="494" t="s">
        <v>2446</v>
      </c>
      <c r="B198" s="495">
        <v>56000000</v>
      </c>
      <c r="C198" s="212" t="s">
        <v>2571</v>
      </c>
      <c r="D198" s="478">
        <v>194</v>
      </c>
      <c r="E198" s="478">
        <v>20213000005723</v>
      </c>
      <c r="F198" s="479">
        <v>44231</v>
      </c>
      <c r="G198" s="478" t="s">
        <v>2565</v>
      </c>
      <c r="H198" s="212" t="s">
        <v>2566</v>
      </c>
      <c r="I198" s="212" t="s">
        <v>432</v>
      </c>
      <c r="J198" s="475">
        <v>56000000</v>
      </c>
      <c r="K198" s="212" t="s">
        <v>358</v>
      </c>
      <c r="L198" s="212" t="s">
        <v>2716</v>
      </c>
      <c r="M198" s="212" t="s">
        <v>44</v>
      </c>
      <c r="N198" s="212" t="s">
        <v>45</v>
      </c>
      <c r="O198" s="212" t="s">
        <v>63</v>
      </c>
      <c r="P198" s="212" t="s">
        <v>676</v>
      </c>
      <c r="R198" s="212">
        <v>201</v>
      </c>
      <c r="S198" s="479">
        <v>44231</v>
      </c>
      <c r="T198" s="212" t="s">
        <v>3021</v>
      </c>
      <c r="U198" s="475">
        <f>56000000-1600000</f>
        <v>54400000</v>
      </c>
      <c r="V198" s="406">
        <v>1600000</v>
      </c>
      <c r="W198" s="362"/>
      <c r="X198" s="483" t="s">
        <v>3022</v>
      </c>
      <c r="Y198" s="484">
        <v>44298</v>
      </c>
      <c r="Z198" s="484">
        <v>44298</v>
      </c>
      <c r="AA198" s="484">
        <v>44542</v>
      </c>
      <c r="AB198" s="485" t="s">
        <v>2575</v>
      </c>
      <c r="AC198" s="483" t="s">
        <v>3023</v>
      </c>
      <c r="AD198" s="485" t="s">
        <v>3024</v>
      </c>
      <c r="AE198" s="486" t="s">
        <v>3025</v>
      </c>
      <c r="AF198" s="473">
        <v>54400000</v>
      </c>
      <c r="AG198" s="474">
        <f t="shared" si="3"/>
        <v>0</v>
      </c>
      <c r="AL198" s="475">
        <v>4080000</v>
      </c>
      <c r="AM198" s="306">
        <v>6800000</v>
      </c>
    </row>
    <row r="199" spans="1:50" ht="15" hidden="1" customHeight="1" x14ac:dyDescent="0.25">
      <c r="A199" s="494" t="s">
        <v>2077</v>
      </c>
      <c r="B199" s="495">
        <v>44000000</v>
      </c>
      <c r="C199" s="212" t="s">
        <v>2571</v>
      </c>
      <c r="D199" s="478">
        <v>195</v>
      </c>
      <c r="E199" s="478">
        <v>20213000005753</v>
      </c>
      <c r="F199" s="479">
        <v>44231</v>
      </c>
      <c r="G199" s="478" t="s">
        <v>2565</v>
      </c>
      <c r="H199" s="212" t="s">
        <v>2566</v>
      </c>
      <c r="I199" s="212" t="s">
        <v>432</v>
      </c>
      <c r="J199" s="475">
        <v>41300000</v>
      </c>
      <c r="K199" s="212" t="s">
        <v>358</v>
      </c>
      <c r="L199" s="212" t="s">
        <v>2716</v>
      </c>
      <c r="M199" s="212" t="s">
        <v>44</v>
      </c>
      <c r="N199" s="212" t="s">
        <v>45</v>
      </c>
      <c r="O199" s="212" t="s">
        <v>63</v>
      </c>
      <c r="P199" s="212" t="s">
        <v>676</v>
      </c>
      <c r="R199" s="212">
        <v>202</v>
      </c>
      <c r="S199" s="479">
        <v>44231</v>
      </c>
      <c r="T199" s="212" t="s">
        <v>3026</v>
      </c>
      <c r="U199" s="475">
        <v>41300000</v>
      </c>
      <c r="V199" s="406"/>
      <c r="W199" s="362"/>
      <c r="X199" s="483">
        <v>141</v>
      </c>
      <c r="Y199" s="484">
        <v>44243</v>
      </c>
      <c r="Z199" s="484">
        <v>44243</v>
      </c>
      <c r="AA199" s="484">
        <v>44455</v>
      </c>
      <c r="AB199" s="485" t="s">
        <v>2575</v>
      </c>
      <c r="AC199" s="483">
        <v>90</v>
      </c>
      <c r="AD199" s="485">
        <v>93130090</v>
      </c>
      <c r="AE199" s="486" t="s">
        <v>3027</v>
      </c>
      <c r="AF199" s="473">
        <v>41300000</v>
      </c>
      <c r="AG199" s="474">
        <f t="shared" si="3"/>
        <v>0</v>
      </c>
      <c r="AJ199" s="475">
        <v>2360000</v>
      </c>
      <c r="AK199" s="475">
        <v>5900000</v>
      </c>
      <c r="AL199" s="475">
        <v>5900000</v>
      </c>
      <c r="AM199" s="306">
        <v>5900000</v>
      </c>
    </row>
    <row r="200" spans="1:50" ht="15" hidden="1" customHeight="1" x14ac:dyDescent="0.25">
      <c r="B200" s="477" t="s">
        <v>3028</v>
      </c>
      <c r="C200" s="212" t="s">
        <v>3029</v>
      </c>
      <c r="D200" s="478">
        <v>196</v>
      </c>
      <c r="E200" s="309">
        <v>20217000009023</v>
      </c>
      <c r="F200" s="479">
        <v>44245</v>
      </c>
      <c r="G200" s="478" t="s">
        <v>2572</v>
      </c>
      <c r="H200" s="212" t="s">
        <v>2573</v>
      </c>
      <c r="I200" s="212" t="s">
        <v>164</v>
      </c>
      <c r="J200" s="473">
        <v>1800000</v>
      </c>
      <c r="K200" s="212" t="s">
        <v>138</v>
      </c>
      <c r="L200" s="212" t="s">
        <v>139</v>
      </c>
      <c r="M200" s="212" t="s">
        <v>44</v>
      </c>
      <c r="N200" s="212" t="s">
        <v>45</v>
      </c>
      <c r="O200" s="212" t="s">
        <v>142</v>
      </c>
      <c r="P200" s="212" t="s">
        <v>43</v>
      </c>
      <c r="R200" s="486">
        <v>275</v>
      </c>
      <c r="S200" s="490">
        <v>44246</v>
      </c>
      <c r="T200" s="486" t="s">
        <v>3030</v>
      </c>
      <c r="U200" s="475">
        <v>1800000</v>
      </c>
      <c r="V200" s="406"/>
      <c r="W200" s="362"/>
      <c r="X200" s="308">
        <v>226</v>
      </c>
      <c r="Y200" s="484">
        <v>44258</v>
      </c>
      <c r="Z200" s="484">
        <v>44258</v>
      </c>
      <c r="AA200" s="484">
        <v>44286</v>
      </c>
      <c r="AB200" s="485" t="s">
        <v>3031</v>
      </c>
      <c r="AC200" s="211">
        <v>66</v>
      </c>
      <c r="AD200" s="485" t="s">
        <v>3032</v>
      </c>
      <c r="AE200" s="486" t="s">
        <v>3033</v>
      </c>
      <c r="AF200" s="473">
        <v>1800000</v>
      </c>
      <c r="AG200" s="474">
        <f t="shared" si="3"/>
        <v>0</v>
      </c>
      <c r="AK200" s="475">
        <v>255900</v>
      </c>
      <c r="AL200" s="475">
        <v>782500</v>
      </c>
      <c r="AM200" s="306">
        <v>55400</v>
      </c>
    </row>
    <row r="201" spans="1:50" s="312" customFormat="1" ht="15" hidden="1" customHeight="1" x14ac:dyDescent="0.25">
      <c r="A201" s="476" t="s">
        <v>2503</v>
      </c>
      <c r="B201" s="477">
        <v>18800000</v>
      </c>
      <c r="C201" s="212" t="s">
        <v>2687</v>
      </c>
      <c r="D201" s="311">
        <v>197</v>
      </c>
      <c r="E201" s="309">
        <v>20214000008303</v>
      </c>
      <c r="F201" s="310">
        <v>44243</v>
      </c>
      <c r="G201" s="478" t="s">
        <v>2605</v>
      </c>
      <c r="H201" s="212" t="s">
        <v>2606</v>
      </c>
      <c r="I201" s="212" t="s">
        <v>47</v>
      </c>
      <c r="J201" s="475">
        <v>18800000</v>
      </c>
      <c r="K201" s="212" t="s">
        <v>37</v>
      </c>
      <c r="L201" s="212" t="s">
        <v>2607</v>
      </c>
      <c r="M201" s="212" t="s">
        <v>44</v>
      </c>
      <c r="N201" s="212" t="s">
        <v>45</v>
      </c>
      <c r="O201" s="212" t="s">
        <v>310</v>
      </c>
      <c r="P201" s="212" t="s">
        <v>43</v>
      </c>
      <c r="Q201" s="212"/>
      <c r="R201" s="212">
        <v>254</v>
      </c>
      <c r="S201" s="479">
        <v>44244</v>
      </c>
      <c r="T201" s="212" t="s">
        <v>3034</v>
      </c>
      <c r="U201" s="475">
        <v>18800000</v>
      </c>
      <c r="V201" s="406"/>
      <c r="W201" s="362"/>
      <c r="X201" s="308">
        <v>227</v>
      </c>
      <c r="Y201" s="484">
        <v>44259</v>
      </c>
      <c r="Z201" s="484">
        <v>44259</v>
      </c>
      <c r="AA201" s="484">
        <v>44381</v>
      </c>
      <c r="AB201" s="485" t="s">
        <v>2575</v>
      </c>
      <c r="AC201" s="211">
        <v>146</v>
      </c>
      <c r="AD201" s="485" t="s">
        <v>3035</v>
      </c>
      <c r="AE201" s="486" t="s">
        <v>3036</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x14ac:dyDescent="0.25">
      <c r="A202" s="494" t="s">
        <v>3037</v>
      </c>
      <c r="B202" s="495">
        <v>64000000</v>
      </c>
      <c r="C202" s="212" t="s">
        <v>2571</v>
      </c>
      <c r="D202" s="478">
        <v>198</v>
      </c>
      <c r="E202" s="478">
        <v>20213000006133</v>
      </c>
      <c r="F202" s="479">
        <v>44235</v>
      </c>
      <c r="G202" s="478" t="s">
        <v>2565</v>
      </c>
      <c r="H202" s="212" t="s">
        <v>2566</v>
      </c>
      <c r="I202" s="212" t="s">
        <v>432</v>
      </c>
      <c r="J202" s="475">
        <v>64000000</v>
      </c>
      <c r="K202" s="212" t="s">
        <v>358</v>
      </c>
      <c r="L202" s="212" t="s">
        <v>2716</v>
      </c>
      <c r="M202" s="212" t="s">
        <v>44</v>
      </c>
      <c r="N202" s="212" t="s">
        <v>45</v>
      </c>
      <c r="O202" s="212" t="s">
        <v>63</v>
      </c>
      <c r="P202" s="212" t="s">
        <v>676</v>
      </c>
      <c r="R202" s="212">
        <v>209</v>
      </c>
      <c r="S202" s="479">
        <v>44235</v>
      </c>
      <c r="T202" s="212" t="s">
        <v>3038</v>
      </c>
      <c r="U202" s="475">
        <v>64000000</v>
      </c>
      <c r="V202" s="406"/>
      <c r="W202" s="362"/>
      <c r="X202" s="483">
        <v>167</v>
      </c>
      <c r="Y202" s="484">
        <v>44246</v>
      </c>
      <c r="Z202" s="484">
        <v>44246</v>
      </c>
      <c r="AA202" s="484">
        <v>44488</v>
      </c>
      <c r="AB202" s="485" t="s">
        <v>2575</v>
      </c>
      <c r="AC202" s="483">
        <v>113</v>
      </c>
      <c r="AD202" s="485">
        <v>79381983</v>
      </c>
      <c r="AE202" s="486" t="s">
        <v>3039</v>
      </c>
      <c r="AF202" s="473">
        <v>64000000</v>
      </c>
      <c r="AG202" s="474">
        <f t="shared" si="3"/>
        <v>0</v>
      </c>
      <c r="AJ202" s="475">
        <v>1866667</v>
      </c>
      <c r="AK202" s="475">
        <v>8000000</v>
      </c>
      <c r="AL202" s="475">
        <v>8000000</v>
      </c>
      <c r="AM202" s="306">
        <v>8000000</v>
      </c>
    </row>
    <row r="203" spans="1:50" ht="15" hidden="1" customHeight="1" x14ac:dyDescent="0.25">
      <c r="A203" s="494" t="s">
        <v>2312</v>
      </c>
      <c r="B203" s="495">
        <v>32706936</v>
      </c>
      <c r="C203" s="212" t="s">
        <v>2687</v>
      </c>
      <c r="D203" s="478">
        <v>199</v>
      </c>
      <c r="E203" s="478">
        <v>20213000006153</v>
      </c>
      <c r="F203" s="479">
        <v>44235</v>
      </c>
      <c r="G203" s="478" t="s">
        <v>2565</v>
      </c>
      <c r="H203" s="212" t="s">
        <v>2566</v>
      </c>
      <c r="I203" s="212" t="s">
        <v>432</v>
      </c>
      <c r="J203" s="475">
        <v>32706936</v>
      </c>
      <c r="K203" s="212" t="s">
        <v>358</v>
      </c>
      <c r="L203" s="212" t="s">
        <v>2716</v>
      </c>
      <c r="M203" s="212" t="s">
        <v>44</v>
      </c>
      <c r="N203" s="212" t="s">
        <v>45</v>
      </c>
      <c r="O203" s="212" t="s">
        <v>63</v>
      </c>
      <c r="P203" s="212" t="s">
        <v>676</v>
      </c>
      <c r="R203" s="212">
        <v>210</v>
      </c>
      <c r="S203" s="479">
        <v>44235</v>
      </c>
      <c r="T203" s="212" t="s">
        <v>3040</v>
      </c>
      <c r="U203" s="475">
        <v>32706936</v>
      </c>
      <c r="V203" s="406"/>
      <c r="W203" s="362"/>
      <c r="X203" s="483">
        <v>154</v>
      </c>
      <c r="Y203" s="484">
        <v>44244</v>
      </c>
      <c r="Z203" s="484">
        <v>44244</v>
      </c>
      <c r="AA203" s="484">
        <v>44486</v>
      </c>
      <c r="AB203" s="485" t="s">
        <v>2575</v>
      </c>
      <c r="AC203" s="483">
        <v>105</v>
      </c>
      <c r="AD203" s="485">
        <v>1032446801</v>
      </c>
      <c r="AE203" s="486" t="s">
        <v>3041</v>
      </c>
      <c r="AF203" s="473">
        <v>32706936</v>
      </c>
      <c r="AG203" s="474">
        <f t="shared" si="3"/>
        <v>0</v>
      </c>
      <c r="AJ203" s="475">
        <v>1362789</v>
      </c>
      <c r="AK203" s="475">
        <v>4088367</v>
      </c>
      <c r="AL203" s="475">
        <v>4088367</v>
      </c>
      <c r="AM203" s="212"/>
    </row>
    <row r="204" spans="1:50" ht="15" hidden="1" customHeight="1" x14ac:dyDescent="0.25">
      <c r="A204" s="494" t="s">
        <v>2096</v>
      </c>
      <c r="B204" s="495">
        <v>39600000</v>
      </c>
      <c r="C204" s="212" t="s">
        <v>2571</v>
      </c>
      <c r="D204" s="478">
        <v>200</v>
      </c>
      <c r="E204" s="478">
        <v>20215000002853</v>
      </c>
      <c r="F204" s="479">
        <v>44235</v>
      </c>
      <c r="G204" s="478" t="s">
        <v>2565</v>
      </c>
      <c r="H204" s="212" t="s">
        <v>2566</v>
      </c>
      <c r="I204" s="212" t="s">
        <v>228</v>
      </c>
      <c r="J204" s="475">
        <v>39600000</v>
      </c>
      <c r="K204" s="212" t="s">
        <v>223</v>
      </c>
      <c r="L204" s="212" t="s">
        <v>236</v>
      </c>
      <c r="M204" s="212" t="s">
        <v>44</v>
      </c>
      <c r="N204" s="212" t="s">
        <v>45</v>
      </c>
      <c r="O204" s="212" t="s">
        <v>63</v>
      </c>
      <c r="P204" s="212" t="s">
        <v>676</v>
      </c>
      <c r="R204" s="212">
        <v>205</v>
      </c>
      <c r="S204" s="479">
        <v>44235</v>
      </c>
      <c r="T204" s="212" t="s">
        <v>3042</v>
      </c>
      <c r="U204" s="475">
        <f>39600000-14100000</f>
        <v>25500000</v>
      </c>
      <c r="V204" s="406">
        <v>14100000</v>
      </c>
      <c r="W204" s="362"/>
      <c r="X204" s="483" t="s">
        <v>3043</v>
      </c>
      <c r="Y204" s="484">
        <v>44298</v>
      </c>
      <c r="Z204" s="484">
        <v>44298</v>
      </c>
      <c r="AA204" s="484">
        <v>44561</v>
      </c>
      <c r="AB204" s="485" t="s">
        <v>2575</v>
      </c>
      <c r="AC204" s="483" t="s">
        <v>3044</v>
      </c>
      <c r="AD204" s="485" t="s">
        <v>3045</v>
      </c>
      <c r="AE204" s="486" t="s">
        <v>3046</v>
      </c>
      <c r="AF204" s="473">
        <v>25500000</v>
      </c>
      <c r="AG204" s="474">
        <f t="shared" si="3"/>
        <v>0</v>
      </c>
      <c r="AL204" s="475">
        <v>1900000</v>
      </c>
      <c r="AM204" s="306">
        <v>3000000</v>
      </c>
    </row>
    <row r="205" spans="1:50" s="312" customFormat="1" ht="15" hidden="1" customHeight="1" x14ac:dyDescent="0.25">
      <c r="A205" s="503" t="s">
        <v>3047</v>
      </c>
      <c r="B205" s="418">
        <v>55000000</v>
      </c>
      <c r="C205" s="312" t="s">
        <v>2571</v>
      </c>
      <c r="D205" s="325">
        <v>201</v>
      </c>
      <c r="E205" s="325">
        <v>20215000002923</v>
      </c>
      <c r="F205" s="315">
        <v>44235</v>
      </c>
      <c r="G205" s="325" t="s">
        <v>2565</v>
      </c>
      <c r="H205" s="312" t="s">
        <v>2566</v>
      </c>
      <c r="I205" s="312" t="s">
        <v>228</v>
      </c>
      <c r="J205" s="405">
        <v>55000000</v>
      </c>
      <c r="K205" s="312" t="s">
        <v>223</v>
      </c>
      <c r="L205" s="312" t="s">
        <v>257</v>
      </c>
      <c r="M205" s="312" t="s">
        <v>44</v>
      </c>
      <c r="N205" s="312" t="s">
        <v>2861</v>
      </c>
      <c r="O205" s="312" t="s">
        <v>255</v>
      </c>
      <c r="P205" s="312" t="s">
        <v>676</v>
      </c>
      <c r="R205" s="312">
        <v>206</v>
      </c>
      <c r="S205" s="315">
        <v>44235</v>
      </c>
      <c r="T205" s="312" t="s">
        <v>3048</v>
      </c>
      <c r="U205" s="405">
        <f>55000000-55000000</f>
        <v>0</v>
      </c>
      <c r="V205" s="406">
        <v>55000000</v>
      </c>
      <c r="W205" s="362" t="s">
        <v>1453</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x14ac:dyDescent="0.25">
      <c r="A206" s="494" t="s">
        <v>1758</v>
      </c>
      <c r="B206" s="495">
        <v>44000000</v>
      </c>
      <c r="C206" s="212" t="s">
        <v>2571</v>
      </c>
      <c r="D206" s="478">
        <v>202</v>
      </c>
      <c r="E206" s="478">
        <v>20215000006303</v>
      </c>
      <c r="F206" s="479">
        <v>44235</v>
      </c>
      <c r="G206" s="478" t="s">
        <v>2565</v>
      </c>
      <c r="H206" s="212" t="s">
        <v>2566</v>
      </c>
      <c r="I206" s="212" t="s">
        <v>228</v>
      </c>
      <c r="J206" s="475">
        <v>44000000</v>
      </c>
      <c r="K206" s="212" t="s">
        <v>223</v>
      </c>
      <c r="L206" s="212" t="s">
        <v>269</v>
      </c>
      <c r="M206" s="212" t="s">
        <v>44</v>
      </c>
      <c r="N206" s="212" t="s">
        <v>45</v>
      </c>
      <c r="O206" s="212" t="s">
        <v>63</v>
      </c>
      <c r="P206" s="212" t="s">
        <v>676</v>
      </c>
      <c r="R206" s="212">
        <v>211</v>
      </c>
      <c r="S206" s="479">
        <v>44235</v>
      </c>
      <c r="T206" s="212" t="s">
        <v>3049</v>
      </c>
      <c r="U206" s="475">
        <f>44000000-4000000</f>
        <v>40000000</v>
      </c>
      <c r="V206" s="444">
        <v>4000000</v>
      </c>
      <c r="W206" s="398"/>
      <c r="X206" s="483">
        <v>153</v>
      </c>
      <c r="Y206" s="484">
        <v>44244</v>
      </c>
      <c r="Z206" s="484">
        <v>44244</v>
      </c>
      <c r="AA206" s="484">
        <v>44547</v>
      </c>
      <c r="AB206" s="485" t="s">
        <v>2575</v>
      </c>
      <c r="AC206" s="483">
        <v>91</v>
      </c>
      <c r="AD206" s="485">
        <v>1010235635</v>
      </c>
      <c r="AE206" s="486" t="s">
        <v>3050</v>
      </c>
      <c r="AF206" s="473">
        <v>40000000</v>
      </c>
      <c r="AG206" s="474">
        <f t="shared" si="3"/>
        <v>0</v>
      </c>
      <c r="AJ206" s="475">
        <v>1600000</v>
      </c>
      <c r="AK206" s="475">
        <v>4000000</v>
      </c>
      <c r="AL206" s="475">
        <v>4000000</v>
      </c>
      <c r="AM206" s="306">
        <v>4000000</v>
      </c>
    </row>
    <row r="207" spans="1:50" ht="15" hidden="1" customHeight="1" x14ac:dyDescent="0.25">
      <c r="A207" s="476" t="s">
        <v>2024</v>
      </c>
      <c r="B207" s="477">
        <v>88320000</v>
      </c>
      <c r="C207" s="212" t="s">
        <v>2571</v>
      </c>
      <c r="D207" s="478">
        <v>203</v>
      </c>
      <c r="E207" s="478">
        <v>20215000001193</v>
      </c>
      <c r="F207" s="479">
        <v>44214</v>
      </c>
      <c r="G207" s="478" t="s">
        <v>2565</v>
      </c>
      <c r="H207" s="212" t="s">
        <v>2566</v>
      </c>
      <c r="I207" s="212" t="s">
        <v>228</v>
      </c>
      <c r="J207" s="475">
        <v>88320000</v>
      </c>
      <c r="K207" s="212" t="s">
        <v>223</v>
      </c>
      <c r="L207" s="212" t="s">
        <v>2683</v>
      </c>
      <c r="M207" s="212" t="s">
        <v>44</v>
      </c>
      <c r="N207" s="212" t="s">
        <v>45</v>
      </c>
      <c r="O207" s="212" t="s">
        <v>63</v>
      </c>
      <c r="P207" s="212" t="s">
        <v>676</v>
      </c>
      <c r="R207" s="212">
        <v>55</v>
      </c>
      <c r="S207" s="479">
        <v>44214</v>
      </c>
      <c r="T207" s="212" t="s">
        <v>3051</v>
      </c>
      <c r="U207" s="475">
        <f>88320000-15170000</f>
        <v>73150000</v>
      </c>
      <c r="V207" s="411">
        <v>15170000</v>
      </c>
      <c r="W207" s="397"/>
      <c r="X207" s="308">
        <v>228</v>
      </c>
      <c r="Y207" s="484">
        <v>44259</v>
      </c>
      <c r="Z207" s="484">
        <v>44259</v>
      </c>
      <c r="AA207" s="484">
        <v>44545</v>
      </c>
      <c r="AB207" s="485" t="s">
        <v>2575</v>
      </c>
      <c r="AC207" s="211">
        <v>164</v>
      </c>
      <c r="AD207" s="485" t="s">
        <v>3052</v>
      </c>
      <c r="AE207" s="486" t="s">
        <v>3053</v>
      </c>
      <c r="AF207" s="473">
        <v>73150000</v>
      </c>
      <c r="AG207" s="474">
        <f t="shared" si="3"/>
        <v>0</v>
      </c>
      <c r="AK207" s="475">
        <v>6930000</v>
      </c>
      <c r="AL207" s="475">
        <v>7700000</v>
      </c>
      <c r="AM207" s="306">
        <v>7700000</v>
      </c>
    </row>
    <row r="208" spans="1:50" ht="15" hidden="1" customHeight="1" x14ac:dyDescent="0.25">
      <c r="A208" s="476" t="s">
        <v>2019</v>
      </c>
      <c r="B208" s="477">
        <v>64900000</v>
      </c>
      <c r="C208" s="212" t="s">
        <v>2571</v>
      </c>
      <c r="D208" s="478">
        <v>204</v>
      </c>
      <c r="E208" s="309">
        <v>20215000007203</v>
      </c>
      <c r="F208" s="479">
        <v>44243</v>
      </c>
      <c r="G208" s="309" t="s">
        <v>2565</v>
      </c>
      <c r="H208" s="210" t="s">
        <v>2566</v>
      </c>
      <c r="I208" s="210" t="s">
        <v>228</v>
      </c>
      <c r="J208" s="407">
        <v>64900000</v>
      </c>
      <c r="K208" s="212" t="s">
        <v>288</v>
      </c>
      <c r="L208" s="212" t="s">
        <v>2661</v>
      </c>
      <c r="M208" s="212" t="s">
        <v>44</v>
      </c>
      <c r="N208" s="212" t="s">
        <v>45</v>
      </c>
      <c r="O208" s="212" t="s">
        <v>63</v>
      </c>
      <c r="P208" s="212" t="s">
        <v>676</v>
      </c>
      <c r="R208" s="212">
        <v>249</v>
      </c>
      <c r="S208" s="479">
        <v>44243</v>
      </c>
      <c r="T208" s="212" t="s">
        <v>3054</v>
      </c>
      <c r="U208" s="475">
        <f>64900000-8850000</f>
        <v>56050000</v>
      </c>
      <c r="V208" s="444">
        <v>8850000</v>
      </c>
      <c r="W208" s="398"/>
      <c r="X208" s="308">
        <v>230</v>
      </c>
      <c r="Y208" s="484">
        <v>44259</v>
      </c>
      <c r="Z208" s="484">
        <v>44259</v>
      </c>
      <c r="AA208" s="484">
        <v>44545</v>
      </c>
      <c r="AB208" s="485" t="s">
        <v>2575</v>
      </c>
      <c r="AC208" s="211">
        <v>162</v>
      </c>
      <c r="AD208" s="485" t="s">
        <v>3055</v>
      </c>
      <c r="AE208" s="486" t="s">
        <v>3056</v>
      </c>
      <c r="AF208" s="473">
        <v>56050000</v>
      </c>
      <c r="AG208" s="474">
        <f t="shared" si="3"/>
        <v>0</v>
      </c>
      <c r="AK208" s="475">
        <v>5113333</v>
      </c>
      <c r="AL208" s="475">
        <v>5900000</v>
      </c>
      <c r="AM208" s="306">
        <v>5900000</v>
      </c>
    </row>
    <row r="209" spans="1:45" hidden="1" x14ac:dyDescent="0.25">
      <c r="A209" s="494" t="s">
        <v>1761</v>
      </c>
      <c r="B209" s="495">
        <v>39600000</v>
      </c>
      <c r="C209" s="212" t="s">
        <v>2571</v>
      </c>
      <c r="D209" s="478">
        <v>205</v>
      </c>
      <c r="E209" s="478">
        <v>20215000006403</v>
      </c>
      <c r="F209" s="479">
        <v>44235</v>
      </c>
      <c r="G209" s="478" t="s">
        <v>2565</v>
      </c>
      <c r="H209" s="212" t="s">
        <v>2566</v>
      </c>
      <c r="I209" s="212" t="s">
        <v>228</v>
      </c>
      <c r="J209" s="475">
        <v>39600000</v>
      </c>
      <c r="K209" s="212" t="s">
        <v>223</v>
      </c>
      <c r="L209" s="212" t="s">
        <v>283</v>
      </c>
      <c r="M209" s="212" t="s">
        <v>44</v>
      </c>
      <c r="N209" s="212" t="s">
        <v>45</v>
      </c>
      <c r="O209" s="212" t="s">
        <v>63</v>
      </c>
      <c r="P209" s="212" t="s">
        <v>676</v>
      </c>
      <c r="R209" s="212">
        <v>214</v>
      </c>
      <c r="S209" s="479">
        <v>44235</v>
      </c>
      <c r="T209" s="212" t="s">
        <v>3057</v>
      </c>
      <c r="U209" s="475">
        <f>39600000-15600000</f>
        <v>24000000</v>
      </c>
      <c r="V209" s="444">
        <v>15600000</v>
      </c>
      <c r="W209" s="398"/>
      <c r="X209" s="483">
        <v>140</v>
      </c>
      <c r="Y209" s="484">
        <v>44243</v>
      </c>
      <c r="Z209" s="484">
        <v>44243</v>
      </c>
      <c r="AA209" s="484">
        <v>44424</v>
      </c>
      <c r="AB209" s="485" t="s">
        <v>2575</v>
      </c>
      <c r="AC209" s="483">
        <v>85</v>
      </c>
      <c r="AD209" s="485">
        <v>1022384109</v>
      </c>
      <c r="AE209" s="486" t="s">
        <v>3058</v>
      </c>
      <c r="AF209" s="473">
        <v>24000000</v>
      </c>
      <c r="AG209" s="474">
        <f t="shared" si="3"/>
        <v>0</v>
      </c>
      <c r="AL209" s="475">
        <v>5600000</v>
      </c>
      <c r="AM209" s="306">
        <v>4000000</v>
      </c>
    </row>
    <row r="210" spans="1:45" hidden="1" x14ac:dyDescent="0.25">
      <c r="A210" s="494" t="s">
        <v>2068</v>
      </c>
      <c r="B210" s="495">
        <v>60000000</v>
      </c>
      <c r="C210" s="212" t="s">
        <v>2571</v>
      </c>
      <c r="D210" s="478">
        <v>206</v>
      </c>
      <c r="E210" s="478">
        <v>20213000005713</v>
      </c>
      <c r="F210" s="479">
        <v>44231</v>
      </c>
      <c r="G210" s="478" t="s">
        <v>2565</v>
      </c>
      <c r="H210" s="212" t="s">
        <v>2566</v>
      </c>
      <c r="I210" s="212" t="s">
        <v>432</v>
      </c>
      <c r="J210" s="475">
        <v>60000000</v>
      </c>
      <c r="K210" s="212" t="s">
        <v>358</v>
      </c>
      <c r="L210" s="212" t="s">
        <v>2716</v>
      </c>
      <c r="M210" s="212" t="s">
        <v>44</v>
      </c>
      <c r="N210" s="212" t="s">
        <v>45</v>
      </c>
      <c r="O210" s="212" t="s">
        <v>63</v>
      </c>
      <c r="P210" s="212" t="s">
        <v>676</v>
      </c>
      <c r="R210" s="212">
        <v>200</v>
      </c>
      <c r="S210" s="479">
        <v>44231</v>
      </c>
      <c r="T210" s="212" t="s">
        <v>3059</v>
      </c>
      <c r="U210" s="475">
        <f>60000000-1854336</f>
        <v>58145664</v>
      </c>
      <c r="V210" s="411">
        <v>1854336</v>
      </c>
      <c r="W210" s="397"/>
      <c r="X210" s="308">
        <v>231</v>
      </c>
      <c r="Y210" s="484">
        <v>44259</v>
      </c>
      <c r="Z210" s="484">
        <v>44259</v>
      </c>
      <c r="AA210" s="484">
        <v>44504</v>
      </c>
      <c r="AB210" s="485" t="s">
        <v>2575</v>
      </c>
      <c r="AC210" s="211">
        <v>163</v>
      </c>
      <c r="AD210" s="485" t="s">
        <v>3060</v>
      </c>
      <c r="AE210" s="486" t="s">
        <v>3061</v>
      </c>
      <c r="AF210" s="473">
        <v>58145664</v>
      </c>
      <c r="AG210" s="474">
        <f t="shared" si="3"/>
        <v>0</v>
      </c>
      <c r="AK210" s="475">
        <v>5330019</v>
      </c>
      <c r="AL210" s="475">
        <v>7268208</v>
      </c>
      <c r="AM210" s="306">
        <v>7268208</v>
      </c>
    </row>
    <row r="211" spans="1:45" hidden="1" x14ac:dyDescent="0.25">
      <c r="A211" s="494" t="s">
        <v>2015</v>
      </c>
      <c r="B211" s="495">
        <v>58300000</v>
      </c>
      <c r="C211" s="212" t="s">
        <v>2571</v>
      </c>
      <c r="D211" s="478">
        <v>207</v>
      </c>
      <c r="E211" s="478">
        <v>20215000006423</v>
      </c>
      <c r="F211" s="479">
        <v>44235</v>
      </c>
      <c r="G211" s="478" t="s">
        <v>2565</v>
      </c>
      <c r="H211" s="212" t="s">
        <v>2566</v>
      </c>
      <c r="I211" s="212" t="s">
        <v>228</v>
      </c>
      <c r="J211" s="475">
        <v>58300000</v>
      </c>
      <c r="K211" s="212" t="s">
        <v>223</v>
      </c>
      <c r="L211" s="212" t="s">
        <v>269</v>
      </c>
      <c r="M211" s="212" t="s">
        <v>44</v>
      </c>
      <c r="N211" s="212" t="s">
        <v>45</v>
      </c>
      <c r="O211" s="212" t="s">
        <v>63</v>
      </c>
      <c r="P211" s="212" t="s">
        <v>676</v>
      </c>
      <c r="R211" s="212">
        <v>216</v>
      </c>
      <c r="S211" s="479">
        <v>44236</v>
      </c>
      <c r="T211" s="212" t="s">
        <v>3062</v>
      </c>
      <c r="U211" s="475">
        <f>58300000-5300000</f>
        <v>53000000</v>
      </c>
      <c r="V211" s="444">
        <v>5300000</v>
      </c>
      <c r="W211" s="398"/>
      <c r="X211" s="483">
        <v>150</v>
      </c>
      <c r="Y211" s="484">
        <v>44244</v>
      </c>
      <c r="Z211" s="484">
        <v>44244</v>
      </c>
      <c r="AA211" s="484">
        <v>44547</v>
      </c>
      <c r="AB211" s="485" t="s">
        <v>2575</v>
      </c>
      <c r="AC211" s="483">
        <v>100</v>
      </c>
      <c r="AD211" s="485">
        <v>1076656936</v>
      </c>
      <c r="AE211" s="486" t="s">
        <v>3063</v>
      </c>
      <c r="AF211" s="473">
        <v>53000000</v>
      </c>
      <c r="AG211" s="474">
        <f t="shared" si="3"/>
        <v>0</v>
      </c>
      <c r="AJ211" s="475">
        <v>2120000</v>
      </c>
      <c r="AK211" s="475">
        <v>5300000</v>
      </c>
      <c r="AL211" s="475">
        <v>5300000</v>
      </c>
      <c r="AM211" s="306">
        <v>5300000</v>
      </c>
    </row>
    <row r="212" spans="1:45" hidden="1" x14ac:dyDescent="0.25">
      <c r="A212" s="476" t="s">
        <v>2021</v>
      </c>
      <c r="B212" s="477">
        <v>28600000</v>
      </c>
      <c r="C212" s="212" t="s">
        <v>2571</v>
      </c>
      <c r="D212" s="478">
        <v>208</v>
      </c>
      <c r="E212" s="478">
        <v>20215000002723</v>
      </c>
      <c r="F212" s="479">
        <v>44225</v>
      </c>
      <c r="G212" s="478" t="s">
        <v>2565</v>
      </c>
      <c r="H212" s="212" t="s">
        <v>2566</v>
      </c>
      <c r="I212" s="212" t="s">
        <v>228</v>
      </c>
      <c r="J212" s="475">
        <v>28600000</v>
      </c>
      <c r="K212" s="212" t="s">
        <v>223</v>
      </c>
      <c r="L212" s="212" t="s">
        <v>2683</v>
      </c>
      <c r="M212" s="212" t="s">
        <v>44</v>
      </c>
      <c r="N212" s="212" t="s">
        <v>45</v>
      </c>
      <c r="O212" s="212" t="s">
        <v>63</v>
      </c>
      <c r="P212" s="212" t="s">
        <v>676</v>
      </c>
      <c r="R212" s="212">
        <v>121</v>
      </c>
      <c r="S212" s="479">
        <v>44225</v>
      </c>
      <c r="T212" s="212" t="s">
        <v>3064</v>
      </c>
      <c r="U212" s="475">
        <f>28600000-2950000</f>
        <v>25650000</v>
      </c>
      <c r="V212" s="444">
        <v>2950000</v>
      </c>
      <c r="W212" s="398"/>
      <c r="X212" s="308">
        <v>232</v>
      </c>
      <c r="Y212" s="484">
        <v>44259</v>
      </c>
      <c r="Z212" s="484">
        <v>44259</v>
      </c>
      <c r="AA212" s="484">
        <v>44545</v>
      </c>
      <c r="AB212" s="485" t="s">
        <v>2575</v>
      </c>
      <c r="AC212" s="211">
        <v>168</v>
      </c>
      <c r="AD212" s="485" t="s">
        <v>3065</v>
      </c>
      <c r="AE212" s="486" t="s">
        <v>3066</v>
      </c>
      <c r="AF212" s="473">
        <v>25650000</v>
      </c>
      <c r="AG212" s="474">
        <f t="shared" si="3"/>
        <v>0</v>
      </c>
      <c r="AK212" s="475">
        <v>2340000</v>
      </c>
      <c r="AL212" s="475">
        <v>2700000</v>
      </c>
      <c r="AM212" s="306">
        <v>2700000</v>
      </c>
    </row>
    <row r="213" spans="1:45" hidden="1" x14ac:dyDescent="0.25">
      <c r="A213" s="494" t="s">
        <v>2016</v>
      </c>
      <c r="B213" s="495">
        <v>64900000</v>
      </c>
      <c r="C213" s="212" t="s">
        <v>2571</v>
      </c>
      <c r="D213" s="478">
        <v>209</v>
      </c>
      <c r="E213" s="478">
        <v>20215000006463</v>
      </c>
      <c r="F213" s="479">
        <v>44235</v>
      </c>
      <c r="G213" s="478" t="s">
        <v>2565</v>
      </c>
      <c r="H213" s="212" t="s">
        <v>2566</v>
      </c>
      <c r="I213" s="212" t="s">
        <v>228</v>
      </c>
      <c r="J213" s="475">
        <v>64900000</v>
      </c>
      <c r="K213" s="212" t="s">
        <v>223</v>
      </c>
      <c r="L213" s="212" t="s">
        <v>233</v>
      </c>
      <c r="M213" s="212" t="s">
        <v>44</v>
      </c>
      <c r="N213" s="212" t="s">
        <v>45</v>
      </c>
      <c r="O213" s="212" t="s">
        <v>63</v>
      </c>
      <c r="P213" s="212" t="s">
        <v>676</v>
      </c>
      <c r="R213" s="212">
        <v>218</v>
      </c>
      <c r="S213" s="479">
        <v>44236</v>
      </c>
      <c r="T213" s="212" t="s">
        <v>3067</v>
      </c>
      <c r="U213" s="475">
        <f>64900000-5900000</f>
        <v>59000000</v>
      </c>
      <c r="V213" s="444">
        <v>5900000</v>
      </c>
      <c r="W213" s="398"/>
      <c r="X213" s="483">
        <v>160</v>
      </c>
      <c r="Y213" s="484">
        <v>44245</v>
      </c>
      <c r="Z213" s="484">
        <v>44245</v>
      </c>
      <c r="AA213" s="484">
        <v>44548</v>
      </c>
      <c r="AB213" s="485" t="s">
        <v>2575</v>
      </c>
      <c r="AC213" s="483">
        <v>110</v>
      </c>
      <c r="AD213" s="485">
        <v>39788923</v>
      </c>
      <c r="AE213" s="486" t="s">
        <v>3068</v>
      </c>
      <c r="AF213" s="473">
        <v>59000000</v>
      </c>
      <c r="AG213" s="474">
        <f t="shared" si="3"/>
        <v>0</v>
      </c>
      <c r="AK213" s="475">
        <v>7866667</v>
      </c>
      <c r="AL213" s="475">
        <v>5900000</v>
      </c>
      <c r="AM213" s="306">
        <v>5900000</v>
      </c>
    </row>
    <row r="214" spans="1:45" hidden="1" x14ac:dyDescent="0.25">
      <c r="A214" s="494" t="s">
        <v>2017</v>
      </c>
      <c r="B214" s="495">
        <v>44000000</v>
      </c>
      <c r="C214" s="212" t="s">
        <v>2571</v>
      </c>
      <c r="D214" s="478">
        <v>210</v>
      </c>
      <c r="E214" s="478">
        <v>20215000006473</v>
      </c>
      <c r="F214" s="479">
        <v>44235</v>
      </c>
      <c r="G214" s="478" t="s">
        <v>2565</v>
      </c>
      <c r="H214" s="212" t="s">
        <v>2566</v>
      </c>
      <c r="I214" s="212" t="s">
        <v>228</v>
      </c>
      <c r="J214" s="475">
        <v>44000000</v>
      </c>
      <c r="K214" s="212" t="s">
        <v>288</v>
      </c>
      <c r="L214" s="212" t="s">
        <v>294</v>
      </c>
      <c r="M214" s="212" t="s">
        <v>44</v>
      </c>
      <c r="N214" s="212" t="s">
        <v>45</v>
      </c>
      <c r="O214" s="212" t="s">
        <v>63</v>
      </c>
      <c r="P214" s="212" t="s">
        <v>676</v>
      </c>
      <c r="R214" s="212">
        <v>219</v>
      </c>
      <c r="S214" s="479">
        <v>44236</v>
      </c>
      <c r="T214" s="212" t="s">
        <v>3069</v>
      </c>
      <c r="U214" s="475">
        <f>44000000-4000000</f>
        <v>40000000</v>
      </c>
      <c r="V214" s="444">
        <v>4000000</v>
      </c>
      <c r="W214" s="398"/>
      <c r="X214" s="483">
        <v>194</v>
      </c>
      <c r="Y214" s="484">
        <v>44252</v>
      </c>
      <c r="Z214" s="484">
        <v>44252</v>
      </c>
      <c r="AA214" s="484">
        <v>44555</v>
      </c>
      <c r="AB214" s="485" t="s">
        <v>2575</v>
      </c>
      <c r="AC214" s="483">
        <v>134</v>
      </c>
      <c r="AD214" s="485">
        <v>1015441871</v>
      </c>
      <c r="AE214" s="486" t="s">
        <v>3070</v>
      </c>
      <c r="AF214" s="473">
        <v>40000000</v>
      </c>
      <c r="AG214" s="474">
        <f t="shared" si="3"/>
        <v>0</v>
      </c>
      <c r="AK214" s="475">
        <v>4400000</v>
      </c>
      <c r="AL214" s="475">
        <v>4000000</v>
      </c>
      <c r="AM214" s="306">
        <v>4000000</v>
      </c>
    </row>
    <row r="215" spans="1:45" hidden="1" x14ac:dyDescent="0.25">
      <c r="A215" s="476" t="s">
        <v>2023</v>
      </c>
      <c r="B215" s="477">
        <v>64900000</v>
      </c>
      <c r="C215" s="212" t="s">
        <v>2571</v>
      </c>
      <c r="D215" s="478">
        <v>211</v>
      </c>
      <c r="E215" s="478">
        <v>20215000000883</v>
      </c>
      <c r="F215" s="479">
        <v>44211</v>
      </c>
      <c r="G215" s="478" t="s">
        <v>2565</v>
      </c>
      <c r="H215" s="212" t="s">
        <v>2566</v>
      </c>
      <c r="I215" s="212" t="s">
        <v>228</v>
      </c>
      <c r="J215" s="475">
        <v>64900000</v>
      </c>
      <c r="K215" s="212" t="s">
        <v>223</v>
      </c>
      <c r="L215" s="212" t="s">
        <v>233</v>
      </c>
      <c r="M215" s="212" t="s">
        <v>44</v>
      </c>
      <c r="N215" s="212" t="s">
        <v>45</v>
      </c>
      <c r="O215" s="212" t="s">
        <v>63</v>
      </c>
      <c r="P215" s="212" t="s">
        <v>676</v>
      </c>
      <c r="R215" s="212">
        <v>35</v>
      </c>
      <c r="S215" s="479">
        <v>44211</v>
      </c>
      <c r="T215" s="212" t="s">
        <v>2645</v>
      </c>
      <c r="U215" s="475">
        <f>64900000-8850000</f>
        <v>56050000</v>
      </c>
      <c r="V215" s="411">
        <v>8850000</v>
      </c>
      <c r="W215" s="397"/>
      <c r="X215" s="308">
        <v>233</v>
      </c>
      <c r="Y215" s="484">
        <v>44259</v>
      </c>
      <c r="Z215" s="484">
        <v>44259</v>
      </c>
      <c r="AA215" s="484">
        <v>44545</v>
      </c>
      <c r="AB215" s="485" t="s">
        <v>2575</v>
      </c>
      <c r="AC215" s="211">
        <v>165</v>
      </c>
      <c r="AD215" s="485" t="s">
        <v>3071</v>
      </c>
      <c r="AE215" s="486" t="s">
        <v>3072</v>
      </c>
      <c r="AF215" s="473">
        <v>56050000</v>
      </c>
      <c r="AG215" s="474">
        <f t="shared" si="3"/>
        <v>0</v>
      </c>
      <c r="AK215" s="475">
        <v>5113333</v>
      </c>
      <c r="AL215" s="475">
        <v>5900000</v>
      </c>
      <c r="AM215" s="306">
        <v>5900000</v>
      </c>
    </row>
    <row r="216" spans="1:45" hidden="1" x14ac:dyDescent="0.25">
      <c r="A216" s="494" t="s">
        <v>2432</v>
      </c>
      <c r="B216" s="495">
        <v>96511665</v>
      </c>
      <c r="C216" s="212" t="s">
        <v>2571</v>
      </c>
      <c r="D216" s="478">
        <v>212</v>
      </c>
      <c r="E216" s="478">
        <v>20212000006273</v>
      </c>
      <c r="F216" s="479">
        <v>44236</v>
      </c>
      <c r="G216" s="478" t="s">
        <v>2565</v>
      </c>
      <c r="H216" s="212" t="s">
        <v>2566</v>
      </c>
      <c r="I216" s="212" t="s">
        <v>391</v>
      </c>
      <c r="J216" s="475">
        <v>36805297</v>
      </c>
      <c r="K216" s="210" t="s">
        <v>2636</v>
      </c>
      <c r="L216" s="212" t="s">
        <v>2637</v>
      </c>
      <c r="M216" s="212" t="s">
        <v>44</v>
      </c>
      <c r="N216" s="212" t="s">
        <v>45</v>
      </c>
      <c r="O216" s="212" t="s">
        <v>63</v>
      </c>
      <c r="P216" s="212" t="s">
        <v>676</v>
      </c>
      <c r="R216" s="212">
        <v>223</v>
      </c>
      <c r="S216" s="479">
        <v>44236</v>
      </c>
      <c r="T216" s="212" t="s">
        <v>3073</v>
      </c>
      <c r="U216" s="475">
        <f>36805297-17797</f>
        <v>36787500</v>
      </c>
      <c r="V216" s="411">
        <v>17797</v>
      </c>
      <c r="W216" s="397"/>
      <c r="X216" s="483">
        <v>191</v>
      </c>
      <c r="Y216" s="484">
        <v>44252</v>
      </c>
      <c r="Z216" s="484">
        <v>44252</v>
      </c>
      <c r="AA216" s="484">
        <v>44387</v>
      </c>
      <c r="AB216" s="485" t="s">
        <v>2575</v>
      </c>
      <c r="AC216" s="483">
        <v>131</v>
      </c>
      <c r="AD216" s="485">
        <v>52783545</v>
      </c>
      <c r="AE216" s="486" t="s">
        <v>3074</v>
      </c>
      <c r="AF216" s="473">
        <v>36787500</v>
      </c>
      <c r="AG216" s="474">
        <f t="shared" si="3"/>
        <v>0</v>
      </c>
      <c r="AK216" s="475">
        <v>9265000</v>
      </c>
      <c r="AL216" s="475">
        <v>8175000</v>
      </c>
      <c r="AM216" s="306">
        <v>8175000</v>
      </c>
    </row>
    <row r="217" spans="1:45" hidden="1" x14ac:dyDescent="0.25">
      <c r="A217" s="494" t="s">
        <v>2111</v>
      </c>
      <c r="B217" s="495">
        <v>48144000</v>
      </c>
      <c r="C217" s="212" t="s">
        <v>2571</v>
      </c>
      <c r="D217" s="478">
        <v>213</v>
      </c>
      <c r="E217" s="478">
        <v>20212000006333</v>
      </c>
      <c r="F217" s="479">
        <v>44236</v>
      </c>
      <c r="G217" s="478" t="s">
        <v>2565</v>
      </c>
      <c r="H217" s="212" t="s">
        <v>2566</v>
      </c>
      <c r="I217" s="212" t="s">
        <v>391</v>
      </c>
      <c r="J217" s="475">
        <v>42945000</v>
      </c>
      <c r="K217" s="210" t="s">
        <v>2636</v>
      </c>
      <c r="L217" s="212" t="s">
        <v>2637</v>
      </c>
      <c r="M217" s="212" t="s">
        <v>44</v>
      </c>
      <c r="N217" s="212" t="s">
        <v>45</v>
      </c>
      <c r="O217" s="212" t="s">
        <v>63</v>
      </c>
      <c r="P217" s="212" t="s">
        <v>676</v>
      </c>
      <c r="R217" s="212">
        <v>224</v>
      </c>
      <c r="S217" s="479">
        <v>44236</v>
      </c>
      <c r="T217" s="212" t="s">
        <v>3075</v>
      </c>
      <c r="U217" s="475">
        <f>42945000-2045000</f>
        <v>40900000</v>
      </c>
      <c r="V217" s="411">
        <v>2045000</v>
      </c>
      <c r="W217" s="397"/>
      <c r="X217" s="483">
        <v>186</v>
      </c>
      <c r="Y217" s="484">
        <v>44251</v>
      </c>
      <c r="Z217" s="484">
        <v>44251</v>
      </c>
      <c r="AA217" s="484">
        <v>44554</v>
      </c>
      <c r="AB217" s="485" t="s">
        <v>2575</v>
      </c>
      <c r="AC217" s="483">
        <v>125</v>
      </c>
      <c r="AD217" s="485">
        <v>1098672264</v>
      </c>
      <c r="AE217" s="486" t="s">
        <v>3076</v>
      </c>
      <c r="AF217" s="473">
        <v>40900000</v>
      </c>
      <c r="AG217" s="474">
        <f t="shared" si="3"/>
        <v>0</v>
      </c>
      <c r="AK217" s="475">
        <v>4635333</v>
      </c>
      <c r="AL217" s="475">
        <v>4090000</v>
      </c>
      <c r="AM217" s="306">
        <v>4090000</v>
      </c>
    </row>
    <row r="218" spans="1:45" hidden="1" x14ac:dyDescent="0.25">
      <c r="A218" s="494" t="s">
        <v>1821</v>
      </c>
      <c r="B218" s="495">
        <v>53226394</v>
      </c>
      <c r="C218" s="212" t="s">
        <v>2571</v>
      </c>
      <c r="D218" s="478">
        <v>214</v>
      </c>
      <c r="E218" s="478">
        <v>20212000006343</v>
      </c>
      <c r="F218" s="479">
        <v>44236</v>
      </c>
      <c r="G218" s="478" t="s">
        <v>2565</v>
      </c>
      <c r="H218" s="212" t="s">
        <v>2566</v>
      </c>
      <c r="I218" s="212" t="s">
        <v>391</v>
      </c>
      <c r="J218" s="475">
        <v>47365500</v>
      </c>
      <c r="K218" s="210" t="s">
        <v>2636</v>
      </c>
      <c r="L218" s="212" t="s">
        <v>2637</v>
      </c>
      <c r="M218" s="212" t="s">
        <v>44</v>
      </c>
      <c r="N218" s="212" t="s">
        <v>45</v>
      </c>
      <c r="O218" s="212" t="s">
        <v>63</v>
      </c>
      <c r="P218" s="212" t="s">
        <v>676</v>
      </c>
      <c r="R218" s="212">
        <v>225</v>
      </c>
      <c r="S218" s="479">
        <v>44236</v>
      </c>
      <c r="T218" s="212" t="s">
        <v>3077</v>
      </c>
      <c r="U218" s="475">
        <f>47365500-6766500</f>
        <v>40599000</v>
      </c>
      <c r="V218" s="411">
        <v>6766500</v>
      </c>
      <c r="W218" s="397"/>
      <c r="X218" s="483" t="s">
        <v>3078</v>
      </c>
      <c r="Y218" s="484">
        <v>44285</v>
      </c>
      <c r="Z218" s="484">
        <v>44285</v>
      </c>
      <c r="AA218" s="484">
        <v>44560</v>
      </c>
      <c r="AB218" s="485" t="s">
        <v>2575</v>
      </c>
      <c r="AC218" s="483" t="s">
        <v>3079</v>
      </c>
      <c r="AD218" s="485" t="s">
        <v>3080</v>
      </c>
      <c r="AE218" s="486" t="s">
        <v>3081</v>
      </c>
      <c r="AF218" s="473">
        <v>40599000</v>
      </c>
      <c r="AG218" s="474">
        <f t="shared" si="3"/>
        <v>0</v>
      </c>
      <c r="AL218" s="475">
        <v>4661367</v>
      </c>
      <c r="AM218" s="306">
        <v>4511000</v>
      </c>
    </row>
    <row r="219" spans="1:45" hidden="1" x14ac:dyDescent="0.25">
      <c r="A219" s="494" t="s">
        <v>1861</v>
      </c>
      <c r="B219" s="495">
        <v>39270000</v>
      </c>
      <c r="C219" s="212" t="s">
        <v>2571</v>
      </c>
      <c r="D219" s="478">
        <v>215</v>
      </c>
      <c r="E219" s="478">
        <v>20212000006353</v>
      </c>
      <c r="F219" s="479">
        <v>44236</v>
      </c>
      <c r="G219" s="478" t="s">
        <v>2565</v>
      </c>
      <c r="H219" s="212" t="s">
        <v>2566</v>
      </c>
      <c r="I219" s="212" t="s">
        <v>391</v>
      </c>
      <c r="J219" s="475">
        <v>37525000</v>
      </c>
      <c r="K219" s="210" t="s">
        <v>2636</v>
      </c>
      <c r="L219" s="212" t="s">
        <v>2637</v>
      </c>
      <c r="M219" s="212" t="s">
        <v>44</v>
      </c>
      <c r="N219" s="212" t="s">
        <v>45</v>
      </c>
      <c r="O219" s="212" t="s">
        <v>63</v>
      </c>
      <c r="P219" s="212" t="s">
        <v>676</v>
      </c>
      <c r="R219" s="212">
        <v>226</v>
      </c>
      <c r="S219" s="479">
        <v>44236</v>
      </c>
      <c r="T219" s="212" t="s">
        <v>3082</v>
      </c>
      <c r="U219" s="475">
        <v>37525000</v>
      </c>
      <c r="V219" s="406"/>
      <c r="W219" s="362"/>
      <c r="X219" s="483">
        <v>162</v>
      </c>
      <c r="Y219" s="484">
        <v>44245</v>
      </c>
      <c r="Z219" s="484">
        <v>44245</v>
      </c>
      <c r="AA219" s="484">
        <v>44530</v>
      </c>
      <c r="AB219" s="485" t="s">
        <v>2575</v>
      </c>
      <c r="AC219" s="483">
        <v>111</v>
      </c>
      <c r="AD219" s="485">
        <v>1030604453</v>
      </c>
      <c r="AE219" s="486" t="s">
        <v>3083</v>
      </c>
      <c r="AF219" s="473">
        <v>37525000</v>
      </c>
      <c r="AG219" s="474">
        <f t="shared" si="3"/>
        <v>0</v>
      </c>
      <c r="AJ219" s="475">
        <v>921667</v>
      </c>
      <c r="AK219" s="475">
        <v>3950000</v>
      </c>
      <c r="AL219" s="475">
        <v>3950000</v>
      </c>
      <c r="AM219" s="306">
        <v>3950000</v>
      </c>
    </row>
    <row r="220" spans="1:45" hidden="1" x14ac:dyDescent="0.25">
      <c r="A220" s="494" t="s">
        <v>1863</v>
      </c>
      <c r="B220" s="495">
        <v>34904400</v>
      </c>
      <c r="C220" s="212" t="s">
        <v>2571</v>
      </c>
      <c r="D220" s="478">
        <v>216</v>
      </c>
      <c r="E220" s="478">
        <v>20212000006373</v>
      </c>
      <c r="F220" s="479">
        <v>44236</v>
      </c>
      <c r="G220" s="478" t="s">
        <v>2565</v>
      </c>
      <c r="H220" s="212" t="s">
        <v>2566</v>
      </c>
      <c r="I220" s="212" t="s">
        <v>391</v>
      </c>
      <c r="J220" s="475">
        <v>32538000</v>
      </c>
      <c r="K220" s="210" t="s">
        <v>2636</v>
      </c>
      <c r="L220" s="212" t="s">
        <v>2637</v>
      </c>
      <c r="M220" s="212" t="s">
        <v>44</v>
      </c>
      <c r="N220" s="212" t="s">
        <v>45</v>
      </c>
      <c r="O220" s="212" t="s">
        <v>63</v>
      </c>
      <c r="P220" s="212" t="s">
        <v>676</v>
      </c>
      <c r="R220" s="212">
        <v>227</v>
      </c>
      <c r="S220" s="479">
        <v>44236</v>
      </c>
      <c r="T220" s="212" t="s">
        <v>3084</v>
      </c>
      <c r="U220" s="475">
        <f>32538000-2958000</f>
        <v>29580000</v>
      </c>
      <c r="V220" s="411">
        <v>2958000</v>
      </c>
      <c r="W220" s="397"/>
      <c r="X220" s="483">
        <v>152</v>
      </c>
      <c r="Y220" s="484">
        <v>44244</v>
      </c>
      <c r="Z220" s="484">
        <v>44244</v>
      </c>
      <c r="AA220" s="484">
        <v>44547</v>
      </c>
      <c r="AB220" s="485" t="s">
        <v>2575</v>
      </c>
      <c r="AC220" s="483">
        <v>97</v>
      </c>
      <c r="AD220" s="485">
        <v>1024514381</v>
      </c>
      <c r="AE220" s="486" t="s">
        <v>3085</v>
      </c>
      <c r="AF220" s="473">
        <v>29580000</v>
      </c>
      <c r="AG220" s="474">
        <f t="shared" si="3"/>
        <v>0</v>
      </c>
      <c r="AJ220" s="475">
        <v>1183200</v>
      </c>
      <c r="AK220" s="475">
        <v>2958000</v>
      </c>
      <c r="AL220" s="475">
        <v>2958000</v>
      </c>
      <c r="AM220" s="306">
        <v>2958000</v>
      </c>
    </row>
    <row r="221" spans="1:45" hidden="1" x14ac:dyDescent="0.25">
      <c r="A221" s="313" t="s">
        <v>2430</v>
      </c>
      <c r="B221" s="419">
        <v>81844800</v>
      </c>
      <c r="C221" s="212" t="s">
        <v>2571</v>
      </c>
      <c r="D221" s="478">
        <v>217</v>
      </c>
      <c r="E221" s="478">
        <v>20212000006263</v>
      </c>
      <c r="F221" s="479">
        <v>44236</v>
      </c>
      <c r="G221" s="478" t="s">
        <v>2565</v>
      </c>
      <c r="H221" s="212" t="s">
        <v>2566</v>
      </c>
      <c r="I221" s="212" t="s">
        <v>391</v>
      </c>
      <c r="J221" s="475">
        <v>77900000</v>
      </c>
      <c r="K221" s="210" t="s">
        <v>2636</v>
      </c>
      <c r="L221" s="212" t="s">
        <v>2637</v>
      </c>
      <c r="M221" s="212" t="s">
        <v>44</v>
      </c>
      <c r="N221" s="212" t="s">
        <v>45</v>
      </c>
      <c r="O221" s="212" t="s">
        <v>63</v>
      </c>
      <c r="P221" s="212" t="s">
        <v>676</v>
      </c>
      <c r="R221" s="212">
        <v>222</v>
      </c>
      <c r="S221" s="479">
        <v>44236</v>
      </c>
      <c r="T221" s="212" t="s">
        <v>2891</v>
      </c>
      <c r="U221" s="475">
        <v>77900000</v>
      </c>
      <c r="V221" s="406"/>
      <c r="W221" s="362"/>
      <c r="X221" s="483">
        <v>159</v>
      </c>
      <c r="Y221" s="484">
        <v>44245</v>
      </c>
      <c r="Z221" s="484">
        <v>44245</v>
      </c>
      <c r="AA221" s="484">
        <v>44530</v>
      </c>
      <c r="AB221" s="485" t="s">
        <v>2575</v>
      </c>
      <c r="AC221" s="483">
        <v>109</v>
      </c>
      <c r="AD221" s="485">
        <v>1010171202</v>
      </c>
      <c r="AE221" s="486" t="s">
        <v>3086</v>
      </c>
      <c r="AF221" s="473">
        <v>77900000</v>
      </c>
      <c r="AG221" s="474">
        <f t="shared" si="3"/>
        <v>0</v>
      </c>
      <c r="AJ221" s="475">
        <v>2733333</v>
      </c>
      <c r="AK221" s="475">
        <v>8200000</v>
      </c>
      <c r="AL221" s="475">
        <v>8200000</v>
      </c>
      <c r="AM221" s="306">
        <v>8200000</v>
      </c>
    </row>
    <row r="222" spans="1:45" hidden="1" x14ac:dyDescent="0.25">
      <c r="A222" s="313" t="s">
        <v>2441</v>
      </c>
      <c r="B222" s="419">
        <v>42636000</v>
      </c>
      <c r="C222" s="212" t="s">
        <v>2571</v>
      </c>
      <c r="D222" s="478">
        <v>218</v>
      </c>
      <c r="E222" s="478">
        <v>20212000006833</v>
      </c>
      <c r="F222" s="479">
        <v>44236</v>
      </c>
      <c r="G222" s="478" t="s">
        <v>2565</v>
      </c>
      <c r="H222" s="212" t="s">
        <v>2566</v>
      </c>
      <c r="I222" s="212" t="s">
        <v>391</v>
      </c>
      <c r="J222" s="475">
        <v>41475000</v>
      </c>
      <c r="K222" s="210" t="s">
        <v>2636</v>
      </c>
      <c r="L222" s="212" t="s">
        <v>2637</v>
      </c>
      <c r="M222" s="212" t="s">
        <v>44</v>
      </c>
      <c r="N222" s="212" t="s">
        <v>45</v>
      </c>
      <c r="O222" s="212" t="s">
        <v>63</v>
      </c>
      <c r="P222" s="212" t="s">
        <v>676</v>
      </c>
      <c r="R222" s="212">
        <v>229</v>
      </c>
      <c r="S222" s="479">
        <v>44236</v>
      </c>
      <c r="T222" s="212" t="s">
        <v>3087</v>
      </c>
      <c r="U222" s="475">
        <f>41475000-1975000</f>
        <v>39500000</v>
      </c>
      <c r="V222" s="411">
        <v>1975000</v>
      </c>
      <c r="W222" s="397"/>
      <c r="X222" s="483">
        <v>146</v>
      </c>
      <c r="Y222" s="484">
        <v>44243</v>
      </c>
      <c r="Z222" s="484">
        <v>44243</v>
      </c>
      <c r="AA222" s="484">
        <v>44546</v>
      </c>
      <c r="AB222" s="485" t="s">
        <v>2575</v>
      </c>
      <c r="AC222" s="483">
        <v>86</v>
      </c>
      <c r="AD222" s="485">
        <v>37729745</v>
      </c>
      <c r="AE222" s="486" t="s">
        <v>3088</v>
      </c>
      <c r="AF222" s="473">
        <v>39500000</v>
      </c>
      <c r="AG222" s="474">
        <f t="shared" si="3"/>
        <v>0</v>
      </c>
      <c r="AJ222" s="475">
        <v>1580000</v>
      </c>
      <c r="AK222" s="475">
        <v>3950000</v>
      </c>
      <c r="AL222" s="475">
        <v>3950000</v>
      </c>
      <c r="AM222" s="306">
        <v>3950000</v>
      </c>
    </row>
    <row r="223" spans="1:45" hidden="1" x14ac:dyDescent="0.25">
      <c r="A223" s="476" t="s">
        <v>2028</v>
      </c>
      <c r="B223" s="477">
        <v>33000000</v>
      </c>
      <c r="C223" s="212" t="s">
        <v>2571</v>
      </c>
      <c r="D223" s="478">
        <v>219</v>
      </c>
      <c r="E223" s="478">
        <v>20215000002883</v>
      </c>
      <c r="F223" s="479">
        <v>44225</v>
      </c>
      <c r="G223" s="478" t="s">
        <v>2565</v>
      </c>
      <c r="H223" s="212" t="s">
        <v>2566</v>
      </c>
      <c r="I223" s="212" t="s">
        <v>228</v>
      </c>
      <c r="J223" s="475">
        <v>33000000</v>
      </c>
      <c r="K223" s="212" t="s">
        <v>223</v>
      </c>
      <c r="L223" s="212" t="s">
        <v>236</v>
      </c>
      <c r="M223" s="212" t="s">
        <v>44</v>
      </c>
      <c r="N223" s="212" t="s">
        <v>45</v>
      </c>
      <c r="O223" s="212" t="s">
        <v>63</v>
      </c>
      <c r="P223" s="212" t="s">
        <v>676</v>
      </c>
      <c r="R223" s="212">
        <v>129</v>
      </c>
      <c r="S223" s="479">
        <v>44225</v>
      </c>
      <c r="T223" s="212" t="s">
        <v>3089</v>
      </c>
      <c r="U223" s="475">
        <f>33000000-12100000</f>
        <v>20900000</v>
      </c>
      <c r="V223" s="444">
        <v>12100000</v>
      </c>
      <c r="W223" s="398"/>
      <c r="X223" s="308">
        <v>234</v>
      </c>
      <c r="Y223" s="484">
        <v>44260</v>
      </c>
      <c r="Z223" s="484">
        <v>44260</v>
      </c>
      <c r="AA223" s="484">
        <v>44545</v>
      </c>
      <c r="AB223" s="485" t="s">
        <v>2575</v>
      </c>
      <c r="AC223" s="211">
        <v>167</v>
      </c>
      <c r="AD223" s="485" t="s">
        <v>3090</v>
      </c>
      <c r="AE223" s="486" t="s">
        <v>3091</v>
      </c>
      <c r="AF223" s="473">
        <v>20900000</v>
      </c>
      <c r="AG223" s="474">
        <f t="shared" si="3"/>
        <v>0</v>
      </c>
      <c r="AK223" s="475">
        <v>1906667</v>
      </c>
      <c r="AL223" s="475">
        <v>2200000</v>
      </c>
      <c r="AM223" s="306">
        <v>2200000</v>
      </c>
      <c r="AQ223" s="504"/>
      <c r="AR223" s="505"/>
      <c r="AS223" s="506"/>
    </row>
    <row r="224" spans="1:45" hidden="1" x14ac:dyDescent="0.25">
      <c r="A224" s="476" t="s">
        <v>2064</v>
      </c>
      <c r="B224" s="419">
        <v>37612975</v>
      </c>
      <c r="C224" s="212" t="s">
        <v>2571</v>
      </c>
      <c r="D224" s="478">
        <v>220</v>
      </c>
      <c r="E224" s="478">
        <v>20217000005603</v>
      </c>
      <c r="F224" s="479">
        <v>44237</v>
      </c>
      <c r="G224" s="478" t="s">
        <v>2572</v>
      </c>
      <c r="H224" s="212" t="s">
        <v>2573</v>
      </c>
      <c r="I224" s="212" t="s">
        <v>164</v>
      </c>
      <c r="J224" s="475">
        <v>29981358</v>
      </c>
      <c r="K224" s="212" t="s">
        <v>138</v>
      </c>
      <c r="L224" s="212" t="s">
        <v>139</v>
      </c>
      <c r="M224" s="212" t="s">
        <v>44</v>
      </c>
      <c r="N224" s="212" t="s">
        <v>45</v>
      </c>
      <c r="O224" s="212" t="s">
        <v>142</v>
      </c>
      <c r="P224" s="212" t="s">
        <v>43</v>
      </c>
      <c r="R224" s="212">
        <v>232</v>
      </c>
      <c r="S224" s="479">
        <v>44238</v>
      </c>
      <c r="T224" s="212" t="s">
        <v>3092</v>
      </c>
      <c r="U224" s="475">
        <v>29981358</v>
      </c>
      <c r="V224" s="406"/>
      <c r="W224" s="362"/>
      <c r="X224" s="483">
        <v>180</v>
      </c>
      <c r="Y224" s="484">
        <v>44250</v>
      </c>
      <c r="Z224" s="484">
        <v>44250</v>
      </c>
      <c r="AA224" s="484">
        <v>44431</v>
      </c>
      <c r="AB224" s="485" t="s">
        <v>2575</v>
      </c>
      <c r="AC224" s="483">
        <v>124</v>
      </c>
      <c r="AD224" s="485">
        <v>1010175004</v>
      </c>
      <c r="AE224" s="486" t="s">
        <v>3093</v>
      </c>
      <c r="AF224" s="473">
        <v>29981358</v>
      </c>
      <c r="AG224" s="474">
        <f t="shared" si="3"/>
        <v>0</v>
      </c>
      <c r="AL224" s="475">
        <v>5996272</v>
      </c>
      <c r="AM224" s="212"/>
      <c r="AQ224" s="507"/>
      <c r="AR224" s="508"/>
      <c r="AS224" s="509"/>
    </row>
    <row r="225" spans="1:50" ht="15" hidden="1" customHeight="1" x14ac:dyDescent="0.25">
      <c r="B225" s="477" t="s">
        <v>2608</v>
      </c>
      <c r="C225" s="212" t="s">
        <v>2571</v>
      </c>
      <c r="D225" s="478">
        <v>221</v>
      </c>
      <c r="E225" s="478">
        <v>20211200007523</v>
      </c>
      <c r="F225" s="479">
        <v>44239</v>
      </c>
      <c r="G225" s="478" t="s">
        <v>2572</v>
      </c>
      <c r="H225" s="212" t="s">
        <v>2573</v>
      </c>
      <c r="I225" s="212" t="s">
        <v>143</v>
      </c>
      <c r="J225" s="475">
        <v>6666666</v>
      </c>
      <c r="K225" s="212" t="s">
        <v>138</v>
      </c>
      <c r="L225" s="212" t="s">
        <v>139</v>
      </c>
      <c r="M225" s="212" t="s">
        <v>44</v>
      </c>
      <c r="N225" s="212" t="s">
        <v>45</v>
      </c>
      <c r="O225" s="212" t="s">
        <v>142</v>
      </c>
      <c r="P225" s="212" t="s">
        <v>43</v>
      </c>
      <c r="R225" s="212">
        <v>233</v>
      </c>
      <c r="S225" s="479">
        <v>44239</v>
      </c>
      <c r="T225" s="212" t="s">
        <v>3094</v>
      </c>
      <c r="U225" s="475">
        <v>6666666</v>
      </c>
      <c r="V225" s="406"/>
      <c r="W225" s="362"/>
      <c r="X225" s="483">
        <v>134</v>
      </c>
      <c r="Y225" s="484">
        <v>44242</v>
      </c>
      <c r="Z225" s="484">
        <v>44243</v>
      </c>
      <c r="AA225" s="484">
        <v>44291</v>
      </c>
      <c r="AB225" s="485" t="s">
        <v>2575</v>
      </c>
      <c r="AC225" s="483">
        <v>561</v>
      </c>
      <c r="AD225" s="485">
        <v>1140414919</v>
      </c>
      <c r="AE225" s="486" t="s">
        <v>3095</v>
      </c>
      <c r="AF225" s="473">
        <v>6666666</v>
      </c>
      <c r="AG225" s="474">
        <f t="shared" si="3"/>
        <v>0</v>
      </c>
      <c r="AJ225" s="475">
        <v>4000000</v>
      </c>
      <c r="AK225" s="475">
        <v>2000000</v>
      </c>
      <c r="AL225" s="475">
        <v>666666</v>
      </c>
      <c r="AM225" s="212"/>
      <c r="AQ225" s="507"/>
      <c r="AR225" s="508"/>
      <c r="AS225" s="509"/>
    </row>
    <row r="226" spans="1:50" ht="15" hidden="1" customHeight="1" x14ac:dyDescent="0.25">
      <c r="A226" s="476" t="s">
        <v>2296</v>
      </c>
      <c r="B226" s="417">
        <v>7500000</v>
      </c>
      <c r="C226" s="212" t="s">
        <v>2571</v>
      </c>
      <c r="D226" s="478">
        <v>222</v>
      </c>
      <c r="E226" s="478">
        <v>20211200007593</v>
      </c>
      <c r="F226" s="479">
        <v>44239</v>
      </c>
      <c r="G226" s="478" t="s">
        <v>2572</v>
      </c>
      <c r="H226" s="212" t="s">
        <v>2573</v>
      </c>
      <c r="I226" s="212" t="s">
        <v>143</v>
      </c>
      <c r="J226" s="475">
        <v>7500000</v>
      </c>
      <c r="K226" s="212" t="s">
        <v>138</v>
      </c>
      <c r="L226" s="212" t="s">
        <v>139</v>
      </c>
      <c r="M226" s="212" t="s">
        <v>44</v>
      </c>
      <c r="N226" s="212" t="s">
        <v>45</v>
      </c>
      <c r="O226" s="212" t="s">
        <v>142</v>
      </c>
      <c r="P226" s="212" t="s">
        <v>43</v>
      </c>
      <c r="R226" s="212">
        <v>236</v>
      </c>
      <c r="S226" s="479">
        <v>44242</v>
      </c>
      <c r="T226" s="212" t="s">
        <v>3096</v>
      </c>
      <c r="U226" s="475">
        <v>7500000</v>
      </c>
      <c r="V226" s="406"/>
      <c r="W226" s="362"/>
      <c r="X226" s="483">
        <v>179</v>
      </c>
      <c r="Y226" s="484">
        <v>44249</v>
      </c>
      <c r="Z226" s="484">
        <v>44249</v>
      </c>
      <c r="AA226" s="484">
        <v>44338</v>
      </c>
      <c r="AB226" s="485" t="s">
        <v>2575</v>
      </c>
      <c r="AC226" s="483">
        <v>116</v>
      </c>
      <c r="AD226" s="485">
        <v>1032485670</v>
      </c>
      <c r="AE226" s="486" t="s">
        <v>3097</v>
      </c>
      <c r="AF226" s="473">
        <v>7500000</v>
      </c>
      <c r="AG226" s="474">
        <f t="shared" si="3"/>
        <v>0</v>
      </c>
      <c r="AK226" s="475">
        <f>583333+2500000</f>
        <v>3083333</v>
      </c>
      <c r="AL226" s="475">
        <v>2500000</v>
      </c>
      <c r="AM226" s="212"/>
      <c r="AQ226" s="507"/>
      <c r="AR226" s="508"/>
      <c r="AS226" s="509"/>
    </row>
    <row r="227" spans="1:50" ht="15" hidden="1" customHeight="1" x14ac:dyDescent="0.25">
      <c r="A227" s="494" t="s">
        <v>2427</v>
      </c>
      <c r="B227" s="495">
        <v>144585266</v>
      </c>
      <c r="C227" s="212" t="s">
        <v>2571</v>
      </c>
      <c r="D227" s="478">
        <v>223</v>
      </c>
      <c r="E227" s="478">
        <v>20212000006253</v>
      </c>
      <c r="F227" s="479">
        <v>44236</v>
      </c>
      <c r="G227" s="478" t="s">
        <v>2565</v>
      </c>
      <c r="H227" s="212" t="s">
        <v>2566</v>
      </c>
      <c r="I227" s="212" t="s">
        <v>391</v>
      </c>
      <c r="J227" s="475">
        <v>128656500</v>
      </c>
      <c r="K227" s="210" t="s">
        <v>2636</v>
      </c>
      <c r="L227" s="212" t="s">
        <v>2637</v>
      </c>
      <c r="M227" s="212" t="s">
        <v>44</v>
      </c>
      <c r="N227" s="212" t="s">
        <v>45</v>
      </c>
      <c r="O227" s="212" t="s">
        <v>63</v>
      </c>
      <c r="P227" s="212" t="s">
        <v>676</v>
      </c>
      <c r="R227" s="212">
        <v>221</v>
      </c>
      <c r="S227" s="479">
        <v>44236</v>
      </c>
      <c r="T227" s="212" t="s">
        <v>3098</v>
      </c>
      <c r="U227" s="475">
        <f>128656500-12253000</f>
        <v>116403500</v>
      </c>
      <c r="V227" s="411">
        <v>12253000</v>
      </c>
      <c r="W227" s="397"/>
      <c r="X227" s="308">
        <v>235</v>
      </c>
      <c r="Y227" s="484">
        <v>44260</v>
      </c>
      <c r="Z227" s="484">
        <v>44260</v>
      </c>
      <c r="AA227" s="484">
        <v>44260</v>
      </c>
      <c r="AB227" s="485" t="s">
        <v>2575</v>
      </c>
      <c r="AC227" s="211">
        <v>166</v>
      </c>
      <c r="AD227" s="485" t="s">
        <v>3099</v>
      </c>
      <c r="AE227" s="486" t="s">
        <v>3100</v>
      </c>
      <c r="AF227" s="473">
        <v>116403500</v>
      </c>
      <c r="AG227" s="474">
        <f t="shared" si="3"/>
        <v>0</v>
      </c>
      <c r="AK227" s="475">
        <v>10619267</v>
      </c>
      <c r="AL227" s="475">
        <v>12253000</v>
      </c>
      <c r="AM227" s="306">
        <v>12253000</v>
      </c>
      <c r="AQ227" s="507"/>
      <c r="AR227" s="508"/>
      <c r="AS227" s="509"/>
    </row>
    <row r="228" spans="1:50" ht="15" hidden="1" customHeight="1" x14ac:dyDescent="0.25">
      <c r="A228" s="476" t="s">
        <v>2176</v>
      </c>
      <c r="B228" s="477">
        <v>55000000</v>
      </c>
      <c r="C228" s="212" t="s">
        <v>2571</v>
      </c>
      <c r="D228" s="212">
        <v>224</v>
      </c>
      <c r="E228" s="478">
        <v>20217000002473</v>
      </c>
      <c r="F228" s="479">
        <v>44229</v>
      </c>
      <c r="G228" s="478" t="s">
        <v>2572</v>
      </c>
      <c r="H228" s="212" t="s">
        <v>2573</v>
      </c>
      <c r="I228" s="212" t="s">
        <v>164</v>
      </c>
      <c r="J228" s="475">
        <v>24530202</v>
      </c>
      <c r="K228" s="212" t="s">
        <v>138</v>
      </c>
      <c r="L228" s="212" t="s">
        <v>139</v>
      </c>
      <c r="M228" s="212" t="s">
        <v>44</v>
      </c>
      <c r="N228" s="212" t="s">
        <v>45</v>
      </c>
      <c r="O228" s="212" t="s">
        <v>142</v>
      </c>
      <c r="P228" s="212" t="s">
        <v>43</v>
      </c>
      <c r="R228" s="212">
        <v>175</v>
      </c>
      <c r="S228" s="479">
        <v>44229</v>
      </c>
      <c r="T228" s="212" t="s">
        <v>3101</v>
      </c>
      <c r="U228" s="475">
        <f>24530202</f>
        <v>24530202</v>
      </c>
      <c r="V228" s="406"/>
      <c r="W228" s="362"/>
      <c r="X228" s="308">
        <v>236</v>
      </c>
      <c r="Y228" s="484">
        <v>44260</v>
      </c>
      <c r="Z228" s="484">
        <v>44260</v>
      </c>
      <c r="AA228" s="484">
        <v>44382</v>
      </c>
      <c r="AB228" s="485" t="s">
        <v>2575</v>
      </c>
      <c r="AC228" s="211">
        <v>173</v>
      </c>
      <c r="AD228" s="485" t="s">
        <v>3102</v>
      </c>
      <c r="AE228" s="486" t="s">
        <v>3103</v>
      </c>
      <c r="AF228" s="473">
        <v>16353468</v>
      </c>
      <c r="AG228" s="474">
        <f t="shared" si="3"/>
        <v>8176734</v>
      </c>
      <c r="AK228" s="475">
        <v>3543251</v>
      </c>
      <c r="AL228" s="475">
        <v>4088367</v>
      </c>
      <c r="AM228" s="306">
        <v>4088367</v>
      </c>
      <c r="AQ228" s="507"/>
      <c r="AR228" s="508"/>
      <c r="AS228" s="509"/>
    </row>
    <row r="229" spans="1:50" s="312" customFormat="1" ht="15.75" hidden="1" customHeight="1" x14ac:dyDescent="0.25">
      <c r="A229" s="361"/>
      <c r="B229" s="420" t="s">
        <v>2608</v>
      </c>
      <c r="C229" s="312" t="s">
        <v>3104</v>
      </c>
      <c r="D229" s="325">
        <v>225</v>
      </c>
      <c r="E229" s="325">
        <v>20214000007813</v>
      </c>
      <c r="F229" s="315">
        <v>44239</v>
      </c>
      <c r="G229" s="325" t="s">
        <v>2605</v>
      </c>
      <c r="H229" s="312" t="s">
        <v>2606</v>
      </c>
      <c r="I229" s="312" t="s">
        <v>47</v>
      </c>
      <c r="J229" s="406">
        <v>10749742</v>
      </c>
      <c r="K229" s="312" t="s">
        <v>37</v>
      </c>
      <c r="L229" s="510" t="s">
        <v>3105</v>
      </c>
      <c r="M229" s="312" t="s">
        <v>44</v>
      </c>
      <c r="N229" s="312" t="s">
        <v>45</v>
      </c>
      <c r="O229" s="212" t="s">
        <v>310</v>
      </c>
      <c r="P229" s="312" t="s">
        <v>43</v>
      </c>
      <c r="R229" s="312">
        <v>238</v>
      </c>
      <c r="S229" s="315">
        <v>44242</v>
      </c>
      <c r="T229" s="312" t="s">
        <v>3106</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x14ac:dyDescent="0.25">
      <c r="A230" s="476" t="s">
        <v>2067</v>
      </c>
      <c r="B230" s="477">
        <v>36000000</v>
      </c>
      <c r="C230" s="212" t="s">
        <v>2687</v>
      </c>
      <c r="D230" s="478">
        <v>226</v>
      </c>
      <c r="E230" s="478">
        <v>20213000007853</v>
      </c>
      <c r="F230" s="479">
        <v>44243</v>
      </c>
      <c r="G230" s="478" t="s">
        <v>2565</v>
      </c>
      <c r="H230" s="212" t="s">
        <v>2566</v>
      </c>
      <c r="I230" s="212" t="s">
        <v>432</v>
      </c>
      <c r="J230" s="475">
        <v>16353468</v>
      </c>
      <c r="K230" s="212" t="s">
        <v>358</v>
      </c>
      <c r="L230" s="212" t="s">
        <v>2716</v>
      </c>
      <c r="M230" s="212" t="s">
        <v>44</v>
      </c>
      <c r="N230" s="212" t="s">
        <v>45</v>
      </c>
      <c r="O230" s="212" t="s">
        <v>63</v>
      </c>
      <c r="P230" s="212" t="s">
        <v>676</v>
      </c>
      <c r="R230" s="212">
        <v>240</v>
      </c>
      <c r="S230" s="479">
        <v>44243</v>
      </c>
      <c r="T230" s="212" t="s">
        <v>3107</v>
      </c>
      <c r="U230" s="475">
        <v>16353468</v>
      </c>
      <c r="V230" s="406"/>
      <c r="W230" s="362"/>
      <c r="X230" s="483">
        <v>201</v>
      </c>
      <c r="Y230" s="484">
        <v>44253</v>
      </c>
      <c r="Z230" s="484">
        <v>44253</v>
      </c>
      <c r="AA230" s="484">
        <v>44373</v>
      </c>
      <c r="AB230" s="485" t="s">
        <v>2575</v>
      </c>
      <c r="AC230" s="483">
        <v>139</v>
      </c>
      <c r="AD230" s="485">
        <v>1014246288</v>
      </c>
      <c r="AE230" s="486" t="s">
        <v>3108</v>
      </c>
      <c r="AF230" s="473">
        <v>16353468</v>
      </c>
      <c r="AG230" s="474">
        <f t="shared" si="3"/>
        <v>0</v>
      </c>
      <c r="AK230" s="475">
        <v>4088367</v>
      </c>
      <c r="AL230" s="475">
        <v>4088367</v>
      </c>
      <c r="AM230" s="306">
        <v>4088367</v>
      </c>
      <c r="AQ230" s="507"/>
      <c r="AR230" s="508"/>
      <c r="AS230" s="509"/>
    </row>
    <row r="231" spans="1:50" ht="13.5" hidden="1" customHeight="1" x14ac:dyDescent="0.25">
      <c r="A231" s="476" t="s">
        <v>2060</v>
      </c>
      <c r="B231" s="477">
        <v>39500000</v>
      </c>
      <c r="C231" s="212" t="s">
        <v>2571</v>
      </c>
      <c r="D231" s="478">
        <v>227</v>
      </c>
      <c r="E231" s="478">
        <v>20214000004803</v>
      </c>
      <c r="F231" s="479">
        <v>44229</v>
      </c>
      <c r="G231" s="478" t="s">
        <v>2598</v>
      </c>
      <c r="H231" s="212" t="s">
        <v>2599</v>
      </c>
      <c r="I231" s="212" t="s">
        <v>117</v>
      </c>
      <c r="J231" s="475">
        <v>31600000</v>
      </c>
      <c r="K231" s="212" t="s">
        <v>112</v>
      </c>
      <c r="L231" s="212" t="s">
        <v>2600</v>
      </c>
      <c r="M231" s="212" t="s">
        <v>44</v>
      </c>
      <c r="N231" s="212" t="s">
        <v>45</v>
      </c>
      <c r="O231" s="212" t="s">
        <v>63</v>
      </c>
      <c r="P231" s="212" t="s">
        <v>43</v>
      </c>
      <c r="R231" s="212">
        <v>173</v>
      </c>
      <c r="S231" s="479">
        <v>44229</v>
      </c>
      <c r="T231" s="212" t="s">
        <v>3109</v>
      </c>
      <c r="U231" s="475">
        <v>31600000</v>
      </c>
      <c r="V231" s="406"/>
      <c r="W231" s="362"/>
      <c r="X231" s="308">
        <v>237</v>
      </c>
      <c r="Y231" s="484">
        <v>44260</v>
      </c>
      <c r="Z231" s="484">
        <v>44260</v>
      </c>
      <c r="AA231" s="484">
        <v>44505</v>
      </c>
      <c r="AB231" s="485" t="s">
        <v>2575</v>
      </c>
      <c r="AC231" s="211">
        <v>171</v>
      </c>
      <c r="AD231" s="485" t="s">
        <v>3110</v>
      </c>
      <c r="AE231" s="486" t="s">
        <v>3111</v>
      </c>
      <c r="AF231" s="473">
        <v>31600000</v>
      </c>
      <c r="AG231" s="474">
        <f t="shared" si="3"/>
        <v>0</v>
      </c>
      <c r="AK231" s="475">
        <v>3423333</v>
      </c>
      <c r="AL231" s="475">
        <v>3950000</v>
      </c>
      <c r="AM231" s="306">
        <v>3950000</v>
      </c>
      <c r="AQ231" s="507"/>
      <c r="AR231" s="508"/>
      <c r="AS231" s="509"/>
    </row>
    <row r="232" spans="1:50" ht="13.5" hidden="1" customHeight="1" x14ac:dyDescent="0.25">
      <c r="A232" s="476" t="s">
        <v>2065</v>
      </c>
      <c r="B232" s="477">
        <v>18568000</v>
      </c>
      <c r="C232" s="212" t="s">
        <v>3112</v>
      </c>
      <c r="D232" s="478">
        <v>228</v>
      </c>
      <c r="E232" s="309">
        <v>20213000009223</v>
      </c>
      <c r="F232" s="479">
        <v>44252</v>
      </c>
      <c r="G232" s="478" t="s">
        <v>2565</v>
      </c>
      <c r="H232" s="212" t="s">
        <v>2566</v>
      </c>
      <c r="I232" s="212" t="s">
        <v>432</v>
      </c>
      <c r="J232" s="475">
        <v>18160000</v>
      </c>
      <c r="K232" s="212" t="s">
        <v>342</v>
      </c>
      <c r="L232" s="212" t="s">
        <v>351</v>
      </c>
      <c r="M232" s="212" t="s">
        <v>44</v>
      </c>
      <c r="N232" s="212" t="s">
        <v>45</v>
      </c>
      <c r="O232" s="212" t="s">
        <v>63</v>
      </c>
      <c r="P232" s="212" t="s">
        <v>676</v>
      </c>
      <c r="R232" s="486">
        <v>301</v>
      </c>
      <c r="S232" s="490">
        <v>44252</v>
      </c>
      <c r="T232" s="486" t="s">
        <v>3113</v>
      </c>
      <c r="U232" s="475">
        <v>18160000</v>
      </c>
      <c r="V232" s="406"/>
      <c r="W232" s="362"/>
      <c r="X232" s="308">
        <v>238</v>
      </c>
      <c r="Y232" s="484">
        <v>44260</v>
      </c>
      <c r="Z232" s="484">
        <v>44260</v>
      </c>
      <c r="AA232" s="484">
        <v>44505</v>
      </c>
      <c r="AB232" s="485" t="s">
        <v>2575</v>
      </c>
      <c r="AC232" s="211">
        <v>169</v>
      </c>
      <c r="AD232" s="485" t="s">
        <v>3114</v>
      </c>
      <c r="AE232" s="486" t="s">
        <v>3115</v>
      </c>
      <c r="AF232" s="473">
        <v>18160000</v>
      </c>
      <c r="AG232" s="474">
        <f t="shared" si="3"/>
        <v>0</v>
      </c>
      <c r="AK232" s="475">
        <v>1967333</v>
      </c>
      <c r="AL232" s="475">
        <v>2270000</v>
      </c>
      <c r="AM232" s="306">
        <v>2270000</v>
      </c>
      <c r="AQ232" s="507"/>
      <c r="AR232" s="508"/>
      <c r="AS232" s="509"/>
    </row>
    <row r="233" spans="1:50" ht="13.5" hidden="1" customHeight="1" x14ac:dyDescent="0.25">
      <c r="B233" s="501" t="s">
        <v>2941</v>
      </c>
      <c r="C233" s="212" t="s">
        <v>2687</v>
      </c>
      <c r="D233" s="478">
        <v>229</v>
      </c>
      <c r="E233" s="478">
        <v>20217000008063</v>
      </c>
      <c r="F233" s="479">
        <v>44243</v>
      </c>
      <c r="G233" s="478" t="s">
        <v>2572</v>
      </c>
      <c r="H233" s="212" t="s">
        <v>2573</v>
      </c>
      <c r="I233" s="212" t="s">
        <v>164</v>
      </c>
      <c r="J233" s="475">
        <v>6144620</v>
      </c>
      <c r="K233" s="212" t="s">
        <v>138</v>
      </c>
      <c r="L233" s="212" t="s">
        <v>139</v>
      </c>
      <c r="M233" s="212" t="s">
        <v>44</v>
      </c>
      <c r="N233" s="212" t="s">
        <v>45</v>
      </c>
      <c r="O233" s="212" t="s">
        <v>142</v>
      </c>
      <c r="P233" s="212" t="s">
        <v>43</v>
      </c>
      <c r="R233" s="212">
        <v>245</v>
      </c>
      <c r="S233" s="479">
        <v>44243</v>
      </c>
      <c r="T233" s="212" t="s">
        <v>3116</v>
      </c>
      <c r="U233" s="475">
        <v>6144620</v>
      </c>
      <c r="V233" s="406"/>
      <c r="W233" s="362"/>
      <c r="X233" s="483">
        <v>203</v>
      </c>
      <c r="Y233" s="484">
        <v>44253</v>
      </c>
      <c r="Z233" s="484">
        <v>44254</v>
      </c>
      <c r="AA233" s="484">
        <v>44312</v>
      </c>
      <c r="AB233" s="485" t="s">
        <v>2575</v>
      </c>
      <c r="AC233" s="483">
        <v>524</v>
      </c>
      <c r="AD233" s="485">
        <v>1030662898</v>
      </c>
      <c r="AE233" s="486" t="s">
        <v>3117</v>
      </c>
      <c r="AF233" s="473">
        <v>6144620</v>
      </c>
      <c r="AG233" s="474">
        <f t="shared" si="3"/>
        <v>0</v>
      </c>
      <c r="AJ233" s="475">
        <v>3072310</v>
      </c>
      <c r="AK233" s="475">
        <v>3072310</v>
      </c>
      <c r="AM233" s="212"/>
      <c r="AQ233" s="507"/>
      <c r="AR233" s="508"/>
      <c r="AS233" s="509"/>
    </row>
    <row r="234" spans="1:50" ht="13.5" hidden="1" customHeight="1" x14ac:dyDescent="0.25">
      <c r="B234" s="501" t="s">
        <v>2608</v>
      </c>
      <c r="C234" s="212" t="s">
        <v>2571</v>
      </c>
      <c r="D234" s="478">
        <v>230</v>
      </c>
      <c r="E234" s="478">
        <v>20217000008093</v>
      </c>
      <c r="F234" s="479">
        <v>44243</v>
      </c>
      <c r="G234" s="478" t="s">
        <v>2572</v>
      </c>
      <c r="H234" s="212" t="s">
        <v>2573</v>
      </c>
      <c r="I234" s="212" t="s">
        <v>164</v>
      </c>
      <c r="J234" s="475">
        <v>16000000</v>
      </c>
      <c r="K234" s="212" t="s">
        <v>138</v>
      </c>
      <c r="L234" s="212" t="s">
        <v>139</v>
      </c>
      <c r="M234" s="212" t="s">
        <v>44</v>
      </c>
      <c r="N234" s="212" t="s">
        <v>45</v>
      </c>
      <c r="O234" s="212" t="s">
        <v>142</v>
      </c>
      <c r="P234" s="212" t="s">
        <v>43</v>
      </c>
      <c r="R234" s="212">
        <v>246</v>
      </c>
      <c r="S234" s="479">
        <v>44243</v>
      </c>
      <c r="T234" s="212" t="s">
        <v>3118</v>
      </c>
      <c r="U234" s="475">
        <v>16000000</v>
      </c>
      <c r="V234" s="406"/>
      <c r="W234" s="362"/>
      <c r="X234" s="483">
        <v>168</v>
      </c>
      <c r="Y234" s="484">
        <v>44246</v>
      </c>
      <c r="Z234" s="484">
        <v>44248</v>
      </c>
      <c r="AA234" s="484">
        <v>44306</v>
      </c>
      <c r="AB234" s="485" t="s">
        <v>2575</v>
      </c>
      <c r="AC234" s="483">
        <v>510</v>
      </c>
      <c r="AD234" s="485">
        <v>53011075</v>
      </c>
      <c r="AE234" s="486" t="s">
        <v>3119</v>
      </c>
      <c r="AF234" s="473">
        <v>16000000</v>
      </c>
      <c r="AG234" s="474">
        <f t="shared" si="3"/>
        <v>0</v>
      </c>
      <c r="AL234" s="475">
        <v>10666667</v>
      </c>
      <c r="AM234" s="212"/>
      <c r="AQ234" s="507"/>
      <c r="AR234" s="508"/>
      <c r="AS234" s="509"/>
    </row>
    <row r="235" spans="1:50" ht="15" hidden="1" customHeight="1" x14ac:dyDescent="0.25">
      <c r="A235" s="476" t="s">
        <v>2182</v>
      </c>
      <c r="B235" s="477">
        <v>60000000</v>
      </c>
      <c r="C235" s="212" t="s">
        <v>2687</v>
      </c>
      <c r="D235" s="478">
        <v>231</v>
      </c>
      <c r="E235" s="309">
        <v>20217000010173</v>
      </c>
      <c r="F235" s="310">
        <v>44251</v>
      </c>
      <c r="G235" s="478" t="s">
        <v>2572</v>
      </c>
      <c r="H235" s="212" t="s">
        <v>2573</v>
      </c>
      <c r="I235" s="212" t="s">
        <v>164</v>
      </c>
      <c r="J235" s="475">
        <v>57237138</v>
      </c>
      <c r="K235" s="212" t="s">
        <v>138</v>
      </c>
      <c r="L235" s="212" t="s">
        <v>139</v>
      </c>
      <c r="M235" s="212" t="s">
        <v>44</v>
      </c>
      <c r="N235" s="212" t="s">
        <v>45</v>
      </c>
      <c r="O235" s="212" t="s">
        <v>142</v>
      </c>
      <c r="P235" s="212" t="s">
        <v>43</v>
      </c>
      <c r="R235" s="486">
        <v>293</v>
      </c>
      <c r="S235" s="490">
        <v>44251</v>
      </c>
      <c r="T235" s="486" t="s">
        <v>3120</v>
      </c>
      <c r="U235" s="475">
        <v>57237138</v>
      </c>
      <c r="V235" s="406"/>
      <c r="W235" s="362"/>
      <c r="X235" s="308">
        <v>239</v>
      </c>
      <c r="Y235" s="484">
        <v>44260</v>
      </c>
      <c r="Z235" s="484">
        <v>44260</v>
      </c>
      <c r="AA235" s="484">
        <v>44474</v>
      </c>
      <c r="AB235" s="485" t="s">
        <v>2575</v>
      </c>
      <c r="AC235" s="211">
        <v>170</v>
      </c>
      <c r="AD235" s="485" t="s">
        <v>3121</v>
      </c>
      <c r="AE235" s="486" t="s">
        <v>3122</v>
      </c>
      <c r="AF235" s="473">
        <v>57237138</v>
      </c>
      <c r="AG235" s="474">
        <f t="shared" si="3"/>
        <v>0</v>
      </c>
      <c r="AK235" s="475">
        <v>7359060</v>
      </c>
      <c r="AL235" s="475">
        <v>8176734</v>
      </c>
      <c r="AM235" s="306">
        <v>8176734</v>
      </c>
      <c r="AQ235" s="507"/>
      <c r="AR235" s="508"/>
      <c r="AS235" s="509"/>
    </row>
    <row r="236" spans="1:50" ht="15" hidden="1" customHeight="1" x14ac:dyDescent="0.25">
      <c r="A236" s="476" t="s">
        <v>2402</v>
      </c>
      <c r="B236" s="477">
        <v>21804624</v>
      </c>
      <c r="C236" s="212" t="s">
        <v>2571</v>
      </c>
      <c r="D236" s="478">
        <v>232</v>
      </c>
      <c r="E236" s="478">
        <v>20211300005553</v>
      </c>
      <c r="F236" s="479">
        <v>44230</v>
      </c>
      <c r="G236" s="478" t="s">
        <v>2572</v>
      </c>
      <c r="H236" s="212" t="s">
        <v>2573</v>
      </c>
      <c r="I236" s="212" t="s">
        <v>210</v>
      </c>
      <c r="J236" s="475">
        <v>21804624</v>
      </c>
      <c r="K236" s="212" t="s">
        <v>138</v>
      </c>
      <c r="L236" s="212" t="s">
        <v>139</v>
      </c>
      <c r="M236" s="212" t="s">
        <v>44</v>
      </c>
      <c r="N236" s="212" t="s">
        <v>45</v>
      </c>
      <c r="O236" s="212" t="s">
        <v>142</v>
      </c>
      <c r="P236" s="212" t="s">
        <v>43</v>
      </c>
      <c r="R236" s="212">
        <v>194</v>
      </c>
      <c r="S236" s="479">
        <v>44230</v>
      </c>
      <c r="T236" s="212" t="s">
        <v>3123</v>
      </c>
      <c r="U236" s="475">
        <v>21804624</v>
      </c>
      <c r="V236" s="406"/>
      <c r="W236" s="362"/>
      <c r="X236" s="308">
        <v>240</v>
      </c>
      <c r="Y236" s="484">
        <v>44260</v>
      </c>
      <c r="Z236" s="484">
        <v>44260</v>
      </c>
      <c r="AA236" s="484">
        <v>44382</v>
      </c>
      <c r="AB236" s="485" t="s">
        <v>2575</v>
      </c>
      <c r="AC236" s="211">
        <v>172</v>
      </c>
      <c r="AD236" s="485" t="s">
        <v>3124</v>
      </c>
      <c r="AE236" s="486" t="s">
        <v>3125</v>
      </c>
      <c r="AF236" s="473">
        <v>21804624</v>
      </c>
      <c r="AG236" s="474">
        <f t="shared" si="3"/>
        <v>0</v>
      </c>
      <c r="AK236" s="475">
        <v>4724335</v>
      </c>
      <c r="AL236" s="475">
        <v>5451156</v>
      </c>
      <c r="AM236" s="306">
        <v>5451156</v>
      </c>
      <c r="AQ236" s="507"/>
      <c r="AR236" s="508"/>
      <c r="AS236" s="509"/>
    </row>
    <row r="237" spans="1:50" ht="15" hidden="1" customHeight="1" x14ac:dyDescent="0.25">
      <c r="A237" s="476" t="s">
        <v>1862</v>
      </c>
      <c r="B237" s="477">
        <v>78234000</v>
      </c>
      <c r="C237" s="212" t="s">
        <v>2571</v>
      </c>
      <c r="D237" s="478">
        <v>233</v>
      </c>
      <c r="E237" s="478">
        <v>20212000007973</v>
      </c>
      <c r="F237" s="479">
        <v>44243</v>
      </c>
      <c r="G237" s="478" t="s">
        <v>2565</v>
      </c>
      <c r="H237" s="212" t="s">
        <v>2566</v>
      </c>
      <c r="I237" s="212" t="s">
        <v>391</v>
      </c>
      <c r="J237" s="475">
        <v>66300000</v>
      </c>
      <c r="K237" s="210" t="s">
        <v>2636</v>
      </c>
      <c r="L237" s="212" t="s">
        <v>2637</v>
      </c>
      <c r="M237" s="212" t="s">
        <v>44</v>
      </c>
      <c r="N237" s="212" t="s">
        <v>45</v>
      </c>
      <c r="O237" s="212" t="s">
        <v>63</v>
      </c>
      <c r="P237" s="212" t="s">
        <v>676</v>
      </c>
      <c r="R237" s="212">
        <v>244</v>
      </c>
      <c r="S237" s="479">
        <v>44243</v>
      </c>
      <c r="T237" s="212" t="s">
        <v>3126</v>
      </c>
      <c r="U237" s="475">
        <v>66300000</v>
      </c>
      <c r="V237" s="406"/>
      <c r="W237" s="362"/>
      <c r="X237" s="483">
        <v>202</v>
      </c>
      <c r="Y237" s="484">
        <v>44253</v>
      </c>
      <c r="Z237" s="484">
        <v>44253</v>
      </c>
      <c r="AA237" s="484">
        <v>44556</v>
      </c>
      <c r="AB237" s="485" t="s">
        <v>2575</v>
      </c>
      <c r="AC237" s="483">
        <v>141</v>
      </c>
      <c r="AD237" s="485">
        <v>1012359881</v>
      </c>
      <c r="AE237" s="486" t="s">
        <v>3127</v>
      </c>
      <c r="AF237" s="473">
        <v>66300000</v>
      </c>
      <c r="AG237" s="474">
        <f t="shared" si="3"/>
        <v>0</v>
      </c>
      <c r="AK237" s="475">
        <v>6630000</v>
      </c>
      <c r="AL237" s="475">
        <v>6630000</v>
      </c>
      <c r="AM237" s="306">
        <v>6630000</v>
      </c>
      <c r="AQ237" s="507"/>
      <c r="AR237" s="508"/>
      <c r="AS237" s="509"/>
    </row>
    <row r="238" spans="1:50" ht="15" hidden="1" customHeight="1" x14ac:dyDescent="0.25">
      <c r="B238" s="501"/>
      <c r="C238" s="212" t="s">
        <v>3128</v>
      </c>
      <c r="D238" s="309">
        <v>234</v>
      </c>
      <c r="E238" s="309">
        <v>20215000008993</v>
      </c>
      <c r="F238" s="479">
        <v>44245</v>
      </c>
      <c r="G238" s="478" t="s">
        <v>2565</v>
      </c>
      <c r="H238" s="212" t="s">
        <v>2566</v>
      </c>
      <c r="I238" s="212" t="s">
        <v>228</v>
      </c>
      <c r="J238" s="475">
        <v>9500000</v>
      </c>
      <c r="K238" s="212" t="s">
        <v>223</v>
      </c>
      <c r="L238" s="212" t="s">
        <v>257</v>
      </c>
      <c r="M238" s="212" t="s">
        <v>44</v>
      </c>
      <c r="N238" s="212" t="s">
        <v>45</v>
      </c>
      <c r="O238" s="212" t="s">
        <v>46</v>
      </c>
      <c r="P238" s="212" t="s">
        <v>676</v>
      </c>
      <c r="R238" s="486">
        <v>274</v>
      </c>
      <c r="S238" s="490">
        <v>44246</v>
      </c>
      <c r="T238" s="486" t="s">
        <v>3129</v>
      </c>
      <c r="U238" s="480">
        <f>9500000-500000</f>
        <v>9000000</v>
      </c>
      <c r="V238" s="411">
        <v>500000</v>
      </c>
      <c r="W238" s="398"/>
      <c r="X238" s="308">
        <v>241</v>
      </c>
      <c r="Y238" s="484">
        <v>44260</v>
      </c>
      <c r="Z238" s="484">
        <v>44260</v>
      </c>
      <c r="AA238" s="484">
        <v>44286</v>
      </c>
      <c r="AB238" s="485" t="s">
        <v>3031</v>
      </c>
      <c r="AC238" s="211">
        <v>108</v>
      </c>
      <c r="AD238" s="485" t="s">
        <v>3130</v>
      </c>
      <c r="AE238" s="486" t="s">
        <v>3131</v>
      </c>
      <c r="AF238" s="473">
        <v>9000000</v>
      </c>
      <c r="AG238" s="474">
        <f t="shared" si="3"/>
        <v>0</v>
      </c>
      <c r="AJ238" s="475">
        <v>8374800</v>
      </c>
      <c r="AM238" s="212"/>
      <c r="AQ238" s="507"/>
      <c r="AR238" s="508"/>
      <c r="AS238" s="509"/>
    </row>
    <row r="239" spans="1:50" ht="15" hidden="1" customHeight="1" x14ac:dyDescent="0.25">
      <c r="A239" s="476" t="s">
        <v>2023</v>
      </c>
      <c r="B239" s="477">
        <v>64900000</v>
      </c>
      <c r="C239" s="212" t="s">
        <v>2571</v>
      </c>
      <c r="D239" s="309">
        <v>235</v>
      </c>
      <c r="E239" s="478">
        <v>20215000000873</v>
      </c>
      <c r="F239" s="479">
        <v>44211</v>
      </c>
      <c r="G239" s="478" t="s">
        <v>2565</v>
      </c>
      <c r="H239" s="212" t="s">
        <v>2566</v>
      </c>
      <c r="I239" s="212" t="s">
        <v>228</v>
      </c>
      <c r="J239" s="475">
        <v>64900000</v>
      </c>
      <c r="K239" s="212" t="s">
        <v>223</v>
      </c>
      <c r="L239" s="212" t="s">
        <v>233</v>
      </c>
      <c r="M239" s="212" t="s">
        <v>44</v>
      </c>
      <c r="N239" s="212" t="s">
        <v>45</v>
      </c>
      <c r="O239" s="212" t="s">
        <v>63</v>
      </c>
      <c r="P239" s="212" t="s">
        <v>676</v>
      </c>
      <c r="R239" s="212">
        <v>34</v>
      </c>
      <c r="S239" s="479">
        <v>44211</v>
      </c>
      <c r="T239" s="212" t="s">
        <v>2645</v>
      </c>
      <c r="U239" s="475">
        <f>64900000-8850000</f>
        <v>56050000</v>
      </c>
      <c r="V239" s="411">
        <v>8850000</v>
      </c>
      <c r="W239" s="397"/>
      <c r="X239" s="308">
        <v>242</v>
      </c>
      <c r="Y239" s="484">
        <v>44260</v>
      </c>
      <c r="Z239" s="484">
        <v>44260</v>
      </c>
      <c r="AA239" s="484">
        <v>44545</v>
      </c>
      <c r="AB239" s="485" t="s">
        <v>2575</v>
      </c>
      <c r="AC239" s="211">
        <v>161</v>
      </c>
      <c r="AD239" s="485" t="s">
        <v>3132</v>
      </c>
      <c r="AE239" s="486" t="s">
        <v>3133</v>
      </c>
      <c r="AF239" s="473">
        <v>56050000</v>
      </c>
      <c r="AG239" s="474">
        <f t="shared" si="3"/>
        <v>0</v>
      </c>
      <c r="AK239" s="475">
        <v>5113333</v>
      </c>
      <c r="AL239" s="475">
        <v>5900000</v>
      </c>
      <c r="AM239" s="306">
        <v>5900000</v>
      </c>
      <c r="AQ239" s="507"/>
      <c r="AR239" s="508"/>
      <c r="AS239" s="509"/>
    </row>
    <row r="240" spans="1:50" ht="15.75" hidden="1" customHeight="1" x14ac:dyDescent="0.25">
      <c r="A240" s="476" t="s">
        <v>3134</v>
      </c>
      <c r="B240" s="477">
        <v>27255780</v>
      </c>
      <c r="C240" s="511" t="s">
        <v>2571</v>
      </c>
      <c r="D240" s="309">
        <v>236</v>
      </c>
      <c r="E240" s="309">
        <v>20217000009293</v>
      </c>
      <c r="F240" s="310">
        <v>44249</v>
      </c>
      <c r="G240" s="309" t="s">
        <v>2572</v>
      </c>
      <c r="H240" s="210" t="s">
        <v>2573</v>
      </c>
      <c r="I240" s="210" t="s">
        <v>164</v>
      </c>
      <c r="J240" s="407">
        <v>16353468</v>
      </c>
      <c r="K240" s="210" t="s">
        <v>3135</v>
      </c>
      <c r="L240" s="210" t="s">
        <v>139</v>
      </c>
      <c r="M240" s="210" t="s">
        <v>44</v>
      </c>
      <c r="N240" s="210" t="s">
        <v>45</v>
      </c>
      <c r="O240" s="212" t="s">
        <v>142</v>
      </c>
      <c r="P240" s="210" t="s">
        <v>43</v>
      </c>
      <c r="Q240" s="210"/>
      <c r="R240" s="486">
        <v>280</v>
      </c>
      <c r="S240" s="490">
        <v>44249</v>
      </c>
      <c r="T240" s="486" t="s">
        <v>3136</v>
      </c>
      <c r="U240" s="475">
        <v>16353468</v>
      </c>
      <c r="V240" s="406"/>
      <c r="W240" s="362"/>
      <c r="X240" s="319">
        <v>244</v>
      </c>
      <c r="Y240" s="484">
        <v>44260</v>
      </c>
      <c r="Z240" s="484">
        <v>44260</v>
      </c>
      <c r="AA240" s="484">
        <v>44444</v>
      </c>
      <c r="AB240" s="485" t="s">
        <v>2575</v>
      </c>
      <c r="AC240" s="322">
        <v>175</v>
      </c>
      <c r="AD240" s="485" t="s">
        <v>3137</v>
      </c>
      <c r="AE240" s="486" t="s">
        <v>3138</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x14ac:dyDescent="0.25">
      <c r="A241" s="476" t="s">
        <v>2091</v>
      </c>
      <c r="B241" s="477">
        <v>64900000</v>
      </c>
      <c r="C241" s="212" t="s">
        <v>2687</v>
      </c>
      <c r="D241" s="309">
        <v>237</v>
      </c>
      <c r="E241" s="309">
        <v>20215000007213</v>
      </c>
      <c r="F241" s="479">
        <v>44243</v>
      </c>
      <c r="G241" s="309" t="s">
        <v>2565</v>
      </c>
      <c r="H241" s="210" t="s">
        <v>2566</v>
      </c>
      <c r="I241" s="210" t="s">
        <v>228</v>
      </c>
      <c r="J241" s="407">
        <v>64900000</v>
      </c>
      <c r="K241" s="212" t="s">
        <v>288</v>
      </c>
      <c r="L241" s="212" t="s">
        <v>2661</v>
      </c>
      <c r="M241" s="212" t="s">
        <v>44</v>
      </c>
      <c r="N241" s="212" t="s">
        <v>45</v>
      </c>
      <c r="O241" s="212" t="s">
        <v>63</v>
      </c>
      <c r="P241" s="212" t="s">
        <v>676</v>
      </c>
      <c r="R241" s="212">
        <v>250</v>
      </c>
      <c r="S241" s="479">
        <v>44243</v>
      </c>
      <c r="T241" s="212" t="s">
        <v>3139</v>
      </c>
      <c r="U241" s="475">
        <f>64900000-11800000</f>
        <v>53100000</v>
      </c>
      <c r="V241" s="406">
        <v>11800000</v>
      </c>
      <c r="W241" s="362"/>
      <c r="X241" s="483" t="s">
        <v>3140</v>
      </c>
      <c r="Y241" s="484">
        <v>44286</v>
      </c>
      <c r="Z241" s="484">
        <v>44286</v>
      </c>
      <c r="AA241" s="484">
        <v>44561</v>
      </c>
      <c r="AB241" s="485" t="s">
        <v>2575</v>
      </c>
      <c r="AC241" s="483" t="s">
        <v>3141</v>
      </c>
      <c r="AD241" s="485" t="s">
        <v>3142</v>
      </c>
      <c r="AE241" s="486" t="s">
        <v>3143</v>
      </c>
      <c r="AF241" s="473">
        <v>53100000</v>
      </c>
      <c r="AG241" s="474">
        <f t="shared" si="3"/>
        <v>0</v>
      </c>
      <c r="AL241" s="475">
        <v>5900000</v>
      </c>
      <c r="AM241" s="306">
        <v>5900000</v>
      </c>
    </row>
    <row r="242" spans="1:45" hidden="1" x14ac:dyDescent="0.25">
      <c r="A242" s="476" t="s">
        <v>2117</v>
      </c>
      <c r="B242" s="477">
        <v>54162000</v>
      </c>
      <c r="C242" s="212" t="s">
        <v>2571</v>
      </c>
      <c r="D242" s="309">
        <v>238</v>
      </c>
      <c r="E242" s="309">
        <v>20212000008523</v>
      </c>
      <c r="F242" s="479">
        <v>44244</v>
      </c>
      <c r="G242" s="478" t="s">
        <v>2565</v>
      </c>
      <c r="H242" s="212" t="s">
        <v>2566</v>
      </c>
      <c r="I242" s="212" t="s">
        <v>391</v>
      </c>
      <c r="J242" s="475">
        <v>45900000</v>
      </c>
      <c r="K242" s="210" t="s">
        <v>2636</v>
      </c>
      <c r="L242" s="212" t="s">
        <v>2637</v>
      </c>
      <c r="M242" s="212" t="s">
        <v>44</v>
      </c>
      <c r="N242" s="212" t="s">
        <v>45</v>
      </c>
      <c r="O242" s="212" t="s">
        <v>63</v>
      </c>
      <c r="P242" s="212" t="s">
        <v>676</v>
      </c>
      <c r="R242" s="486">
        <v>267</v>
      </c>
      <c r="S242" s="490">
        <v>44244</v>
      </c>
      <c r="T242" s="486" t="s">
        <v>3144</v>
      </c>
      <c r="U242" s="475">
        <f>45900000-2295000</f>
        <v>43605000</v>
      </c>
      <c r="V242" s="411">
        <v>2295000</v>
      </c>
      <c r="W242" s="397"/>
      <c r="X242" s="308">
        <v>245</v>
      </c>
      <c r="Y242" s="484">
        <v>44263</v>
      </c>
      <c r="Z242" s="484">
        <v>44263</v>
      </c>
      <c r="AA242" s="484">
        <v>44561</v>
      </c>
      <c r="AB242" s="485" t="s">
        <v>2575</v>
      </c>
      <c r="AC242" s="211">
        <v>174</v>
      </c>
      <c r="AD242" s="485" t="s">
        <v>3145</v>
      </c>
      <c r="AE242" s="486" t="s">
        <v>3146</v>
      </c>
      <c r="AF242" s="473">
        <v>43605000</v>
      </c>
      <c r="AG242" s="474">
        <f t="shared" si="3"/>
        <v>0</v>
      </c>
      <c r="AK242" s="475">
        <v>3519000</v>
      </c>
      <c r="AL242" s="475">
        <v>4590000</v>
      </c>
      <c r="AM242" s="306">
        <v>4590000</v>
      </c>
    </row>
    <row r="243" spans="1:45" hidden="1" x14ac:dyDescent="0.25">
      <c r="A243" s="476" t="s">
        <v>2113</v>
      </c>
      <c r="B243" s="477">
        <v>27255780</v>
      </c>
      <c r="C243" s="212" t="s">
        <v>2571</v>
      </c>
      <c r="D243" s="309">
        <v>239</v>
      </c>
      <c r="E243" s="309">
        <v>20217000008923</v>
      </c>
      <c r="F243" s="479">
        <v>44245</v>
      </c>
      <c r="G243" s="478" t="s">
        <v>2572</v>
      </c>
      <c r="H243" s="212" t="s">
        <v>2573</v>
      </c>
      <c r="I243" s="212" t="s">
        <v>164</v>
      </c>
      <c r="J243" s="473" t="s">
        <v>3147</v>
      </c>
      <c r="K243" s="212" t="s">
        <v>138</v>
      </c>
      <c r="L243" s="212" t="s">
        <v>139</v>
      </c>
      <c r="M243" s="212" t="s">
        <v>44</v>
      </c>
      <c r="N243" s="212" t="s">
        <v>45</v>
      </c>
      <c r="O243" s="212" t="s">
        <v>142</v>
      </c>
      <c r="P243" s="212" t="s">
        <v>43</v>
      </c>
      <c r="R243" s="486">
        <v>271</v>
      </c>
      <c r="S243" s="490">
        <v>44246</v>
      </c>
      <c r="T243" s="486" t="s">
        <v>3148</v>
      </c>
      <c r="U243" s="475">
        <v>16353468</v>
      </c>
      <c r="V243" s="406"/>
      <c r="W243" s="362"/>
      <c r="X243" s="308">
        <v>246</v>
      </c>
      <c r="Y243" s="484">
        <v>44263</v>
      </c>
      <c r="Z243" s="484">
        <v>44263</v>
      </c>
      <c r="AA243" s="484">
        <v>44447</v>
      </c>
      <c r="AB243" s="485" t="s">
        <v>2575</v>
      </c>
      <c r="AC243" s="211">
        <v>178</v>
      </c>
      <c r="AD243" s="485" t="s">
        <v>3149</v>
      </c>
      <c r="AE243" s="486" t="s">
        <v>3150</v>
      </c>
      <c r="AF243" s="473">
        <v>16353468</v>
      </c>
      <c r="AG243" s="474">
        <f t="shared" si="3"/>
        <v>0</v>
      </c>
      <c r="AK243" s="475">
        <v>1998757</v>
      </c>
      <c r="AL243" s="475">
        <v>2725578</v>
      </c>
      <c r="AM243" s="306">
        <v>2725578</v>
      </c>
    </row>
    <row r="244" spans="1:45" hidden="1" x14ac:dyDescent="0.25">
      <c r="A244" s="476" t="s">
        <v>1840</v>
      </c>
      <c r="B244" s="477">
        <v>44000000</v>
      </c>
      <c r="C244" s="212" t="s">
        <v>2571</v>
      </c>
      <c r="D244" s="309">
        <v>240</v>
      </c>
      <c r="E244" s="309">
        <v>20215000007253</v>
      </c>
      <c r="F244" s="479">
        <v>44243</v>
      </c>
      <c r="G244" s="309" t="s">
        <v>2565</v>
      </c>
      <c r="H244" s="210" t="s">
        <v>2566</v>
      </c>
      <c r="I244" s="210" t="s">
        <v>228</v>
      </c>
      <c r="J244" s="407">
        <v>44000000</v>
      </c>
      <c r="K244" s="212" t="s">
        <v>288</v>
      </c>
      <c r="L244" s="212" t="s">
        <v>2661</v>
      </c>
      <c r="M244" s="212" t="s">
        <v>44</v>
      </c>
      <c r="N244" s="212" t="s">
        <v>45</v>
      </c>
      <c r="O244" s="212" t="s">
        <v>63</v>
      </c>
      <c r="P244" s="212" t="s">
        <v>676</v>
      </c>
      <c r="R244" s="212">
        <v>253</v>
      </c>
      <c r="S244" s="479">
        <v>44243</v>
      </c>
      <c r="T244" s="212" t="s">
        <v>3151</v>
      </c>
      <c r="U244" s="475">
        <f>44000000-12000000</f>
        <v>32000000</v>
      </c>
      <c r="V244" s="406">
        <v>12000000</v>
      </c>
      <c r="W244" s="362"/>
      <c r="X244" s="483" t="s">
        <v>3152</v>
      </c>
      <c r="Y244" s="484">
        <v>44308</v>
      </c>
      <c r="Z244" s="484">
        <v>44308</v>
      </c>
      <c r="AA244" s="484">
        <v>44551</v>
      </c>
      <c r="AB244" s="485" t="s">
        <v>2575</v>
      </c>
      <c r="AC244" s="483" t="s">
        <v>3153</v>
      </c>
      <c r="AD244" s="485" t="s">
        <v>3154</v>
      </c>
      <c r="AE244" s="486" t="s">
        <v>3155</v>
      </c>
      <c r="AF244" s="473">
        <v>32000000</v>
      </c>
      <c r="AG244" s="474">
        <f t="shared" si="3"/>
        <v>0</v>
      </c>
      <c r="AL244" s="475">
        <v>1200000</v>
      </c>
      <c r="AM244" s="306">
        <v>4000000</v>
      </c>
    </row>
    <row r="245" spans="1:45" s="312" customFormat="1" ht="15.75" hidden="1" x14ac:dyDescent="0.25">
      <c r="A245" s="361"/>
      <c r="B245" s="417" t="s">
        <v>2941</v>
      </c>
      <c r="C245" s="510" t="s">
        <v>3156</v>
      </c>
      <c r="D245" s="312">
        <v>241</v>
      </c>
      <c r="E245" s="325">
        <v>20214000008263</v>
      </c>
      <c r="F245" s="315">
        <v>44243</v>
      </c>
      <c r="G245" s="325" t="s">
        <v>2605</v>
      </c>
      <c r="H245" s="312" t="s">
        <v>2606</v>
      </c>
      <c r="I245" s="312" t="s">
        <v>47</v>
      </c>
      <c r="J245" s="406">
        <v>14021839</v>
      </c>
      <c r="K245" s="312" t="s">
        <v>37</v>
      </c>
      <c r="L245" s="510" t="s">
        <v>3105</v>
      </c>
      <c r="M245" s="312" t="s">
        <v>44</v>
      </c>
      <c r="N245" s="312" t="s">
        <v>45</v>
      </c>
      <c r="O245" s="212" t="s">
        <v>310</v>
      </c>
      <c r="P245" s="312" t="s">
        <v>77</v>
      </c>
      <c r="R245" s="312">
        <v>255</v>
      </c>
      <c r="S245" s="315">
        <v>44244</v>
      </c>
      <c r="T245" s="312" t="s">
        <v>3157</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x14ac:dyDescent="0.25">
      <c r="A246" s="476" t="s">
        <v>2110</v>
      </c>
      <c r="B246" s="477">
        <v>64900000</v>
      </c>
      <c r="C246" s="212" t="s">
        <v>2571</v>
      </c>
      <c r="D246" s="478">
        <v>242</v>
      </c>
      <c r="E246" s="478">
        <v>20215000006383</v>
      </c>
      <c r="F246" s="479">
        <v>44235</v>
      </c>
      <c r="G246" s="478" t="s">
        <v>2565</v>
      </c>
      <c r="H246" s="212" t="s">
        <v>2566</v>
      </c>
      <c r="I246" s="212" t="s">
        <v>228</v>
      </c>
      <c r="J246" s="475">
        <v>64900000</v>
      </c>
      <c r="K246" s="212" t="s">
        <v>223</v>
      </c>
      <c r="L246" s="212" t="s">
        <v>283</v>
      </c>
      <c r="M246" s="212" t="s">
        <v>44</v>
      </c>
      <c r="N246" s="212" t="s">
        <v>45</v>
      </c>
      <c r="O246" s="212" t="s">
        <v>63</v>
      </c>
      <c r="P246" s="212" t="s">
        <v>676</v>
      </c>
      <c r="R246" s="212">
        <v>212</v>
      </c>
      <c r="S246" s="479">
        <v>44235</v>
      </c>
      <c r="T246" s="212" t="s">
        <v>3158</v>
      </c>
      <c r="U246" s="475">
        <f>64900000-11800000</f>
        <v>53100000</v>
      </c>
      <c r="V246" s="444">
        <v>11800000</v>
      </c>
      <c r="W246" s="398"/>
      <c r="X246" s="308">
        <v>247</v>
      </c>
      <c r="Y246" s="484">
        <v>44263</v>
      </c>
      <c r="Z246" s="484">
        <v>44263</v>
      </c>
      <c r="AA246" s="484">
        <v>44538</v>
      </c>
      <c r="AB246" s="485" t="s">
        <v>2575</v>
      </c>
      <c r="AC246" s="211">
        <v>179</v>
      </c>
      <c r="AD246" s="485" t="s">
        <v>3159</v>
      </c>
      <c r="AE246" s="486" t="s">
        <v>3160</v>
      </c>
      <c r="AF246" s="473">
        <v>53100000</v>
      </c>
      <c r="AG246" s="474">
        <f t="shared" si="3"/>
        <v>0</v>
      </c>
      <c r="AM246" s="212"/>
    </row>
    <row r="247" spans="1:45" hidden="1" x14ac:dyDescent="0.25">
      <c r="A247" s="476" t="s">
        <v>3161</v>
      </c>
      <c r="B247" s="475">
        <v>31600000</v>
      </c>
      <c r="C247" s="212" t="s">
        <v>2571</v>
      </c>
      <c r="D247" s="478">
        <v>243</v>
      </c>
      <c r="E247" s="478">
        <v>20214000004813</v>
      </c>
      <c r="F247" s="479">
        <v>44229</v>
      </c>
      <c r="G247" s="478" t="s">
        <v>2598</v>
      </c>
      <c r="H247" s="212" t="s">
        <v>2599</v>
      </c>
      <c r="I247" s="212" t="s">
        <v>117</v>
      </c>
      <c r="J247" s="475">
        <v>31600000</v>
      </c>
      <c r="K247" s="212" t="s">
        <v>112</v>
      </c>
      <c r="L247" s="212" t="s">
        <v>2600</v>
      </c>
      <c r="M247" s="212" t="s">
        <v>44</v>
      </c>
      <c r="N247" s="212" t="s">
        <v>45</v>
      </c>
      <c r="O247" s="212" t="s">
        <v>63</v>
      </c>
      <c r="P247" s="212" t="s">
        <v>43</v>
      </c>
      <c r="R247" s="212">
        <v>174</v>
      </c>
      <c r="S247" s="479">
        <v>44229</v>
      </c>
      <c r="T247" s="212" t="s">
        <v>3162</v>
      </c>
      <c r="U247" s="475">
        <v>31600000</v>
      </c>
      <c r="V247" s="406"/>
      <c r="W247" s="362"/>
      <c r="X247" s="308">
        <v>248</v>
      </c>
      <c r="Y247" s="484">
        <v>44263</v>
      </c>
      <c r="Z247" s="484">
        <v>44263</v>
      </c>
      <c r="AA247" s="484">
        <v>44508</v>
      </c>
      <c r="AB247" s="485" t="s">
        <v>2575</v>
      </c>
      <c r="AC247" s="211">
        <v>181</v>
      </c>
      <c r="AD247" s="485" t="s">
        <v>3163</v>
      </c>
      <c r="AE247" s="486" t="s">
        <v>3164</v>
      </c>
      <c r="AF247" s="473">
        <v>31600000</v>
      </c>
      <c r="AG247" s="474">
        <f t="shared" si="3"/>
        <v>0</v>
      </c>
      <c r="AK247" s="475">
        <v>2896666</v>
      </c>
      <c r="AL247" s="475">
        <v>3950000</v>
      </c>
      <c r="AM247" s="306">
        <v>3950000</v>
      </c>
      <c r="AQ247" s="507"/>
      <c r="AR247" s="508"/>
      <c r="AS247" s="509"/>
    </row>
    <row r="248" spans="1:45" ht="15.75" hidden="1" x14ac:dyDescent="0.25">
      <c r="B248" s="501" t="s">
        <v>2608</v>
      </c>
      <c r="C248" s="515" t="s">
        <v>3165</v>
      </c>
      <c r="D248" s="478">
        <v>243</v>
      </c>
      <c r="E248" s="309">
        <v>20217000009773</v>
      </c>
      <c r="F248" s="310">
        <v>44250</v>
      </c>
      <c r="G248" s="478" t="s">
        <v>2572</v>
      </c>
      <c r="H248" s="212" t="s">
        <v>2573</v>
      </c>
      <c r="I248" s="212" t="s">
        <v>164</v>
      </c>
      <c r="J248" s="475">
        <v>9889912</v>
      </c>
      <c r="K248" s="212" t="s">
        <v>138</v>
      </c>
      <c r="L248" s="212" t="s">
        <v>139</v>
      </c>
      <c r="M248" s="212" t="s">
        <v>44</v>
      </c>
      <c r="N248" s="212" t="s">
        <v>45</v>
      </c>
      <c r="O248" s="212" t="s">
        <v>142</v>
      </c>
      <c r="P248" s="212" t="s">
        <v>43</v>
      </c>
      <c r="R248" s="486">
        <v>285</v>
      </c>
      <c r="S248" s="490">
        <v>44250</v>
      </c>
      <c r="T248" s="486" t="s">
        <v>3166</v>
      </c>
      <c r="U248" s="475">
        <v>9889912</v>
      </c>
      <c r="V248" s="406"/>
      <c r="W248" s="362"/>
      <c r="X248" s="308">
        <v>249</v>
      </c>
      <c r="Y248" s="484">
        <v>44263</v>
      </c>
      <c r="Z248" s="484">
        <v>44264</v>
      </c>
      <c r="AA248" s="484">
        <v>44315</v>
      </c>
      <c r="AB248" s="485" t="s">
        <v>2575</v>
      </c>
      <c r="AC248" s="211">
        <v>615</v>
      </c>
      <c r="AD248" s="485" t="s">
        <v>3167</v>
      </c>
      <c r="AE248" s="486" t="s">
        <v>3168</v>
      </c>
      <c r="AF248" s="473">
        <v>9889912</v>
      </c>
      <c r="AG248" s="474">
        <f t="shared" si="3"/>
        <v>0</v>
      </c>
      <c r="AK248" s="475">
        <v>5705719</v>
      </c>
      <c r="AL248" s="475">
        <v>4184193</v>
      </c>
      <c r="AM248" s="212"/>
    </row>
    <row r="249" spans="1:45" hidden="1" x14ac:dyDescent="0.25">
      <c r="A249" s="476" t="s">
        <v>2115</v>
      </c>
      <c r="B249" s="477">
        <v>40000000</v>
      </c>
      <c r="C249" s="212" t="s">
        <v>3112</v>
      </c>
      <c r="D249" s="478">
        <v>244</v>
      </c>
      <c r="E249" s="309">
        <v>20213000010293</v>
      </c>
      <c r="F249" s="479">
        <v>44252</v>
      </c>
      <c r="G249" s="478" t="s">
        <v>2565</v>
      </c>
      <c r="H249" s="212" t="s">
        <v>2566</v>
      </c>
      <c r="I249" s="212" t="s">
        <v>432</v>
      </c>
      <c r="J249" s="475">
        <v>39975144</v>
      </c>
      <c r="K249" s="212" t="s">
        <v>342</v>
      </c>
      <c r="L249" s="212" t="s">
        <v>351</v>
      </c>
      <c r="M249" s="212" t="s">
        <v>44</v>
      </c>
      <c r="N249" s="212" t="s">
        <v>45</v>
      </c>
      <c r="O249" s="212" t="s">
        <v>63</v>
      </c>
      <c r="P249" s="212" t="s">
        <v>676</v>
      </c>
      <c r="R249" s="486">
        <v>303</v>
      </c>
      <c r="S249" s="490">
        <v>44252</v>
      </c>
      <c r="T249" s="486" t="s">
        <v>3169</v>
      </c>
      <c r="U249" s="475">
        <v>39975144</v>
      </c>
      <c r="V249" s="406"/>
      <c r="W249" s="362"/>
      <c r="X249" s="308">
        <v>250</v>
      </c>
      <c r="Y249" s="484">
        <v>44264</v>
      </c>
      <c r="Z249" s="484">
        <v>44264</v>
      </c>
      <c r="AA249" s="484">
        <v>44509</v>
      </c>
      <c r="AB249" s="485" t="s">
        <v>2575</v>
      </c>
      <c r="AC249" s="211">
        <v>176</v>
      </c>
      <c r="AD249" s="485" t="s">
        <v>3170</v>
      </c>
      <c r="AE249" s="486" t="s">
        <v>3171</v>
      </c>
      <c r="AF249" s="473">
        <v>39975144</v>
      </c>
      <c r="AG249" s="474">
        <f t="shared" si="3"/>
        <v>0</v>
      </c>
      <c r="AK249" s="475">
        <v>3497825</v>
      </c>
      <c r="AL249" s="475">
        <v>4996893</v>
      </c>
      <c r="AM249" s="306">
        <v>4996893</v>
      </c>
    </row>
    <row r="250" spans="1:45" hidden="1" x14ac:dyDescent="0.25">
      <c r="A250" s="476" t="s">
        <v>1833</v>
      </c>
      <c r="B250" s="477">
        <v>60180000</v>
      </c>
      <c r="C250" s="212" t="s">
        <v>2687</v>
      </c>
      <c r="D250" s="478">
        <v>245</v>
      </c>
      <c r="E250" s="309">
        <v>20212000008503</v>
      </c>
      <c r="F250" s="479">
        <v>44244</v>
      </c>
      <c r="G250" s="478" t="s">
        <v>2565</v>
      </c>
      <c r="H250" s="212" t="s">
        <v>2566</v>
      </c>
      <c r="I250" s="212" t="s">
        <v>391</v>
      </c>
      <c r="J250" s="475">
        <v>51000000</v>
      </c>
      <c r="K250" s="210" t="s">
        <v>2636</v>
      </c>
      <c r="L250" s="212" t="s">
        <v>2637</v>
      </c>
      <c r="M250" s="212" t="s">
        <v>44</v>
      </c>
      <c r="N250" s="212" t="s">
        <v>45</v>
      </c>
      <c r="O250" s="212" t="s">
        <v>63</v>
      </c>
      <c r="P250" s="212" t="s">
        <v>676</v>
      </c>
      <c r="R250" s="486">
        <v>265</v>
      </c>
      <c r="S250" s="490">
        <v>44244</v>
      </c>
      <c r="T250" s="486" t="s">
        <v>3172</v>
      </c>
      <c r="U250" s="475">
        <f>51000000-2550000</f>
        <v>48450000</v>
      </c>
      <c r="V250" s="411">
        <v>2550000</v>
      </c>
      <c r="W250" s="397"/>
      <c r="X250" s="308">
        <v>251</v>
      </c>
      <c r="Y250" s="484">
        <v>44264</v>
      </c>
      <c r="Z250" s="484">
        <v>44264</v>
      </c>
      <c r="AA250" s="484">
        <v>44561</v>
      </c>
      <c r="AB250" s="485" t="s">
        <v>2575</v>
      </c>
      <c r="AC250" s="211">
        <v>182</v>
      </c>
      <c r="AD250" s="485" t="s">
        <v>3173</v>
      </c>
      <c r="AE250" s="486" t="s">
        <v>3174</v>
      </c>
      <c r="AF250" s="473">
        <v>48450000</v>
      </c>
      <c r="AG250" s="474">
        <f t="shared" si="3"/>
        <v>0</v>
      </c>
      <c r="AK250" s="475">
        <v>3740000</v>
      </c>
      <c r="AL250" s="475">
        <v>5100000</v>
      </c>
      <c r="AM250" s="306">
        <v>5100000</v>
      </c>
    </row>
    <row r="251" spans="1:45" hidden="1" x14ac:dyDescent="0.25">
      <c r="A251" s="476" t="s">
        <v>2116</v>
      </c>
      <c r="B251" s="477">
        <v>42000000</v>
      </c>
      <c r="C251" s="212" t="s">
        <v>2571</v>
      </c>
      <c r="D251" s="478">
        <v>246</v>
      </c>
      <c r="E251" s="478">
        <v>20213000007873</v>
      </c>
      <c r="F251" s="479">
        <v>44243</v>
      </c>
      <c r="G251" s="478" t="s">
        <v>2565</v>
      </c>
      <c r="H251" s="212" t="s">
        <v>2566</v>
      </c>
      <c r="I251" s="212" t="s">
        <v>432</v>
      </c>
      <c r="J251" s="475">
        <v>35400000</v>
      </c>
      <c r="K251" s="212" t="s">
        <v>358</v>
      </c>
      <c r="L251" s="212" t="s">
        <v>2716</v>
      </c>
      <c r="M251" s="212" t="s">
        <v>44</v>
      </c>
      <c r="N251" s="212" t="s">
        <v>45</v>
      </c>
      <c r="O251" s="212" t="s">
        <v>63</v>
      </c>
      <c r="P251" s="212" t="s">
        <v>676</v>
      </c>
      <c r="R251" s="212">
        <v>242</v>
      </c>
      <c r="S251" s="479">
        <v>44243</v>
      </c>
      <c r="T251" s="212" t="s">
        <v>3175</v>
      </c>
      <c r="U251" s="475">
        <v>35400000</v>
      </c>
      <c r="V251" s="406"/>
      <c r="W251" s="362"/>
      <c r="X251" s="308">
        <v>252</v>
      </c>
      <c r="Y251" s="484">
        <v>44264</v>
      </c>
      <c r="Z251" s="484">
        <v>44264</v>
      </c>
      <c r="AA251" s="484">
        <v>44539</v>
      </c>
      <c r="AB251" s="485" t="s">
        <v>2575</v>
      </c>
      <c r="AC251" s="211">
        <v>180</v>
      </c>
      <c r="AD251" s="485" t="s">
        <v>3176</v>
      </c>
      <c r="AE251" s="486" t="s">
        <v>3177</v>
      </c>
      <c r="AF251" s="473">
        <v>35400000</v>
      </c>
      <c r="AG251" s="474">
        <f t="shared" si="3"/>
        <v>0</v>
      </c>
      <c r="AK251" s="475">
        <v>3933333</v>
      </c>
      <c r="AL251" s="475">
        <v>5900000</v>
      </c>
      <c r="AM251" s="306">
        <v>5900000</v>
      </c>
    </row>
    <row r="252" spans="1:45" ht="15.75" hidden="1" x14ac:dyDescent="0.25">
      <c r="B252" s="501" t="s">
        <v>2608</v>
      </c>
      <c r="C252" s="516" t="s">
        <v>3178</v>
      </c>
      <c r="D252" s="478">
        <v>247</v>
      </c>
      <c r="E252" s="309">
        <v>20217000009763</v>
      </c>
      <c r="F252" s="310">
        <v>44250</v>
      </c>
      <c r="G252" s="478" t="s">
        <v>2572</v>
      </c>
      <c r="H252" s="212" t="s">
        <v>2573</v>
      </c>
      <c r="I252" s="212" t="s">
        <v>164</v>
      </c>
      <c r="J252" s="475">
        <v>8005562</v>
      </c>
      <c r="K252" s="212" t="s">
        <v>138</v>
      </c>
      <c r="L252" s="212" t="s">
        <v>139</v>
      </c>
      <c r="M252" s="212" t="s">
        <v>44</v>
      </c>
      <c r="N252" s="212" t="s">
        <v>45</v>
      </c>
      <c r="O252" s="212" t="s">
        <v>142</v>
      </c>
      <c r="P252" s="212" t="s">
        <v>43</v>
      </c>
      <c r="R252" s="486">
        <v>284</v>
      </c>
      <c r="S252" s="490">
        <v>44250</v>
      </c>
      <c r="T252" s="486" t="s">
        <v>3179</v>
      </c>
      <c r="U252" s="475">
        <v>8005562</v>
      </c>
      <c r="V252" s="406"/>
      <c r="W252" s="362"/>
      <c r="X252" s="308">
        <v>253</v>
      </c>
      <c r="Y252" s="484">
        <v>44264</v>
      </c>
      <c r="Z252" s="484">
        <v>44270</v>
      </c>
      <c r="AA252" s="484">
        <v>44328</v>
      </c>
      <c r="AB252" s="485" t="s">
        <v>2575</v>
      </c>
      <c r="AC252" s="211">
        <v>600</v>
      </c>
      <c r="AD252" s="485" t="s">
        <v>3180</v>
      </c>
      <c r="AE252" s="486" t="s">
        <v>3181</v>
      </c>
      <c r="AF252" s="473">
        <v>8005562</v>
      </c>
      <c r="AG252" s="474">
        <f t="shared" si="3"/>
        <v>0</v>
      </c>
      <c r="AL252" s="475">
        <v>6741527</v>
      </c>
      <c r="AM252" s="212"/>
    </row>
    <row r="253" spans="1:45" hidden="1" x14ac:dyDescent="0.25">
      <c r="B253" s="501" t="s">
        <v>2608</v>
      </c>
      <c r="C253" s="212" t="s">
        <v>3182</v>
      </c>
      <c r="D253" s="478">
        <v>248</v>
      </c>
      <c r="E253" s="478">
        <v>20215000006633</v>
      </c>
      <c r="F253" s="479">
        <v>44236</v>
      </c>
      <c r="G253" s="478" t="s">
        <v>2565</v>
      </c>
      <c r="H253" s="212" t="s">
        <v>2566</v>
      </c>
      <c r="I253" s="212" t="s">
        <v>228</v>
      </c>
      <c r="J253" s="475">
        <v>17064600</v>
      </c>
      <c r="K253" s="212" t="s">
        <v>223</v>
      </c>
      <c r="L253" s="212" t="s">
        <v>257</v>
      </c>
      <c r="M253" s="212" t="s">
        <v>44</v>
      </c>
      <c r="N253" s="212" t="s">
        <v>45</v>
      </c>
      <c r="O253" s="212" t="s">
        <v>46</v>
      </c>
      <c r="P253" s="212" t="s">
        <v>676</v>
      </c>
      <c r="R253" s="212">
        <v>228</v>
      </c>
      <c r="S253" s="479">
        <v>44236</v>
      </c>
      <c r="T253" s="212" t="s">
        <v>3183</v>
      </c>
      <c r="U253" s="475">
        <v>17064600</v>
      </c>
      <c r="V253" s="406"/>
      <c r="W253" s="362"/>
      <c r="X253" s="308">
        <v>254</v>
      </c>
      <c r="Y253" s="484">
        <v>44264</v>
      </c>
      <c r="Z253" s="484">
        <v>44264</v>
      </c>
      <c r="AA253" s="484">
        <v>44561</v>
      </c>
      <c r="AB253" s="485" t="s">
        <v>2591</v>
      </c>
      <c r="AC253" s="211">
        <v>707</v>
      </c>
      <c r="AD253" s="485" t="s">
        <v>3184</v>
      </c>
      <c r="AE253" s="486" t="s">
        <v>2592</v>
      </c>
      <c r="AF253" s="473">
        <v>17064600</v>
      </c>
      <c r="AG253" s="474">
        <f t="shared" si="3"/>
        <v>0</v>
      </c>
      <c r="AK253" s="475">
        <v>17064600</v>
      </c>
      <c r="AM253" s="212"/>
    </row>
    <row r="254" spans="1:45" hidden="1" x14ac:dyDescent="0.25">
      <c r="A254" s="476" t="s">
        <v>2327</v>
      </c>
      <c r="B254" s="477">
        <v>36000000</v>
      </c>
      <c r="C254" s="212" t="s">
        <v>3112</v>
      </c>
      <c r="D254" s="478">
        <v>249</v>
      </c>
      <c r="E254" s="478">
        <v>20211400013173</v>
      </c>
      <c r="F254" s="479">
        <v>44264</v>
      </c>
      <c r="G254" s="478" t="s">
        <v>2572</v>
      </c>
      <c r="H254" s="212" t="s">
        <v>2573</v>
      </c>
      <c r="I254" s="212" t="s">
        <v>184</v>
      </c>
      <c r="J254" s="475">
        <v>36000000</v>
      </c>
      <c r="K254" s="212" t="s">
        <v>138</v>
      </c>
      <c r="L254" s="212" t="s">
        <v>2577</v>
      </c>
      <c r="M254" s="212" t="s">
        <v>44</v>
      </c>
      <c r="N254" s="212" t="s">
        <v>45</v>
      </c>
      <c r="O254" s="212" t="s">
        <v>142</v>
      </c>
      <c r="P254" s="212" t="s">
        <v>43</v>
      </c>
      <c r="R254" s="212">
        <v>348</v>
      </c>
      <c r="S254" s="490">
        <v>44264</v>
      </c>
      <c r="T254" s="486" t="s">
        <v>3185</v>
      </c>
      <c r="U254" s="475">
        <v>36000000</v>
      </c>
      <c r="V254" s="406"/>
      <c r="W254" s="362"/>
      <c r="X254" s="308">
        <v>256</v>
      </c>
      <c r="Y254" s="484">
        <v>44264</v>
      </c>
      <c r="Z254" s="484">
        <v>44264</v>
      </c>
      <c r="AA254" s="484">
        <v>44539</v>
      </c>
      <c r="AB254" s="485" t="s">
        <v>2575</v>
      </c>
      <c r="AC254" s="211">
        <v>177</v>
      </c>
      <c r="AD254" s="485" t="s">
        <v>3186</v>
      </c>
      <c r="AE254" s="486" t="s">
        <v>3187</v>
      </c>
      <c r="AF254" s="473">
        <v>36000000</v>
      </c>
      <c r="AK254" s="475">
        <v>3150000</v>
      </c>
      <c r="AL254" s="475">
        <v>4500000</v>
      </c>
      <c r="AM254" s="306">
        <v>4500000</v>
      </c>
    </row>
    <row r="255" spans="1:45" hidden="1" x14ac:dyDescent="0.25">
      <c r="A255" s="476" t="s">
        <v>1820</v>
      </c>
      <c r="B255" s="477">
        <v>61383600</v>
      </c>
      <c r="C255" s="212" t="s">
        <v>2571</v>
      </c>
      <c r="D255" s="478">
        <v>250</v>
      </c>
      <c r="E255" s="309">
        <v>20212000008493</v>
      </c>
      <c r="F255" s="479">
        <v>44244</v>
      </c>
      <c r="G255" s="478" t="s">
        <v>2565</v>
      </c>
      <c r="H255" s="212" t="s">
        <v>2566</v>
      </c>
      <c r="I255" s="212" t="s">
        <v>391</v>
      </c>
      <c r="J255" s="475">
        <v>52020000</v>
      </c>
      <c r="K255" s="210" t="s">
        <v>2636</v>
      </c>
      <c r="L255" s="212" t="s">
        <v>2637</v>
      </c>
      <c r="M255" s="212" t="s">
        <v>44</v>
      </c>
      <c r="N255" s="212" t="s">
        <v>45</v>
      </c>
      <c r="O255" s="212" t="s">
        <v>63</v>
      </c>
      <c r="P255" s="212" t="s">
        <v>676</v>
      </c>
      <c r="R255" s="486">
        <v>264</v>
      </c>
      <c r="S255" s="490">
        <v>44244</v>
      </c>
      <c r="T255" s="486" t="s">
        <v>3188</v>
      </c>
      <c r="U255" s="475">
        <v>52020000</v>
      </c>
      <c r="V255" s="406"/>
      <c r="W255" s="362"/>
      <c r="X255" s="483" t="s">
        <v>3189</v>
      </c>
      <c r="Y255" s="484">
        <v>44307</v>
      </c>
      <c r="Z255" s="484">
        <v>44307</v>
      </c>
      <c r="AA255" s="484">
        <v>44550</v>
      </c>
      <c r="AB255" s="485" t="s">
        <v>2575</v>
      </c>
      <c r="AC255" s="483" t="s">
        <v>3190</v>
      </c>
      <c r="AD255" s="485" t="s">
        <v>3191</v>
      </c>
      <c r="AE255" s="486" t="s">
        <v>3192</v>
      </c>
      <c r="AF255" s="496">
        <v>41616000</v>
      </c>
      <c r="AG255" s="474">
        <f t="shared" ref="AG255:AG261" si="4">+U255-AF255</f>
        <v>10404000</v>
      </c>
      <c r="AM255" s="212"/>
    </row>
    <row r="256" spans="1:45" hidden="1" x14ac:dyDescent="0.25">
      <c r="A256" s="476" t="s">
        <v>2090</v>
      </c>
      <c r="B256" s="477">
        <v>64900000</v>
      </c>
      <c r="C256" s="212" t="s">
        <v>2571</v>
      </c>
      <c r="D256" s="478">
        <v>251</v>
      </c>
      <c r="E256" s="309">
        <v>20215000007243</v>
      </c>
      <c r="F256" s="479">
        <v>44243</v>
      </c>
      <c r="G256" s="309" t="s">
        <v>2565</v>
      </c>
      <c r="H256" s="210" t="s">
        <v>2566</v>
      </c>
      <c r="I256" s="210" t="s">
        <v>228</v>
      </c>
      <c r="J256" s="407">
        <v>64900000</v>
      </c>
      <c r="K256" s="212" t="s">
        <v>288</v>
      </c>
      <c r="L256" s="212" t="s">
        <v>2661</v>
      </c>
      <c r="M256" s="212" t="s">
        <v>44</v>
      </c>
      <c r="N256" s="212" t="s">
        <v>45</v>
      </c>
      <c r="O256" s="212" t="s">
        <v>63</v>
      </c>
      <c r="P256" s="212" t="s">
        <v>676</v>
      </c>
      <c r="R256" s="212">
        <v>252</v>
      </c>
      <c r="S256" s="479">
        <v>44243</v>
      </c>
      <c r="T256" s="212" t="s">
        <v>3193</v>
      </c>
      <c r="U256" s="475">
        <f>64900000-26900000</f>
        <v>38000000</v>
      </c>
      <c r="V256" s="444">
        <v>26900000</v>
      </c>
      <c r="W256" s="398"/>
      <c r="X256" s="308">
        <v>257</v>
      </c>
      <c r="Y256" s="484">
        <v>44265</v>
      </c>
      <c r="Z256" s="484">
        <v>44265</v>
      </c>
      <c r="AA256" s="484">
        <v>44561</v>
      </c>
      <c r="AB256" s="485" t="s">
        <v>2575</v>
      </c>
      <c r="AC256" s="211">
        <v>183</v>
      </c>
      <c r="AD256" s="485" t="s">
        <v>3194</v>
      </c>
      <c r="AE256" s="486" t="s">
        <v>3195</v>
      </c>
      <c r="AF256" s="473">
        <v>38000000</v>
      </c>
      <c r="AG256" s="474">
        <f t="shared" si="4"/>
        <v>0</v>
      </c>
      <c r="AK256" s="475">
        <v>2666667</v>
      </c>
      <c r="AL256" s="475">
        <v>4000000</v>
      </c>
      <c r="AM256" s="306">
        <v>4000000</v>
      </c>
    </row>
    <row r="257" spans="1:50" s="312" customFormat="1" ht="15" hidden="1" customHeight="1" x14ac:dyDescent="0.25">
      <c r="A257" s="361" t="s">
        <v>1824</v>
      </c>
      <c r="B257" s="417">
        <v>65836059</v>
      </c>
      <c r="C257" s="312" t="s">
        <v>2571</v>
      </c>
      <c r="D257" s="325">
        <v>252</v>
      </c>
      <c r="E257" s="325">
        <v>20212000008513</v>
      </c>
      <c r="F257" s="315">
        <v>44244</v>
      </c>
      <c r="G257" s="325" t="s">
        <v>2565</v>
      </c>
      <c r="H257" s="312" t="s">
        <v>2566</v>
      </c>
      <c r="I257" s="312" t="s">
        <v>391</v>
      </c>
      <c r="J257" s="405">
        <v>56270000</v>
      </c>
      <c r="K257" s="312" t="s">
        <v>2636</v>
      </c>
      <c r="L257" s="312" t="s">
        <v>2637</v>
      </c>
      <c r="M257" s="312" t="s">
        <v>44</v>
      </c>
      <c r="N257" s="312" t="s">
        <v>45</v>
      </c>
      <c r="O257" s="312" t="s">
        <v>63</v>
      </c>
      <c r="P257" s="312" t="s">
        <v>676</v>
      </c>
      <c r="R257" s="312">
        <v>266</v>
      </c>
      <c r="S257" s="315">
        <v>44244</v>
      </c>
      <c r="T257" s="393" t="s">
        <v>1824</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x14ac:dyDescent="0.25">
      <c r="A258" s="476" t="s">
        <v>2087</v>
      </c>
      <c r="B258" s="477">
        <v>39600000</v>
      </c>
      <c r="C258" s="212" t="s">
        <v>2571</v>
      </c>
      <c r="D258" s="478">
        <v>253</v>
      </c>
      <c r="E258" s="478">
        <v>20215000006393</v>
      </c>
      <c r="F258" s="479">
        <v>44235</v>
      </c>
      <c r="G258" s="478" t="s">
        <v>2565</v>
      </c>
      <c r="H258" s="212" t="s">
        <v>2566</v>
      </c>
      <c r="I258" s="212" t="s">
        <v>228</v>
      </c>
      <c r="J258" s="475">
        <v>39600000</v>
      </c>
      <c r="K258" s="212" t="s">
        <v>223</v>
      </c>
      <c r="L258" s="212" t="s">
        <v>283</v>
      </c>
      <c r="M258" s="212" t="s">
        <v>44</v>
      </c>
      <c r="N258" s="212" t="s">
        <v>45</v>
      </c>
      <c r="O258" s="212" t="s">
        <v>63</v>
      </c>
      <c r="P258" s="212" t="s">
        <v>676</v>
      </c>
      <c r="R258" s="212">
        <v>213</v>
      </c>
      <c r="S258" s="479">
        <v>44235</v>
      </c>
      <c r="T258" s="212" t="s">
        <v>3196</v>
      </c>
      <c r="U258" s="475">
        <f>39600000-7200000</f>
        <v>32400000</v>
      </c>
      <c r="V258" s="444">
        <v>7200000</v>
      </c>
      <c r="W258" s="398"/>
      <c r="X258" s="308">
        <v>258</v>
      </c>
      <c r="Y258" s="484">
        <v>44265</v>
      </c>
      <c r="Z258" s="484">
        <v>44265</v>
      </c>
      <c r="AA258" s="484">
        <v>44540</v>
      </c>
      <c r="AB258" s="485" t="s">
        <v>2575</v>
      </c>
      <c r="AC258" s="211">
        <v>184</v>
      </c>
      <c r="AD258" s="485" t="s">
        <v>3197</v>
      </c>
      <c r="AE258" s="486" t="s">
        <v>3198</v>
      </c>
      <c r="AF258" s="473">
        <v>32400000</v>
      </c>
      <c r="AG258" s="474">
        <f t="shared" si="4"/>
        <v>0</v>
      </c>
      <c r="AK258" s="475">
        <v>2520000</v>
      </c>
      <c r="AL258" s="475">
        <v>3600000</v>
      </c>
      <c r="AM258" s="306">
        <v>3600000</v>
      </c>
    </row>
    <row r="259" spans="1:50" ht="15" hidden="1" customHeight="1" x14ac:dyDescent="0.25">
      <c r="B259" s="477" t="s">
        <v>2608</v>
      </c>
      <c r="C259" s="212" t="s">
        <v>2571</v>
      </c>
      <c r="D259" s="478">
        <v>254</v>
      </c>
      <c r="E259" s="309">
        <v>20217000008603</v>
      </c>
      <c r="F259" s="479">
        <v>44244</v>
      </c>
      <c r="G259" s="478" t="s">
        <v>2572</v>
      </c>
      <c r="H259" s="212" t="s">
        <v>2573</v>
      </c>
      <c r="I259" s="212" t="s">
        <v>164</v>
      </c>
      <c r="J259" s="475">
        <v>7900226</v>
      </c>
      <c r="K259" s="212" t="s">
        <v>138</v>
      </c>
      <c r="L259" s="212" t="s">
        <v>139</v>
      </c>
      <c r="M259" s="212" t="s">
        <v>44</v>
      </c>
      <c r="N259" s="212" t="s">
        <v>45</v>
      </c>
      <c r="O259" s="212" t="s">
        <v>142</v>
      </c>
      <c r="P259" s="212" t="s">
        <v>43</v>
      </c>
      <c r="R259" s="486">
        <v>268</v>
      </c>
      <c r="S259" s="490">
        <v>44244</v>
      </c>
      <c r="T259" s="486" t="s">
        <v>3199</v>
      </c>
      <c r="U259" s="475">
        <v>7900226</v>
      </c>
      <c r="V259" s="406"/>
      <c r="W259" s="362"/>
      <c r="X259" s="483">
        <v>169</v>
      </c>
      <c r="Y259" s="484">
        <v>44246</v>
      </c>
      <c r="Z259" s="484">
        <v>44249</v>
      </c>
      <c r="AA259" s="484">
        <v>44307</v>
      </c>
      <c r="AB259" s="485" t="s">
        <v>2575</v>
      </c>
      <c r="AC259" s="483">
        <v>499</v>
      </c>
      <c r="AD259" s="485">
        <v>9535500</v>
      </c>
      <c r="AE259" s="486" t="s">
        <v>3200</v>
      </c>
      <c r="AF259" s="473">
        <v>7900226</v>
      </c>
      <c r="AG259" s="474">
        <f t="shared" si="4"/>
        <v>0</v>
      </c>
      <c r="AJ259" s="475">
        <v>3950113</v>
      </c>
      <c r="AK259" s="475">
        <v>3950113</v>
      </c>
      <c r="AM259" s="212"/>
    </row>
    <row r="260" spans="1:50" ht="15.75" hidden="1" customHeight="1" x14ac:dyDescent="0.25">
      <c r="B260" s="477" t="s">
        <v>2608</v>
      </c>
      <c r="C260" s="515" t="s">
        <v>3201</v>
      </c>
      <c r="D260" s="478">
        <v>255</v>
      </c>
      <c r="E260" s="309">
        <v>20214000008653</v>
      </c>
      <c r="F260" s="479">
        <v>44244</v>
      </c>
      <c r="G260" s="478" t="s">
        <v>2605</v>
      </c>
      <c r="H260" s="212" t="s">
        <v>2606</v>
      </c>
      <c r="I260" s="212" t="s">
        <v>47</v>
      </c>
      <c r="J260" s="480">
        <v>43792000</v>
      </c>
      <c r="K260" s="212" t="s">
        <v>37</v>
      </c>
      <c r="L260" s="515" t="s">
        <v>3105</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2575</v>
      </c>
      <c r="AC260" s="483">
        <v>332</v>
      </c>
      <c r="AD260" s="485">
        <v>901105939</v>
      </c>
      <c r="AE260" s="486" t="s">
        <v>3202</v>
      </c>
      <c r="AF260" s="488">
        <v>43792000</v>
      </c>
      <c r="AG260" s="474">
        <f t="shared" si="4"/>
        <v>0</v>
      </c>
      <c r="AH260" s="480"/>
      <c r="AL260" s="475">
        <v>21896000</v>
      </c>
      <c r="AM260" s="212"/>
    </row>
    <row r="261" spans="1:50" ht="15" hidden="1" customHeight="1" x14ac:dyDescent="0.25">
      <c r="A261" s="476" t="s">
        <v>2233</v>
      </c>
      <c r="B261" s="477">
        <v>250000000</v>
      </c>
      <c r="C261" s="212" t="s">
        <v>3203</v>
      </c>
      <c r="D261" s="478">
        <v>256</v>
      </c>
      <c r="E261" s="309">
        <v>20211400008903</v>
      </c>
      <c r="F261" s="479">
        <v>44245</v>
      </c>
      <c r="G261" s="478" t="s">
        <v>2572</v>
      </c>
      <c r="H261" s="212" t="s">
        <v>2573</v>
      </c>
      <c r="I261" s="212" t="s">
        <v>184</v>
      </c>
      <c r="J261" s="475">
        <v>250000000</v>
      </c>
      <c r="K261" s="212" t="s">
        <v>138</v>
      </c>
      <c r="L261" s="212" t="s">
        <v>2577</v>
      </c>
      <c r="M261" s="212" t="s">
        <v>44</v>
      </c>
      <c r="N261" s="212" t="s">
        <v>45</v>
      </c>
      <c r="O261" s="212" t="s">
        <v>194</v>
      </c>
      <c r="P261" s="212" t="s">
        <v>43</v>
      </c>
      <c r="R261" s="486">
        <v>270</v>
      </c>
      <c r="S261" s="490">
        <v>44246</v>
      </c>
      <c r="T261" s="486" t="s">
        <v>3204</v>
      </c>
      <c r="U261" s="475">
        <f>250000000-1190992</f>
        <v>248809008</v>
      </c>
      <c r="V261" s="406">
        <v>1190992</v>
      </c>
      <c r="W261" s="362" t="s">
        <v>1453</v>
      </c>
      <c r="X261" s="483" t="s">
        <v>3205</v>
      </c>
      <c r="Y261" s="484">
        <v>44291</v>
      </c>
      <c r="Z261" s="484">
        <v>44291</v>
      </c>
      <c r="AA261" s="484">
        <v>44561</v>
      </c>
      <c r="AB261" s="485" t="s">
        <v>3206</v>
      </c>
      <c r="AC261" s="483" t="s">
        <v>3207</v>
      </c>
      <c r="AD261" s="485" t="s">
        <v>3208</v>
      </c>
      <c r="AE261" s="486" t="s">
        <v>2768</v>
      </c>
      <c r="AF261" s="473">
        <v>248809008</v>
      </c>
      <c r="AG261" s="474">
        <f t="shared" si="4"/>
        <v>0</v>
      </c>
      <c r="AM261" s="212"/>
    </row>
    <row r="262" spans="1:50" ht="15" hidden="1" customHeight="1" x14ac:dyDescent="0.25">
      <c r="A262" s="476" t="s">
        <v>2365</v>
      </c>
      <c r="B262" s="477">
        <v>65000000</v>
      </c>
      <c r="C262" s="212" t="s">
        <v>2571</v>
      </c>
      <c r="D262" s="478">
        <v>257</v>
      </c>
      <c r="E262" s="309">
        <v>20211200012143</v>
      </c>
      <c r="F262" s="479">
        <v>44259</v>
      </c>
      <c r="G262" s="478" t="s">
        <v>2572</v>
      </c>
      <c r="H262" s="212" t="s">
        <v>2573</v>
      </c>
      <c r="I262" s="212" t="s">
        <v>143</v>
      </c>
      <c r="J262" s="475">
        <v>19800000</v>
      </c>
      <c r="K262" s="212" t="s">
        <v>138</v>
      </c>
      <c r="L262" s="212" t="s">
        <v>139</v>
      </c>
      <c r="M262" s="212" t="s">
        <v>44</v>
      </c>
      <c r="N262" s="212" t="s">
        <v>45</v>
      </c>
      <c r="O262" s="212" t="s">
        <v>142</v>
      </c>
      <c r="P262" s="212" t="s">
        <v>43</v>
      </c>
      <c r="R262" s="212">
        <v>330</v>
      </c>
      <c r="S262" s="490">
        <v>44259</v>
      </c>
      <c r="T262" s="486" t="s">
        <v>2939</v>
      </c>
      <c r="U262" s="475">
        <v>19800000</v>
      </c>
      <c r="V262" s="406"/>
      <c r="W262" s="362"/>
      <c r="X262" s="308">
        <v>259</v>
      </c>
      <c r="Y262" s="484">
        <v>44265</v>
      </c>
      <c r="Z262" s="484">
        <v>44265</v>
      </c>
      <c r="AA262" s="484">
        <v>44387</v>
      </c>
      <c r="AB262" s="485" t="s">
        <v>2575</v>
      </c>
      <c r="AC262" s="211">
        <v>188</v>
      </c>
      <c r="AD262" s="485" t="s">
        <v>3209</v>
      </c>
      <c r="AE262" s="486" t="s">
        <v>3210</v>
      </c>
      <c r="AF262" s="473">
        <v>19800000</v>
      </c>
      <c r="AK262" s="475">
        <v>3300000</v>
      </c>
      <c r="AL262" s="475">
        <v>4950000</v>
      </c>
      <c r="AM262" s="306">
        <v>4950000</v>
      </c>
    </row>
    <row r="263" spans="1:50" ht="15" hidden="1" customHeight="1" x14ac:dyDescent="0.25">
      <c r="A263" s="476" t="s">
        <v>1822</v>
      </c>
      <c r="B263" s="477">
        <v>134074420</v>
      </c>
      <c r="C263" s="212" t="s">
        <v>2571</v>
      </c>
      <c r="D263" s="478">
        <v>258</v>
      </c>
      <c r="E263" s="309">
        <v>20212000008463</v>
      </c>
      <c r="F263" s="479">
        <v>44244</v>
      </c>
      <c r="G263" s="478" t="s">
        <v>2565</v>
      </c>
      <c r="H263" s="212" t="s">
        <v>2566</v>
      </c>
      <c r="I263" s="212" t="s">
        <v>391</v>
      </c>
      <c r="J263" s="475">
        <v>79530000</v>
      </c>
      <c r="K263" s="210" t="s">
        <v>2636</v>
      </c>
      <c r="L263" s="212" t="s">
        <v>2637</v>
      </c>
      <c r="M263" s="212" t="s">
        <v>44</v>
      </c>
      <c r="N263" s="212" t="s">
        <v>45</v>
      </c>
      <c r="O263" s="212" t="s">
        <v>63</v>
      </c>
      <c r="P263" s="212" t="s">
        <v>676</v>
      </c>
      <c r="R263" s="486">
        <v>262</v>
      </c>
      <c r="S263" s="490">
        <v>44244</v>
      </c>
      <c r="T263" s="486" t="s">
        <v>3211</v>
      </c>
      <c r="U263" s="475">
        <f>79534000-22724000</f>
        <v>56810000</v>
      </c>
      <c r="V263" s="411">
        <v>22724000</v>
      </c>
      <c r="W263" s="397"/>
      <c r="X263" s="308">
        <v>260</v>
      </c>
      <c r="Y263" s="484">
        <v>44265</v>
      </c>
      <c r="Z263" s="484">
        <v>44265</v>
      </c>
      <c r="AA263" s="484">
        <v>44418</v>
      </c>
      <c r="AB263" s="485" t="s">
        <v>2575</v>
      </c>
      <c r="AC263" s="211">
        <v>186</v>
      </c>
      <c r="AD263" s="485" t="s">
        <v>3212</v>
      </c>
      <c r="AE263" s="486" t="s">
        <v>3213</v>
      </c>
      <c r="AF263" s="473">
        <v>56810000</v>
      </c>
      <c r="AG263" s="474">
        <f>+U263-AF263</f>
        <v>0</v>
      </c>
      <c r="AK263" s="475">
        <v>7195933</v>
      </c>
      <c r="AM263" s="306">
        <v>11362000</v>
      </c>
    </row>
    <row r="264" spans="1:50" ht="15" hidden="1" customHeight="1" x14ac:dyDescent="0.25">
      <c r="A264" s="476" t="s">
        <v>2253</v>
      </c>
      <c r="B264" s="477">
        <v>37260000</v>
      </c>
      <c r="C264" s="212" t="s">
        <v>2571</v>
      </c>
      <c r="D264" s="478">
        <v>259</v>
      </c>
      <c r="E264" s="478">
        <v>20211400001553</v>
      </c>
      <c r="F264" s="479">
        <v>44214</v>
      </c>
      <c r="G264" s="478" t="s">
        <v>2572</v>
      </c>
      <c r="H264" s="212" t="s">
        <v>2573</v>
      </c>
      <c r="I264" s="212" t="s">
        <v>184</v>
      </c>
      <c r="J264" s="475">
        <v>37260000</v>
      </c>
      <c r="K264" s="212" t="s">
        <v>138</v>
      </c>
      <c r="L264" s="212" t="s">
        <v>2577</v>
      </c>
      <c r="M264" s="212" t="s">
        <v>44</v>
      </c>
      <c r="N264" s="212" t="s">
        <v>45</v>
      </c>
      <c r="O264" s="212" t="s">
        <v>142</v>
      </c>
      <c r="P264" s="212" t="s">
        <v>43</v>
      </c>
      <c r="R264" s="212">
        <v>67</v>
      </c>
      <c r="S264" s="479">
        <v>44214</v>
      </c>
      <c r="T264" s="212" t="s">
        <v>3214</v>
      </c>
      <c r="U264" s="475">
        <f>37260000-1260000</f>
        <v>36000000</v>
      </c>
      <c r="V264" s="406">
        <v>1260000</v>
      </c>
      <c r="W264" s="362" t="s">
        <v>1453</v>
      </c>
      <c r="X264" s="308">
        <v>261</v>
      </c>
      <c r="Y264" s="484">
        <v>44266</v>
      </c>
      <c r="Z264" s="484">
        <v>44266</v>
      </c>
      <c r="AA264" s="484">
        <v>44511</v>
      </c>
      <c r="AB264" s="485" t="s">
        <v>2575</v>
      </c>
      <c r="AC264" s="211">
        <v>187</v>
      </c>
      <c r="AD264" s="485" t="s">
        <v>3215</v>
      </c>
      <c r="AE264" s="486" t="s">
        <v>3216</v>
      </c>
      <c r="AF264" s="473">
        <v>36000000</v>
      </c>
      <c r="AG264" s="474">
        <f>+U264-AF264</f>
        <v>0</v>
      </c>
      <c r="AK264" s="475">
        <v>3000000</v>
      </c>
      <c r="AL264" s="475">
        <v>4500000</v>
      </c>
      <c r="AM264" s="306">
        <v>4500000</v>
      </c>
    </row>
    <row r="265" spans="1:50" s="312" customFormat="1" ht="15" hidden="1" customHeight="1" x14ac:dyDescent="0.25">
      <c r="A265" s="361" t="s">
        <v>3217</v>
      </c>
      <c r="B265" s="417">
        <v>58300000</v>
      </c>
      <c r="C265" s="312" t="s">
        <v>2571</v>
      </c>
      <c r="D265" s="325">
        <v>260</v>
      </c>
      <c r="E265" s="325">
        <v>20215000008973</v>
      </c>
      <c r="F265" s="315">
        <v>44245</v>
      </c>
      <c r="G265" s="325" t="s">
        <v>2565</v>
      </c>
      <c r="H265" s="312" t="s">
        <v>2566</v>
      </c>
      <c r="I265" s="312" t="s">
        <v>228</v>
      </c>
      <c r="J265" s="405">
        <v>58300000</v>
      </c>
      <c r="K265" s="312" t="s">
        <v>223</v>
      </c>
      <c r="L265" s="312" t="s">
        <v>2683</v>
      </c>
      <c r="M265" s="312" t="s">
        <v>44</v>
      </c>
      <c r="N265" s="312" t="s">
        <v>45</v>
      </c>
      <c r="O265" s="312" t="s">
        <v>63</v>
      </c>
      <c r="P265" s="312" t="s">
        <v>676</v>
      </c>
      <c r="R265" s="360">
        <v>273</v>
      </c>
      <c r="S265" s="363">
        <v>44246</v>
      </c>
      <c r="T265" s="360" t="s">
        <v>3218</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x14ac:dyDescent="0.25">
      <c r="A266" s="476" t="s">
        <v>2511</v>
      </c>
      <c r="B266" s="477">
        <v>22400000</v>
      </c>
      <c r="C266" s="212" t="s">
        <v>2571</v>
      </c>
      <c r="D266" s="478">
        <v>261</v>
      </c>
      <c r="E266" s="309">
        <v>20213000009213</v>
      </c>
      <c r="F266" s="479">
        <v>44252</v>
      </c>
      <c r="G266" s="478" t="s">
        <v>2565</v>
      </c>
      <c r="H266" s="212" t="s">
        <v>2566</v>
      </c>
      <c r="I266" s="212" t="s">
        <v>432</v>
      </c>
      <c r="J266" s="475">
        <v>22400000</v>
      </c>
      <c r="K266" s="212" t="s">
        <v>342</v>
      </c>
      <c r="L266" s="212" t="s">
        <v>351</v>
      </c>
      <c r="M266" s="212" t="s">
        <v>44</v>
      </c>
      <c r="N266" s="212" t="s">
        <v>45</v>
      </c>
      <c r="O266" s="212" t="s">
        <v>63</v>
      </c>
      <c r="P266" s="212" t="s">
        <v>676</v>
      </c>
      <c r="R266" s="486">
        <v>300</v>
      </c>
      <c r="S266" s="490">
        <v>44252</v>
      </c>
      <c r="T266" s="486" t="s">
        <v>3219</v>
      </c>
      <c r="U266" s="475">
        <v>22400000</v>
      </c>
      <c r="V266" s="406"/>
      <c r="W266" s="362"/>
      <c r="X266" s="308">
        <v>262</v>
      </c>
      <c r="Y266" s="484">
        <v>44266</v>
      </c>
      <c r="Z266" s="484">
        <v>44266</v>
      </c>
      <c r="AA266" s="484">
        <v>44511</v>
      </c>
      <c r="AB266" s="485" t="s">
        <v>2575</v>
      </c>
      <c r="AC266" s="211">
        <v>185</v>
      </c>
      <c r="AD266" s="485" t="s">
        <v>3220</v>
      </c>
      <c r="AE266" s="486" t="s">
        <v>2943</v>
      </c>
      <c r="AF266" s="473">
        <v>22400000</v>
      </c>
      <c r="AG266" s="474">
        <f>+U266-AF266</f>
        <v>0</v>
      </c>
      <c r="AK266" s="475">
        <v>1773333</v>
      </c>
      <c r="AL266" s="475">
        <v>2800000</v>
      </c>
      <c r="AM266" s="306">
        <v>2053333</v>
      </c>
    </row>
    <row r="267" spans="1:50" s="312" customFormat="1" ht="15" hidden="1" customHeight="1" x14ac:dyDescent="0.25">
      <c r="A267" s="361" t="s">
        <v>2182</v>
      </c>
      <c r="B267" s="417">
        <v>60000000</v>
      </c>
      <c r="C267" s="312" t="s">
        <v>2687</v>
      </c>
      <c r="D267" s="325">
        <v>262</v>
      </c>
      <c r="E267" s="325">
        <v>20217000009273</v>
      </c>
      <c r="F267" s="315">
        <v>44246</v>
      </c>
      <c r="G267" s="325" t="s">
        <v>2572</v>
      </c>
      <c r="H267" s="312" t="s">
        <v>2573</v>
      </c>
      <c r="I267" s="312" t="s">
        <v>164</v>
      </c>
      <c r="J267" s="405">
        <v>58145664</v>
      </c>
      <c r="K267" s="312" t="s">
        <v>138</v>
      </c>
      <c r="L267" s="312" t="s">
        <v>139</v>
      </c>
      <c r="M267" s="312" t="s">
        <v>44</v>
      </c>
      <c r="N267" s="312" t="s">
        <v>45</v>
      </c>
      <c r="O267" s="312" t="s">
        <v>142</v>
      </c>
      <c r="P267" s="312" t="s">
        <v>43</v>
      </c>
      <c r="R267" s="360">
        <v>277</v>
      </c>
      <c r="S267" s="363">
        <v>44246</v>
      </c>
      <c r="T267" s="360" t="s">
        <v>3120</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x14ac:dyDescent="0.25">
      <c r="A268" s="476" t="s">
        <v>2344</v>
      </c>
      <c r="B268" s="477">
        <v>44064000</v>
      </c>
      <c r="C268" s="212" t="s">
        <v>2571</v>
      </c>
      <c r="D268" s="478">
        <v>263</v>
      </c>
      <c r="E268" s="309">
        <v>20212000011393</v>
      </c>
      <c r="F268" s="479">
        <v>44258</v>
      </c>
      <c r="G268" s="478" t="s">
        <v>2565</v>
      </c>
      <c r="H268" s="212" t="s">
        <v>2566</v>
      </c>
      <c r="I268" s="212" t="s">
        <v>391</v>
      </c>
      <c r="J268" s="475">
        <v>28560000</v>
      </c>
      <c r="K268" s="210" t="s">
        <v>2636</v>
      </c>
      <c r="L268" s="212" t="s">
        <v>2637</v>
      </c>
      <c r="M268" s="212" t="s">
        <v>44</v>
      </c>
      <c r="N268" s="212" t="s">
        <v>45</v>
      </c>
      <c r="O268" s="212" t="s">
        <v>63</v>
      </c>
      <c r="P268" s="212" t="s">
        <v>676</v>
      </c>
      <c r="R268" s="212">
        <v>326</v>
      </c>
      <c r="S268" s="490">
        <v>44258</v>
      </c>
      <c r="T268" s="486" t="s">
        <v>3221</v>
      </c>
      <c r="U268" s="475">
        <v>28560000</v>
      </c>
      <c r="V268" s="406"/>
      <c r="W268" s="362"/>
      <c r="X268" s="308">
        <v>263</v>
      </c>
      <c r="Y268" s="484">
        <v>44267</v>
      </c>
      <c r="Z268" s="484">
        <v>44267</v>
      </c>
      <c r="AA268" s="484">
        <v>44389</v>
      </c>
      <c r="AB268" s="485" t="s">
        <v>2575</v>
      </c>
      <c r="AC268" s="211">
        <v>189</v>
      </c>
      <c r="AD268" s="485" t="s">
        <v>3222</v>
      </c>
      <c r="AE268" s="486" t="s">
        <v>3223</v>
      </c>
      <c r="AF268" s="473">
        <v>28560000</v>
      </c>
      <c r="AK268" s="475">
        <v>3570000</v>
      </c>
      <c r="AL268" s="475">
        <v>7140000</v>
      </c>
      <c r="AM268" s="306">
        <v>7140000</v>
      </c>
    </row>
    <row r="269" spans="1:50" s="312" customFormat="1" ht="15.75" hidden="1" customHeight="1" x14ac:dyDescent="0.25">
      <c r="A269" s="476"/>
      <c r="B269" s="501" t="s">
        <v>2608</v>
      </c>
      <c r="C269" s="510" t="s">
        <v>3224</v>
      </c>
      <c r="D269" s="325">
        <v>264</v>
      </c>
      <c r="E269" s="325">
        <v>20215000009113</v>
      </c>
      <c r="F269" s="315">
        <v>44249</v>
      </c>
      <c r="G269" s="325" t="s">
        <v>2565</v>
      </c>
      <c r="H269" s="312" t="s">
        <v>2566</v>
      </c>
      <c r="I269" s="312" t="s">
        <v>228</v>
      </c>
      <c r="J269" s="405">
        <v>114229680</v>
      </c>
      <c r="K269" s="312" t="s">
        <v>223</v>
      </c>
      <c r="L269" s="312" t="s">
        <v>236</v>
      </c>
      <c r="M269" s="312" t="s">
        <v>44</v>
      </c>
      <c r="N269" s="312" t="s">
        <v>45</v>
      </c>
      <c r="O269" s="312" t="s">
        <v>265</v>
      </c>
      <c r="P269" s="312" t="s">
        <v>676</v>
      </c>
      <c r="Q269" s="312" t="s">
        <v>3225</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x14ac:dyDescent="0.25">
      <c r="A270" s="476"/>
      <c r="B270" s="501" t="s">
        <v>2608</v>
      </c>
      <c r="C270" s="517" t="s">
        <v>3226</v>
      </c>
      <c r="D270" s="309">
        <v>265</v>
      </c>
      <c r="E270" s="478">
        <v>20211200013063</v>
      </c>
      <c r="F270" s="479">
        <v>44264</v>
      </c>
      <c r="G270" s="478" t="s">
        <v>2572</v>
      </c>
      <c r="H270" s="212" t="s">
        <v>2573</v>
      </c>
      <c r="I270" s="212" t="s">
        <v>143</v>
      </c>
      <c r="J270" s="475">
        <v>11401390</v>
      </c>
      <c r="K270" s="212" t="s">
        <v>138</v>
      </c>
      <c r="L270" s="212" t="s">
        <v>139</v>
      </c>
      <c r="M270" s="212" t="s">
        <v>44</v>
      </c>
      <c r="N270" s="212" t="s">
        <v>45</v>
      </c>
      <c r="O270" s="212" t="s">
        <v>142</v>
      </c>
      <c r="P270" s="212" t="s">
        <v>43</v>
      </c>
      <c r="Q270" s="212"/>
      <c r="R270" s="212">
        <v>347</v>
      </c>
      <c r="S270" s="490">
        <v>44264</v>
      </c>
      <c r="T270" s="486" t="s">
        <v>3227</v>
      </c>
      <c r="U270" s="475">
        <v>11401390</v>
      </c>
      <c r="V270" s="406"/>
      <c r="W270" s="362"/>
      <c r="X270" s="308">
        <v>264</v>
      </c>
      <c r="Y270" s="484">
        <v>44267</v>
      </c>
      <c r="Z270" s="484">
        <v>44269</v>
      </c>
      <c r="AA270" s="484">
        <v>44334</v>
      </c>
      <c r="AB270" s="485" t="s">
        <v>2575</v>
      </c>
      <c r="AC270" s="211">
        <v>492</v>
      </c>
      <c r="AD270" s="485" t="s">
        <v>3228</v>
      </c>
      <c r="AE270" s="486" t="s">
        <v>3229</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x14ac:dyDescent="0.25">
      <c r="A271" s="476"/>
      <c r="B271" s="501" t="s">
        <v>2608</v>
      </c>
      <c r="C271" s="518" t="s">
        <v>3230</v>
      </c>
      <c r="D271" s="309">
        <v>266</v>
      </c>
      <c r="E271" s="309">
        <v>20212000009583</v>
      </c>
      <c r="F271" s="310">
        <v>44249</v>
      </c>
      <c r="G271" s="309" t="s">
        <v>2565</v>
      </c>
      <c r="H271" s="210" t="s">
        <v>2566</v>
      </c>
      <c r="I271" s="212" t="s">
        <v>391</v>
      </c>
      <c r="J271" s="407">
        <v>2304653299</v>
      </c>
      <c r="K271" s="210" t="s">
        <v>2636</v>
      </c>
      <c r="L271" s="210" t="s">
        <v>3231</v>
      </c>
      <c r="M271" s="210" t="s">
        <v>44</v>
      </c>
      <c r="N271" s="210" t="s">
        <v>45</v>
      </c>
      <c r="O271" s="212" t="s">
        <v>46</v>
      </c>
      <c r="P271" s="210" t="s">
        <v>676</v>
      </c>
      <c r="R271" s="486">
        <v>281</v>
      </c>
      <c r="S271" s="490">
        <v>44249</v>
      </c>
      <c r="T271" s="486" t="s">
        <v>3232</v>
      </c>
      <c r="U271" s="475">
        <v>2304653299</v>
      </c>
      <c r="V271" s="406"/>
      <c r="W271" s="362"/>
      <c r="X271" s="483">
        <v>196</v>
      </c>
      <c r="Y271" s="484">
        <v>44253</v>
      </c>
      <c r="Z271" s="484">
        <v>44256</v>
      </c>
      <c r="AA271" s="484">
        <v>44561</v>
      </c>
      <c r="AB271" s="485" t="s">
        <v>2762</v>
      </c>
      <c r="AC271" s="483">
        <v>460</v>
      </c>
      <c r="AD271" s="485">
        <v>901272929</v>
      </c>
      <c r="AE271" s="486" t="s">
        <v>3233</v>
      </c>
      <c r="AF271" s="473">
        <v>2304653299</v>
      </c>
      <c r="AG271" s="474">
        <f>+U271-AF271</f>
        <v>0</v>
      </c>
      <c r="AH271" s="407"/>
      <c r="AI271" s="407"/>
      <c r="AJ271" s="475"/>
      <c r="AK271" s="475"/>
      <c r="AL271" s="475"/>
      <c r="AM271" s="212"/>
    </row>
    <row r="272" spans="1:50" s="210" customFormat="1" ht="15" hidden="1" customHeight="1" x14ac:dyDescent="0.25">
      <c r="A272" s="476" t="s">
        <v>2445</v>
      </c>
      <c r="B272" s="477">
        <v>72000000</v>
      </c>
      <c r="C272" s="212" t="s">
        <v>2571</v>
      </c>
      <c r="D272" s="309">
        <v>267</v>
      </c>
      <c r="E272" s="309">
        <v>20213000008953</v>
      </c>
      <c r="F272" s="479">
        <v>44245</v>
      </c>
      <c r="G272" s="478" t="s">
        <v>2565</v>
      </c>
      <c r="H272" s="212" t="s">
        <v>2566</v>
      </c>
      <c r="I272" s="212" t="s">
        <v>432</v>
      </c>
      <c r="J272" s="475">
        <v>72000000</v>
      </c>
      <c r="K272" s="212" t="s">
        <v>358</v>
      </c>
      <c r="L272" s="212" t="s">
        <v>2716</v>
      </c>
      <c r="M272" s="212" t="s">
        <v>44</v>
      </c>
      <c r="N272" s="212" t="s">
        <v>45</v>
      </c>
      <c r="O272" s="212" t="s">
        <v>63</v>
      </c>
      <c r="P272" s="212" t="s">
        <v>676</v>
      </c>
      <c r="Q272" s="212"/>
      <c r="R272" s="486">
        <v>272</v>
      </c>
      <c r="S272" s="490">
        <v>44246</v>
      </c>
      <c r="T272" s="486" t="s">
        <v>3234</v>
      </c>
      <c r="U272" s="475">
        <v>72000000</v>
      </c>
      <c r="V272" s="406"/>
      <c r="W272" s="362"/>
      <c r="X272" s="308">
        <v>265</v>
      </c>
      <c r="Y272" s="484">
        <v>44270</v>
      </c>
      <c r="Z272" s="484">
        <v>44270</v>
      </c>
      <c r="AA272" s="484">
        <v>44515</v>
      </c>
      <c r="AB272" s="485" t="s">
        <v>2575</v>
      </c>
      <c r="AC272" s="211">
        <v>191</v>
      </c>
      <c r="AD272" s="485" t="s">
        <v>3235</v>
      </c>
      <c r="AE272" s="486" t="s">
        <v>3236</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x14ac:dyDescent="0.25">
      <c r="A273" s="361" t="s">
        <v>3237</v>
      </c>
      <c r="B273" s="417">
        <v>36000000</v>
      </c>
      <c r="C273" s="312" t="s">
        <v>2571</v>
      </c>
      <c r="D273" s="325">
        <v>268</v>
      </c>
      <c r="E273" s="325">
        <v>20211400009723</v>
      </c>
      <c r="F273" s="315">
        <v>44250</v>
      </c>
      <c r="G273" s="325" t="s">
        <v>2572</v>
      </c>
      <c r="H273" s="312" t="s">
        <v>2573</v>
      </c>
      <c r="I273" s="312" t="s">
        <v>184</v>
      </c>
      <c r="J273" s="405">
        <v>36000000</v>
      </c>
      <c r="K273" s="312" t="s">
        <v>138</v>
      </c>
      <c r="L273" s="312" t="s">
        <v>2577</v>
      </c>
      <c r="M273" s="312" t="s">
        <v>44</v>
      </c>
      <c r="N273" s="312" t="s">
        <v>45</v>
      </c>
      <c r="O273" s="312" t="s">
        <v>142</v>
      </c>
      <c r="P273" s="312" t="s">
        <v>43</v>
      </c>
      <c r="R273" s="360">
        <v>283</v>
      </c>
      <c r="S273" s="363">
        <v>44250</v>
      </c>
      <c r="T273" s="360" t="s">
        <v>3238</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x14ac:dyDescent="0.25">
      <c r="A274" s="361" t="s">
        <v>2227</v>
      </c>
      <c r="B274" s="417">
        <v>32697000</v>
      </c>
      <c r="C274" s="312" t="s">
        <v>3239</v>
      </c>
      <c r="D274" s="325">
        <v>269</v>
      </c>
      <c r="E274" s="325">
        <v>20211400009713</v>
      </c>
      <c r="F274" s="315">
        <v>44250</v>
      </c>
      <c r="G274" s="325" t="s">
        <v>2572</v>
      </c>
      <c r="H274" s="312" t="s">
        <v>2573</v>
      </c>
      <c r="I274" s="312" t="s">
        <v>184</v>
      </c>
      <c r="J274" s="405">
        <v>32697000</v>
      </c>
      <c r="K274" s="312" t="s">
        <v>138</v>
      </c>
      <c r="L274" s="312" t="s">
        <v>2577</v>
      </c>
      <c r="M274" s="312" t="s">
        <v>2767</v>
      </c>
      <c r="N274" s="312" t="s">
        <v>157</v>
      </c>
      <c r="O274" s="312" t="s">
        <v>158</v>
      </c>
      <c r="P274" s="312" t="s">
        <v>43</v>
      </c>
      <c r="Q274" s="312" t="s">
        <v>3225</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x14ac:dyDescent="0.25">
      <c r="B275" s="501" t="s">
        <v>2941</v>
      </c>
      <c r="C275" s="212" t="s">
        <v>3240</v>
      </c>
      <c r="D275" s="478">
        <v>270</v>
      </c>
      <c r="E275" s="478">
        <v>20214000013073</v>
      </c>
      <c r="F275" s="310">
        <v>44265</v>
      </c>
      <c r="G275" s="478" t="s">
        <v>2605</v>
      </c>
      <c r="H275" s="212" t="s">
        <v>2606</v>
      </c>
      <c r="I275" s="212" t="s">
        <v>47</v>
      </c>
      <c r="J275" s="475">
        <v>15565001</v>
      </c>
      <c r="K275" s="212" t="s">
        <v>37</v>
      </c>
      <c r="L275" s="212" t="s">
        <v>81</v>
      </c>
      <c r="M275" s="212" t="s">
        <v>44</v>
      </c>
      <c r="N275" s="212" t="s">
        <v>45</v>
      </c>
      <c r="O275" s="212" t="s">
        <v>310</v>
      </c>
      <c r="P275" s="210" t="s">
        <v>77</v>
      </c>
      <c r="R275" s="212">
        <v>369</v>
      </c>
      <c r="S275" s="490">
        <v>44265</v>
      </c>
      <c r="T275" s="486" t="s">
        <v>3241</v>
      </c>
      <c r="U275" s="475">
        <v>15565001</v>
      </c>
      <c r="V275" s="406"/>
      <c r="W275" s="362"/>
      <c r="X275" s="308">
        <v>266</v>
      </c>
      <c r="Y275" s="484">
        <v>44270</v>
      </c>
      <c r="Z275" s="484">
        <v>44270</v>
      </c>
      <c r="AA275" s="484">
        <v>44272</v>
      </c>
      <c r="AB275" s="485" t="s">
        <v>2595</v>
      </c>
      <c r="AC275" s="211">
        <v>689</v>
      </c>
      <c r="AD275" s="485" t="s">
        <v>3242</v>
      </c>
      <c r="AE275" s="486" t="s">
        <v>3243</v>
      </c>
      <c r="AF275" s="473">
        <v>15565001</v>
      </c>
      <c r="AL275" s="475">
        <v>14008499</v>
      </c>
      <c r="AM275" s="212"/>
    </row>
    <row r="276" spans="1:39" hidden="1" x14ac:dyDescent="0.25">
      <c r="A276" s="476" t="s">
        <v>2443</v>
      </c>
      <c r="B276" s="477">
        <v>60000000</v>
      </c>
      <c r="C276" s="212" t="s">
        <v>2571</v>
      </c>
      <c r="D276" s="478">
        <v>271</v>
      </c>
      <c r="E276" s="309">
        <v>20213000010793</v>
      </c>
      <c r="F276" s="479">
        <v>44253</v>
      </c>
      <c r="G276" s="478" t="s">
        <v>2565</v>
      </c>
      <c r="H276" s="212" t="s">
        <v>2566</v>
      </c>
      <c r="I276" s="212" t="s">
        <v>432</v>
      </c>
      <c r="J276" s="475">
        <v>60000000</v>
      </c>
      <c r="K276" s="212" t="s">
        <v>342</v>
      </c>
      <c r="L276" s="212" t="s">
        <v>351</v>
      </c>
      <c r="M276" s="212" t="s">
        <v>44</v>
      </c>
      <c r="N276" s="212" t="s">
        <v>45</v>
      </c>
      <c r="O276" s="212" t="s">
        <v>63</v>
      </c>
      <c r="P276" s="212" t="s">
        <v>676</v>
      </c>
      <c r="R276" s="212">
        <v>309</v>
      </c>
      <c r="S276" s="479">
        <v>44256</v>
      </c>
      <c r="T276" s="212" t="s">
        <v>3244</v>
      </c>
      <c r="U276" s="475">
        <v>60000000</v>
      </c>
      <c r="V276" s="406"/>
      <c r="W276" s="362"/>
      <c r="X276" s="483" t="s">
        <v>3245</v>
      </c>
      <c r="Y276" s="484">
        <v>44271</v>
      </c>
      <c r="Z276" s="484">
        <v>44271</v>
      </c>
      <c r="AA276" s="484">
        <v>44516</v>
      </c>
      <c r="AB276" s="485" t="s">
        <v>2575</v>
      </c>
      <c r="AC276" s="483" t="s">
        <v>3246</v>
      </c>
      <c r="AD276" s="485" t="s">
        <v>3247</v>
      </c>
      <c r="AE276" s="486" t="s">
        <v>3248</v>
      </c>
      <c r="AF276" s="473">
        <v>60000000</v>
      </c>
      <c r="AG276" s="474">
        <f>+U276-AF276</f>
        <v>0</v>
      </c>
      <c r="AK276" s="475">
        <v>3750000</v>
      </c>
      <c r="AL276" s="475">
        <v>7500000</v>
      </c>
      <c r="AM276" s="306">
        <v>7500000</v>
      </c>
    </row>
    <row r="277" spans="1:39" ht="15.75" hidden="1" x14ac:dyDescent="0.25">
      <c r="B277" s="501" t="s">
        <v>2608</v>
      </c>
      <c r="C277" s="515" t="s">
        <v>3249</v>
      </c>
      <c r="D277" s="478">
        <v>272</v>
      </c>
      <c r="E277" s="309">
        <v>20217000009783</v>
      </c>
      <c r="F277" s="310">
        <v>44250</v>
      </c>
      <c r="G277" s="478" t="s">
        <v>2572</v>
      </c>
      <c r="H277" s="212" t="s">
        <v>2573</v>
      </c>
      <c r="I277" s="212" t="s">
        <v>164</v>
      </c>
      <c r="J277" s="475">
        <v>6320181</v>
      </c>
      <c r="K277" s="212" t="s">
        <v>138</v>
      </c>
      <c r="L277" s="212" t="s">
        <v>139</v>
      </c>
      <c r="M277" s="212" t="s">
        <v>44</v>
      </c>
      <c r="N277" s="212" t="s">
        <v>45</v>
      </c>
      <c r="O277" s="212" t="s">
        <v>142</v>
      </c>
      <c r="P277" s="212" t="s">
        <v>43</v>
      </c>
      <c r="R277" s="486">
        <v>286</v>
      </c>
      <c r="S277" s="490">
        <v>44250</v>
      </c>
      <c r="T277" s="486" t="s">
        <v>3250</v>
      </c>
      <c r="U277" s="475">
        <v>6320181</v>
      </c>
      <c r="V277" s="406"/>
      <c r="W277" s="362"/>
      <c r="X277" s="483" t="s">
        <v>3251</v>
      </c>
      <c r="Y277" s="484">
        <v>44285</v>
      </c>
      <c r="Z277" s="484">
        <v>44286</v>
      </c>
      <c r="AA277" s="484">
        <v>44339</v>
      </c>
      <c r="AB277" s="485" t="s">
        <v>2575</v>
      </c>
      <c r="AC277" s="483" t="s">
        <v>3252</v>
      </c>
      <c r="AD277" s="485" t="s">
        <v>3253</v>
      </c>
      <c r="AE277" s="486" t="s">
        <v>3254</v>
      </c>
      <c r="AF277" s="473">
        <v>6320181</v>
      </c>
      <c r="AG277" s="474">
        <f>+U277-AF277</f>
        <v>0</v>
      </c>
      <c r="AL277" s="475">
        <v>3511212</v>
      </c>
      <c r="AM277" s="306">
        <v>2691929</v>
      </c>
    </row>
    <row r="278" spans="1:39" ht="15.75" hidden="1" x14ac:dyDescent="0.25">
      <c r="B278" s="501" t="s">
        <v>2608</v>
      </c>
      <c r="C278" s="515" t="s">
        <v>3255</v>
      </c>
      <c r="D278" s="478">
        <v>273</v>
      </c>
      <c r="E278" s="309">
        <v>20217000009843</v>
      </c>
      <c r="F278" s="310">
        <v>44250</v>
      </c>
      <c r="G278" s="478" t="s">
        <v>2572</v>
      </c>
      <c r="H278" s="212" t="s">
        <v>2573</v>
      </c>
      <c r="I278" s="212" t="s">
        <v>164</v>
      </c>
      <c r="J278" s="475">
        <v>9400000</v>
      </c>
      <c r="K278" s="212" t="s">
        <v>138</v>
      </c>
      <c r="L278" s="212" t="s">
        <v>139</v>
      </c>
      <c r="M278" s="212" t="s">
        <v>44</v>
      </c>
      <c r="N278" s="212" t="s">
        <v>45</v>
      </c>
      <c r="O278" s="212" t="s">
        <v>142</v>
      </c>
      <c r="P278" s="212" t="s">
        <v>43</v>
      </c>
      <c r="R278" s="486">
        <v>287</v>
      </c>
      <c r="S278" s="490">
        <v>44250</v>
      </c>
      <c r="T278" s="486" t="s">
        <v>3256</v>
      </c>
      <c r="U278" s="475">
        <v>9400000</v>
      </c>
      <c r="V278" s="406"/>
      <c r="W278" s="362"/>
      <c r="X278" s="483">
        <v>204</v>
      </c>
      <c r="Y278" s="484">
        <v>44253</v>
      </c>
      <c r="Z278" s="484">
        <v>44256</v>
      </c>
      <c r="AA278" s="484">
        <v>44316</v>
      </c>
      <c r="AB278" s="485" t="s">
        <v>2575</v>
      </c>
      <c r="AC278" s="483">
        <v>485</v>
      </c>
      <c r="AD278" s="485">
        <v>80021844</v>
      </c>
      <c r="AE278" s="486" t="s">
        <v>3257</v>
      </c>
      <c r="AF278" s="473">
        <v>9400000</v>
      </c>
      <c r="AG278" s="474">
        <f>+U278-AF278</f>
        <v>0</v>
      </c>
      <c r="AK278" s="475">
        <v>4700000</v>
      </c>
      <c r="AL278" s="475">
        <v>4700000</v>
      </c>
      <c r="AM278" s="212"/>
    </row>
    <row r="279" spans="1:39" ht="15.75" hidden="1" x14ac:dyDescent="0.25">
      <c r="B279" s="501" t="s">
        <v>2941</v>
      </c>
      <c r="C279" s="515" t="s">
        <v>3258</v>
      </c>
      <c r="D279" s="478">
        <v>274</v>
      </c>
      <c r="E279" s="309">
        <v>20211200009973</v>
      </c>
      <c r="F279" s="479">
        <v>44251</v>
      </c>
      <c r="G279" s="478" t="s">
        <v>2572</v>
      </c>
      <c r="H279" s="212" t="s">
        <v>2573</v>
      </c>
      <c r="I279" s="212" t="s">
        <v>143</v>
      </c>
      <c r="J279" s="475">
        <v>4500000</v>
      </c>
      <c r="K279" s="212" t="s">
        <v>138</v>
      </c>
      <c r="L279" s="212" t="s">
        <v>139</v>
      </c>
      <c r="M279" s="212" t="s">
        <v>44</v>
      </c>
      <c r="N279" s="212" t="s">
        <v>45</v>
      </c>
      <c r="O279" s="212" t="s">
        <v>142</v>
      </c>
      <c r="P279" s="212" t="s">
        <v>43</v>
      </c>
      <c r="R279" s="486">
        <v>291</v>
      </c>
      <c r="S279" s="490">
        <v>44251</v>
      </c>
      <c r="T279" s="486" t="s">
        <v>3259</v>
      </c>
      <c r="U279" s="475">
        <v>4500000</v>
      </c>
      <c r="V279" s="406"/>
      <c r="W279" s="362"/>
      <c r="X279" s="483">
        <v>205</v>
      </c>
      <c r="Y279" s="484">
        <v>44253</v>
      </c>
      <c r="Z279" s="484">
        <v>44256</v>
      </c>
      <c r="AA279" s="484">
        <v>44286</v>
      </c>
      <c r="AB279" s="485" t="s">
        <v>2575</v>
      </c>
      <c r="AC279" s="483">
        <v>768</v>
      </c>
      <c r="AD279" s="485">
        <v>52833154</v>
      </c>
      <c r="AE279" s="486" t="s">
        <v>3260</v>
      </c>
      <c r="AF279" s="473">
        <v>4500000</v>
      </c>
      <c r="AG279" s="474">
        <f>+U279-AF279</f>
        <v>0</v>
      </c>
      <c r="AK279" s="475">
        <v>4500000</v>
      </c>
      <c r="AM279" s="212"/>
    </row>
    <row r="280" spans="1:39" ht="15.75" hidden="1" x14ac:dyDescent="0.25">
      <c r="B280" s="501"/>
      <c r="C280" s="519" t="s">
        <v>3261</v>
      </c>
      <c r="D280" s="478">
        <v>275</v>
      </c>
      <c r="E280" s="478">
        <v>20212000012583</v>
      </c>
      <c r="F280" s="479">
        <v>44263</v>
      </c>
      <c r="G280" s="478" t="s">
        <v>2565</v>
      </c>
      <c r="H280" s="212" t="s">
        <v>2566</v>
      </c>
      <c r="I280" s="212" t="s">
        <v>391</v>
      </c>
      <c r="J280" s="475">
        <v>1120863564</v>
      </c>
      <c r="K280" s="212" t="s">
        <v>426</v>
      </c>
      <c r="L280" s="212" t="s">
        <v>427</v>
      </c>
      <c r="M280" s="212" t="s">
        <v>44</v>
      </c>
      <c r="N280" s="212" t="s">
        <v>45</v>
      </c>
      <c r="O280" s="212" t="s">
        <v>63</v>
      </c>
      <c r="P280" s="212" t="s">
        <v>676</v>
      </c>
      <c r="R280" s="212">
        <v>341</v>
      </c>
      <c r="S280" s="490">
        <v>44263</v>
      </c>
      <c r="T280" s="486" t="s">
        <v>3262</v>
      </c>
      <c r="U280" s="475">
        <v>1120863564</v>
      </c>
      <c r="V280" s="480"/>
      <c r="W280" s="520"/>
      <c r="X280" s="483" t="s">
        <v>3263</v>
      </c>
      <c r="Y280" s="484">
        <v>44271</v>
      </c>
      <c r="Z280" s="484">
        <v>44271</v>
      </c>
      <c r="AA280" s="484">
        <v>44561</v>
      </c>
      <c r="AB280" s="485" t="s">
        <v>3264</v>
      </c>
      <c r="AC280" s="483" t="s">
        <v>3265</v>
      </c>
      <c r="AD280" s="485" t="s">
        <v>3266</v>
      </c>
      <c r="AE280" s="486" t="s">
        <v>3267</v>
      </c>
      <c r="AF280" s="473">
        <v>1120863564</v>
      </c>
      <c r="AM280" s="212"/>
    </row>
    <row r="281" spans="1:39" ht="15.75" hidden="1" x14ac:dyDescent="0.25">
      <c r="B281" s="501" t="s">
        <v>2721</v>
      </c>
      <c r="C281" s="515" t="s">
        <v>3268</v>
      </c>
      <c r="D281" s="309">
        <v>276</v>
      </c>
      <c r="E281" s="309">
        <v>20214000009283</v>
      </c>
      <c r="F281" s="310">
        <v>44246</v>
      </c>
      <c r="G281" s="478" t="s">
        <v>2598</v>
      </c>
      <c r="H281" s="212" t="s">
        <v>2599</v>
      </c>
      <c r="I281" s="212" t="s">
        <v>117</v>
      </c>
      <c r="J281" s="475">
        <v>1410000000</v>
      </c>
      <c r="K281" s="212" t="s">
        <v>112</v>
      </c>
      <c r="L281" s="212" t="s">
        <v>113</v>
      </c>
      <c r="M281" s="212" t="s">
        <v>44</v>
      </c>
      <c r="N281" s="212" t="s">
        <v>45</v>
      </c>
      <c r="O281" s="212" t="s">
        <v>142</v>
      </c>
      <c r="P281" s="212" t="s">
        <v>43</v>
      </c>
      <c r="R281" s="486">
        <v>278</v>
      </c>
      <c r="S281" s="490">
        <v>44246</v>
      </c>
      <c r="T281" s="486" t="s">
        <v>3269</v>
      </c>
      <c r="U281" s="475">
        <v>1410000000</v>
      </c>
      <c r="V281" s="406"/>
      <c r="W281" s="362"/>
      <c r="X281" s="483">
        <v>271</v>
      </c>
      <c r="Y281" s="484">
        <v>44271</v>
      </c>
      <c r="Z281" s="484">
        <v>44287</v>
      </c>
      <c r="AA281" s="484">
        <v>44377</v>
      </c>
      <c r="AB281" s="485" t="s">
        <v>2762</v>
      </c>
      <c r="AC281" s="483" t="s">
        <v>3270</v>
      </c>
      <c r="AD281" s="485" t="s">
        <v>3271</v>
      </c>
      <c r="AE281" s="486" t="s">
        <v>3272</v>
      </c>
      <c r="AF281" s="473">
        <v>1410000000</v>
      </c>
      <c r="AG281" s="474">
        <f t="shared" ref="AG281:AG302" si="5">+U281-AF281</f>
        <v>0</v>
      </c>
      <c r="AM281" s="306">
        <v>470000000</v>
      </c>
    </row>
    <row r="282" spans="1:39" s="312" customFormat="1" hidden="1" x14ac:dyDescent="0.25">
      <c r="A282" s="361" t="s">
        <v>1908</v>
      </c>
      <c r="B282" s="417">
        <v>53148771</v>
      </c>
      <c r="C282" s="312" t="s">
        <v>2571</v>
      </c>
      <c r="D282" s="325">
        <v>277</v>
      </c>
      <c r="E282" s="325">
        <v>20217000010313</v>
      </c>
      <c r="F282" s="315">
        <v>44251</v>
      </c>
      <c r="G282" s="325" t="s">
        <v>2572</v>
      </c>
      <c r="H282" s="312" t="s">
        <v>2573</v>
      </c>
      <c r="I282" s="312" t="s">
        <v>164</v>
      </c>
      <c r="J282" s="405">
        <v>29072832</v>
      </c>
      <c r="K282" s="312" t="s">
        <v>138</v>
      </c>
      <c r="L282" s="312" t="s">
        <v>139</v>
      </c>
      <c r="M282" s="312" t="s">
        <v>44</v>
      </c>
      <c r="N282" s="312" t="s">
        <v>45</v>
      </c>
      <c r="O282" s="312" t="s">
        <v>142</v>
      </c>
      <c r="P282" s="312" t="s">
        <v>43</v>
      </c>
      <c r="R282" s="360">
        <v>294</v>
      </c>
      <c r="S282" s="363">
        <v>44251</v>
      </c>
      <c r="T282" s="360" t="s">
        <v>3273</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x14ac:dyDescent="0.25">
      <c r="A283" s="476" t="s">
        <v>1942</v>
      </c>
      <c r="B283" s="477">
        <v>24530202</v>
      </c>
      <c r="C283" s="212" t="s">
        <v>2571</v>
      </c>
      <c r="D283" s="478">
        <v>278</v>
      </c>
      <c r="E283" s="309">
        <v>20217000010363</v>
      </c>
      <c r="F283" s="310">
        <v>44251</v>
      </c>
      <c r="G283" s="478" t="s">
        <v>2572</v>
      </c>
      <c r="H283" s="212" t="s">
        <v>2573</v>
      </c>
      <c r="I283" s="212" t="s">
        <v>164</v>
      </c>
      <c r="J283" s="475">
        <v>19079046</v>
      </c>
      <c r="K283" s="212" t="s">
        <v>138</v>
      </c>
      <c r="L283" s="212" t="s">
        <v>139</v>
      </c>
      <c r="M283" s="212" t="s">
        <v>44</v>
      </c>
      <c r="N283" s="212" t="s">
        <v>45</v>
      </c>
      <c r="O283" s="212" t="s">
        <v>142</v>
      </c>
      <c r="P283" s="212" t="s">
        <v>43</v>
      </c>
      <c r="R283" s="486">
        <v>296</v>
      </c>
      <c r="S283" s="490">
        <v>44251</v>
      </c>
      <c r="T283" s="486" t="s">
        <v>3274</v>
      </c>
      <c r="U283" s="475">
        <v>19079046</v>
      </c>
      <c r="V283" s="406"/>
      <c r="W283" s="362"/>
      <c r="X283" s="483" t="s">
        <v>3275</v>
      </c>
      <c r="Y283" s="484">
        <v>44286</v>
      </c>
      <c r="Z283" s="484">
        <v>44286</v>
      </c>
      <c r="AA283" s="484">
        <v>44500</v>
      </c>
      <c r="AB283" s="485" t="s">
        <v>2575</v>
      </c>
      <c r="AC283" s="483" t="s">
        <v>3245</v>
      </c>
      <c r="AD283" s="485" t="s">
        <v>3276</v>
      </c>
      <c r="AE283" s="486" t="s">
        <v>3277</v>
      </c>
      <c r="AF283" s="473">
        <v>19079046</v>
      </c>
      <c r="AG283" s="474">
        <f t="shared" si="5"/>
        <v>0</v>
      </c>
      <c r="AL283" s="475">
        <v>2362168</v>
      </c>
      <c r="AM283" s="306">
        <v>2725578</v>
      </c>
    </row>
    <row r="284" spans="1:39" hidden="1" x14ac:dyDescent="0.25">
      <c r="A284" s="476" t="s">
        <v>1904</v>
      </c>
      <c r="B284" s="477">
        <v>32706936</v>
      </c>
      <c r="C284" s="212" t="s">
        <v>2571</v>
      </c>
      <c r="D284" s="478">
        <v>279</v>
      </c>
      <c r="E284" s="309">
        <v>20217000010393</v>
      </c>
      <c r="F284" s="310">
        <v>44251</v>
      </c>
      <c r="G284" s="478" t="s">
        <v>2572</v>
      </c>
      <c r="H284" s="212" t="s">
        <v>2573</v>
      </c>
      <c r="I284" s="212" t="s">
        <v>164</v>
      </c>
      <c r="J284" s="475">
        <v>19079046</v>
      </c>
      <c r="K284" s="212" t="s">
        <v>138</v>
      </c>
      <c r="L284" s="212" t="s">
        <v>139</v>
      </c>
      <c r="M284" s="212" t="s">
        <v>44</v>
      </c>
      <c r="N284" s="212" t="s">
        <v>45</v>
      </c>
      <c r="O284" s="212" t="s">
        <v>142</v>
      </c>
      <c r="P284" s="212" t="s">
        <v>43</v>
      </c>
      <c r="R284" s="486">
        <v>298</v>
      </c>
      <c r="S284" s="490">
        <v>44251</v>
      </c>
      <c r="T284" s="486" t="s">
        <v>3278</v>
      </c>
      <c r="U284" s="475">
        <v>19079046</v>
      </c>
      <c r="V284" s="406"/>
      <c r="W284" s="362"/>
      <c r="X284" s="483" t="s">
        <v>3279</v>
      </c>
      <c r="Y284" s="484">
        <v>44292</v>
      </c>
      <c r="Z284" s="484">
        <v>44292</v>
      </c>
      <c r="AA284" s="484">
        <v>44506</v>
      </c>
      <c r="AB284" s="485" t="s">
        <v>2575</v>
      </c>
      <c r="AC284" s="483" t="s">
        <v>3280</v>
      </c>
      <c r="AD284" s="485" t="s">
        <v>3281</v>
      </c>
      <c r="AE284" s="486" t="s">
        <v>3282</v>
      </c>
      <c r="AF284" s="473">
        <v>19079046</v>
      </c>
      <c r="AG284" s="474">
        <f t="shared" si="5"/>
        <v>0</v>
      </c>
      <c r="AL284" s="475">
        <v>2271315</v>
      </c>
      <c r="AM284" s="306">
        <v>2725578</v>
      </c>
    </row>
    <row r="285" spans="1:39" hidden="1" x14ac:dyDescent="0.25">
      <c r="A285" s="476" t="s">
        <v>1928</v>
      </c>
      <c r="B285" s="477">
        <v>44972037</v>
      </c>
      <c r="C285" s="212" t="s">
        <v>2571</v>
      </c>
      <c r="D285" s="478">
        <v>280</v>
      </c>
      <c r="E285" s="309">
        <v>20217000010403</v>
      </c>
      <c r="F285" s="310">
        <v>44251</v>
      </c>
      <c r="G285" s="478" t="s">
        <v>2572</v>
      </c>
      <c r="H285" s="212" t="s">
        <v>2573</v>
      </c>
      <c r="I285" s="212" t="s">
        <v>164</v>
      </c>
      <c r="J285" s="475">
        <v>20441835</v>
      </c>
      <c r="K285" s="212" t="s">
        <v>138</v>
      </c>
      <c r="L285" s="212" t="s">
        <v>139</v>
      </c>
      <c r="M285" s="212" t="s">
        <v>44</v>
      </c>
      <c r="N285" s="212" t="s">
        <v>45</v>
      </c>
      <c r="O285" s="212" t="s">
        <v>142</v>
      </c>
      <c r="P285" s="212" t="s">
        <v>43</v>
      </c>
      <c r="R285" s="486">
        <v>299</v>
      </c>
      <c r="S285" s="490">
        <v>44251</v>
      </c>
      <c r="T285" s="486" t="s">
        <v>3283</v>
      </c>
      <c r="U285" s="475">
        <v>20441835</v>
      </c>
      <c r="V285" s="406"/>
      <c r="W285" s="362"/>
      <c r="X285" s="483" t="s">
        <v>3284</v>
      </c>
      <c r="Y285" s="484">
        <v>44292</v>
      </c>
      <c r="Z285" s="484">
        <v>44292</v>
      </c>
      <c r="AA285" s="484">
        <v>44445</v>
      </c>
      <c r="AB285" s="485" t="s">
        <v>2575</v>
      </c>
      <c r="AC285" s="483" t="s">
        <v>3285</v>
      </c>
      <c r="AD285" s="485" t="s">
        <v>3286</v>
      </c>
      <c r="AE285" s="486" t="s">
        <v>2742</v>
      </c>
      <c r="AF285" s="473">
        <v>20441835</v>
      </c>
      <c r="AG285" s="474">
        <f t="shared" si="5"/>
        <v>0</v>
      </c>
      <c r="AL285" s="475">
        <v>3270693</v>
      </c>
      <c r="AM285" s="306">
        <v>4088367</v>
      </c>
    </row>
    <row r="286" spans="1:39" hidden="1" x14ac:dyDescent="0.25">
      <c r="A286" s="476" t="s">
        <v>2300</v>
      </c>
      <c r="B286" s="477">
        <v>65413872</v>
      </c>
      <c r="C286" s="212" t="s">
        <v>2571</v>
      </c>
      <c r="D286" s="478">
        <v>281</v>
      </c>
      <c r="E286" s="309">
        <v>20217000010353</v>
      </c>
      <c r="F286" s="310">
        <v>44251</v>
      </c>
      <c r="G286" s="478" t="s">
        <v>2572</v>
      </c>
      <c r="H286" s="212" t="s">
        <v>2573</v>
      </c>
      <c r="I286" s="212" t="s">
        <v>164</v>
      </c>
      <c r="J286" s="475">
        <v>50877456</v>
      </c>
      <c r="K286" s="212" t="s">
        <v>138</v>
      </c>
      <c r="L286" s="212" t="s">
        <v>139</v>
      </c>
      <c r="M286" s="212" t="s">
        <v>44</v>
      </c>
      <c r="N286" s="212" t="s">
        <v>45</v>
      </c>
      <c r="O286" s="212" t="s">
        <v>142</v>
      </c>
      <c r="P286" s="212" t="s">
        <v>43</v>
      </c>
      <c r="R286" s="486">
        <v>295</v>
      </c>
      <c r="S286" s="490">
        <v>44251</v>
      </c>
      <c r="T286" s="486" t="s">
        <v>3287</v>
      </c>
      <c r="U286" s="475">
        <v>50877456</v>
      </c>
      <c r="V286" s="406"/>
      <c r="W286" s="362"/>
      <c r="X286" s="483" t="s">
        <v>3153</v>
      </c>
      <c r="Y286" s="484">
        <v>44286</v>
      </c>
      <c r="Z286" s="484">
        <v>44286</v>
      </c>
      <c r="AA286" s="484">
        <v>44500</v>
      </c>
      <c r="AB286" s="485" t="s">
        <v>2575</v>
      </c>
      <c r="AC286" s="483" t="s">
        <v>3263</v>
      </c>
      <c r="AD286" s="485" t="s">
        <v>3288</v>
      </c>
      <c r="AE286" s="486" t="s">
        <v>3289</v>
      </c>
      <c r="AF286" s="473">
        <v>50877456</v>
      </c>
      <c r="AG286" s="474">
        <f t="shared" si="5"/>
        <v>0</v>
      </c>
      <c r="AL286" s="475">
        <v>6299113</v>
      </c>
      <c r="AM286" s="306">
        <v>7268208</v>
      </c>
    </row>
    <row r="287" spans="1:39" hidden="1" x14ac:dyDescent="0.25">
      <c r="A287" s="476" t="s">
        <v>1941</v>
      </c>
      <c r="B287" s="477">
        <v>36795303</v>
      </c>
      <c r="C287" s="212" t="s">
        <v>2571</v>
      </c>
      <c r="D287" s="478">
        <v>282</v>
      </c>
      <c r="E287" s="309">
        <v>20217000010373</v>
      </c>
      <c r="F287" s="310">
        <v>44251</v>
      </c>
      <c r="G287" s="478" t="s">
        <v>2572</v>
      </c>
      <c r="H287" s="212" t="s">
        <v>2573</v>
      </c>
      <c r="I287" s="212" t="s">
        <v>164</v>
      </c>
      <c r="J287" s="475">
        <v>28618569</v>
      </c>
      <c r="K287" s="212" t="s">
        <v>138</v>
      </c>
      <c r="L287" s="212" t="s">
        <v>139</v>
      </c>
      <c r="M287" s="212" t="s">
        <v>44</v>
      </c>
      <c r="N287" s="212" t="s">
        <v>45</v>
      </c>
      <c r="O287" s="212" t="s">
        <v>142</v>
      </c>
      <c r="P287" s="212" t="s">
        <v>43</v>
      </c>
      <c r="R287" s="486">
        <v>297</v>
      </c>
      <c r="S287" s="490">
        <v>44251</v>
      </c>
      <c r="T287" s="486" t="s">
        <v>3290</v>
      </c>
      <c r="U287" s="475">
        <v>28618569</v>
      </c>
      <c r="V287" s="406"/>
      <c r="W287" s="362"/>
      <c r="X287" s="483" t="s">
        <v>3291</v>
      </c>
      <c r="Y287" s="484">
        <v>44292</v>
      </c>
      <c r="Z287" s="484">
        <v>44292</v>
      </c>
      <c r="AA287" s="484">
        <v>44506</v>
      </c>
      <c r="AB287" s="485" t="s">
        <v>2575</v>
      </c>
      <c r="AC287" s="483" t="s">
        <v>3292</v>
      </c>
      <c r="AD287" s="485" t="s">
        <v>3293</v>
      </c>
      <c r="AE287" s="486" t="s">
        <v>3294</v>
      </c>
      <c r="AF287" s="473">
        <v>28618569</v>
      </c>
      <c r="AG287" s="474">
        <f t="shared" si="5"/>
        <v>0</v>
      </c>
      <c r="AL287" s="475">
        <v>3406973</v>
      </c>
      <c r="AM287" s="306">
        <v>4088367</v>
      </c>
    </row>
    <row r="288" spans="1:39" hidden="1" x14ac:dyDescent="0.25">
      <c r="A288" s="476" t="s">
        <v>2227</v>
      </c>
      <c r="B288" s="477">
        <v>32697000</v>
      </c>
      <c r="C288" s="212" t="s">
        <v>3239</v>
      </c>
      <c r="D288" s="478">
        <v>283</v>
      </c>
      <c r="E288" s="309">
        <v>20211400009713</v>
      </c>
      <c r="F288" s="310">
        <v>44251</v>
      </c>
      <c r="G288" s="478" t="s">
        <v>2572</v>
      </c>
      <c r="H288" s="212" t="s">
        <v>2573</v>
      </c>
      <c r="I288" s="212" t="s">
        <v>184</v>
      </c>
      <c r="J288" s="475">
        <v>32697000</v>
      </c>
      <c r="K288" s="212" t="s">
        <v>138</v>
      </c>
      <c r="L288" s="212" t="s">
        <v>2577</v>
      </c>
      <c r="M288" s="212" t="s">
        <v>2767</v>
      </c>
      <c r="N288" s="212" t="s">
        <v>157</v>
      </c>
      <c r="O288" s="212" t="s">
        <v>158</v>
      </c>
      <c r="P288" s="212" t="s">
        <v>43</v>
      </c>
      <c r="R288" s="486">
        <v>292</v>
      </c>
      <c r="S288" s="490">
        <v>44251</v>
      </c>
      <c r="T288" s="486" t="s">
        <v>3295</v>
      </c>
      <c r="U288" s="475">
        <f>32697000-22886999</f>
        <v>9810001</v>
      </c>
      <c r="V288" s="406">
        <v>22886999</v>
      </c>
      <c r="W288" s="362" t="s">
        <v>1453</v>
      </c>
      <c r="X288" s="483" t="s">
        <v>3296</v>
      </c>
      <c r="Y288" s="484">
        <v>44294</v>
      </c>
      <c r="Z288" s="484">
        <v>44294</v>
      </c>
      <c r="AA288" s="484">
        <v>44561</v>
      </c>
      <c r="AB288" s="485" t="s">
        <v>2575</v>
      </c>
      <c r="AC288" s="483" t="s">
        <v>3297</v>
      </c>
      <c r="AD288" s="485" t="s">
        <v>3298</v>
      </c>
      <c r="AE288" s="486" t="s">
        <v>3299</v>
      </c>
      <c r="AF288" s="473">
        <v>9810001</v>
      </c>
      <c r="AG288" s="474">
        <f t="shared" si="5"/>
        <v>0</v>
      </c>
      <c r="AM288" s="212"/>
    </row>
    <row r="289" spans="1:39" hidden="1" x14ac:dyDescent="0.25">
      <c r="A289" s="476" t="s">
        <v>1824</v>
      </c>
      <c r="B289" s="477">
        <v>65836059</v>
      </c>
      <c r="C289" s="212" t="s">
        <v>2687</v>
      </c>
      <c r="D289" s="478">
        <v>284</v>
      </c>
      <c r="E289" s="309">
        <v>20212000009863</v>
      </c>
      <c r="F289" s="479">
        <v>44251</v>
      </c>
      <c r="G289" s="478" t="s">
        <v>2565</v>
      </c>
      <c r="H289" s="212" t="s">
        <v>2566</v>
      </c>
      <c r="I289" s="212" t="s">
        <v>391</v>
      </c>
      <c r="J289" s="475">
        <v>60170000</v>
      </c>
      <c r="K289" s="210" t="s">
        <v>2636</v>
      </c>
      <c r="L289" s="212" t="s">
        <v>2637</v>
      </c>
      <c r="M289" s="212" t="s">
        <v>44</v>
      </c>
      <c r="N289" s="212" t="s">
        <v>45</v>
      </c>
      <c r="O289" s="212" t="s">
        <v>63</v>
      </c>
      <c r="P289" s="212" t="s">
        <v>676</v>
      </c>
      <c r="R289" s="486">
        <v>290</v>
      </c>
      <c r="S289" s="490">
        <v>44251</v>
      </c>
      <c r="T289" s="486" t="s">
        <v>3300</v>
      </c>
      <c r="U289" s="475">
        <f>60170000-6017000</f>
        <v>54153000</v>
      </c>
      <c r="V289" s="411">
        <v>6017000</v>
      </c>
      <c r="W289" s="397"/>
      <c r="X289" s="483" t="s">
        <v>3301</v>
      </c>
      <c r="Y289" s="484">
        <v>44271</v>
      </c>
      <c r="Z289" s="484">
        <v>44271</v>
      </c>
      <c r="AA289" s="484">
        <v>44546</v>
      </c>
      <c r="AB289" s="485" t="s">
        <v>2575</v>
      </c>
      <c r="AC289" s="483" t="s">
        <v>3302</v>
      </c>
      <c r="AD289" s="485" t="s">
        <v>3303</v>
      </c>
      <c r="AE289" s="486" t="s">
        <v>3304</v>
      </c>
      <c r="AF289" s="473">
        <v>54153000</v>
      </c>
      <c r="AG289" s="474">
        <f t="shared" si="5"/>
        <v>0</v>
      </c>
      <c r="AK289" s="475">
        <v>3008500</v>
      </c>
      <c r="AL289" s="475">
        <v>6017000</v>
      </c>
      <c r="AM289" s="306">
        <v>6017000</v>
      </c>
    </row>
    <row r="290" spans="1:39" hidden="1" x14ac:dyDescent="0.25">
      <c r="A290" s="476" t="s">
        <v>2093</v>
      </c>
      <c r="B290" s="477">
        <v>44000000</v>
      </c>
      <c r="C290" s="212" t="s">
        <v>2571</v>
      </c>
      <c r="D290" s="478">
        <v>285</v>
      </c>
      <c r="E290" s="309">
        <v>20215000007233</v>
      </c>
      <c r="F290" s="479">
        <v>44243</v>
      </c>
      <c r="G290" s="309" t="s">
        <v>2565</v>
      </c>
      <c r="H290" s="210" t="s">
        <v>2566</v>
      </c>
      <c r="I290" s="210" t="s">
        <v>228</v>
      </c>
      <c r="J290" s="407">
        <v>44000000</v>
      </c>
      <c r="K290" s="212" t="s">
        <v>288</v>
      </c>
      <c r="L290" s="212" t="s">
        <v>2661</v>
      </c>
      <c r="M290" s="212" t="s">
        <v>44</v>
      </c>
      <c r="N290" s="212" t="s">
        <v>45</v>
      </c>
      <c r="O290" s="212" t="s">
        <v>63</v>
      </c>
      <c r="P290" s="212" t="s">
        <v>676</v>
      </c>
      <c r="R290" s="212">
        <v>251</v>
      </c>
      <c r="S290" s="479">
        <v>44243</v>
      </c>
      <c r="T290" s="212" t="s">
        <v>3305</v>
      </c>
      <c r="U290" s="475">
        <f>44000000-6000000</f>
        <v>38000000</v>
      </c>
      <c r="V290" s="444">
        <v>6000000</v>
      </c>
      <c r="W290" s="398"/>
      <c r="X290" s="483" t="s">
        <v>3306</v>
      </c>
      <c r="Y290" s="484">
        <v>44271</v>
      </c>
      <c r="Z290" s="484">
        <v>44271</v>
      </c>
      <c r="AA290" s="484">
        <v>44561</v>
      </c>
      <c r="AB290" s="485" t="s">
        <v>2575</v>
      </c>
      <c r="AC290" s="483" t="s">
        <v>3307</v>
      </c>
      <c r="AD290" s="485" t="s">
        <v>3308</v>
      </c>
      <c r="AE290" s="486" t="s">
        <v>3309</v>
      </c>
      <c r="AF290" s="473">
        <v>38000000</v>
      </c>
      <c r="AG290" s="474">
        <f t="shared" si="5"/>
        <v>0</v>
      </c>
      <c r="AK290" s="475">
        <v>2000000</v>
      </c>
      <c r="AL290" s="475">
        <v>4000000</v>
      </c>
      <c r="AM290" s="306">
        <v>4000000</v>
      </c>
    </row>
    <row r="291" spans="1:39" hidden="1" x14ac:dyDescent="0.25">
      <c r="A291" s="476" t="s">
        <v>2085</v>
      </c>
      <c r="B291" s="477">
        <v>64900000</v>
      </c>
      <c r="C291" s="212" t="s">
        <v>2571</v>
      </c>
      <c r="D291" s="478">
        <v>286</v>
      </c>
      <c r="E291" s="478">
        <v>20215000006443</v>
      </c>
      <c r="F291" s="479">
        <v>44235</v>
      </c>
      <c r="G291" s="478" t="s">
        <v>2565</v>
      </c>
      <c r="H291" s="212" t="s">
        <v>2566</v>
      </c>
      <c r="I291" s="212" t="s">
        <v>228</v>
      </c>
      <c r="J291" s="475">
        <v>64900000</v>
      </c>
      <c r="K291" s="212" t="s">
        <v>223</v>
      </c>
      <c r="L291" s="212" t="s">
        <v>2683</v>
      </c>
      <c r="M291" s="212" t="s">
        <v>44</v>
      </c>
      <c r="N291" s="212" t="s">
        <v>45</v>
      </c>
      <c r="O291" s="212" t="s">
        <v>63</v>
      </c>
      <c r="P291" s="212" t="s">
        <v>676</v>
      </c>
      <c r="R291" s="212">
        <v>217</v>
      </c>
      <c r="S291" s="479">
        <v>44236</v>
      </c>
      <c r="T291" s="212" t="s">
        <v>3310</v>
      </c>
      <c r="U291" s="475">
        <f>64900000-11800000</f>
        <v>53100000</v>
      </c>
      <c r="V291" s="444">
        <v>11800000</v>
      </c>
      <c r="W291" s="398"/>
      <c r="X291" s="483" t="s">
        <v>3311</v>
      </c>
      <c r="Y291" s="484">
        <v>44271</v>
      </c>
      <c r="Z291" s="484">
        <v>44271</v>
      </c>
      <c r="AA291" s="484">
        <v>44546</v>
      </c>
      <c r="AB291" s="485" t="s">
        <v>2575</v>
      </c>
      <c r="AC291" s="483" t="s">
        <v>3312</v>
      </c>
      <c r="AD291" s="485" t="s">
        <v>3313</v>
      </c>
      <c r="AE291" s="486" t="s">
        <v>3314</v>
      </c>
      <c r="AF291" s="473">
        <v>53100000</v>
      </c>
      <c r="AG291" s="474">
        <f t="shared" si="5"/>
        <v>0</v>
      </c>
      <c r="AK291" s="475">
        <v>2950000</v>
      </c>
      <c r="AL291" s="475">
        <v>5900000</v>
      </c>
      <c r="AM291" s="306">
        <v>5900000</v>
      </c>
    </row>
    <row r="292" spans="1:39" hidden="1" x14ac:dyDescent="0.25">
      <c r="A292" s="476" t="s">
        <v>2213</v>
      </c>
      <c r="B292" s="477">
        <v>23621677</v>
      </c>
      <c r="C292" s="212" t="s">
        <v>2571</v>
      </c>
      <c r="D292" s="478">
        <v>287</v>
      </c>
      <c r="E292" s="309">
        <v>20211300011033</v>
      </c>
      <c r="F292" s="479">
        <v>44253</v>
      </c>
      <c r="G292" s="478" t="s">
        <v>2572</v>
      </c>
      <c r="H292" s="212" t="s">
        <v>2573</v>
      </c>
      <c r="I292" s="212" t="s">
        <v>210</v>
      </c>
      <c r="J292" s="475">
        <v>23621677</v>
      </c>
      <c r="K292" s="212" t="s">
        <v>138</v>
      </c>
      <c r="L292" s="212" t="s">
        <v>139</v>
      </c>
      <c r="M292" s="212" t="s">
        <v>44</v>
      </c>
      <c r="N292" s="212" t="s">
        <v>45</v>
      </c>
      <c r="O292" s="212" t="s">
        <v>142</v>
      </c>
      <c r="P292" s="212" t="s">
        <v>43</v>
      </c>
      <c r="R292" s="212">
        <v>313</v>
      </c>
      <c r="S292" s="479">
        <v>44256</v>
      </c>
      <c r="T292" s="212" t="s">
        <v>3315</v>
      </c>
      <c r="U292" s="475">
        <v>23621677</v>
      </c>
      <c r="V292" s="406"/>
      <c r="W292" s="362"/>
      <c r="X292" s="483" t="s">
        <v>3316</v>
      </c>
      <c r="Y292" s="484">
        <v>44272</v>
      </c>
      <c r="Z292" s="484">
        <v>44272</v>
      </c>
      <c r="AA292" s="484">
        <v>44394</v>
      </c>
      <c r="AB292" s="485" t="s">
        <v>2575</v>
      </c>
      <c r="AC292" s="483" t="s">
        <v>3317</v>
      </c>
      <c r="AD292" s="485" t="s">
        <v>3318</v>
      </c>
      <c r="AE292" s="486" t="s">
        <v>3319</v>
      </c>
      <c r="AF292" s="473">
        <v>23621676</v>
      </c>
      <c r="AG292" s="474">
        <f t="shared" si="5"/>
        <v>1</v>
      </c>
      <c r="AK292" s="475">
        <v>2559015</v>
      </c>
      <c r="AL292" s="475">
        <v>5905419</v>
      </c>
      <c r="AM292" s="306">
        <v>5905419</v>
      </c>
    </row>
    <row r="293" spans="1:39" s="312" customFormat="1" hidden="1" x14ac:dyDescent="0.25">
      <c r="A293" s="361" t="s">
        <v>3320</v>
      </c>
      <c r="B293" s="417">
        <v>56000000</v>
      </c>
      <c r="C293" s="312" t="s">
        <v>2687</v>
      </c>
      <c r="D293" s="325">
        <v>288</v>
      </c>
      <c r="E293" s="325">
        <v>20213000009343</v>
      </c>
      <c r="F293" s="315">
        <v>44252</v>
      </c>
      <c r="G293" s="325" t="s">
        <v>2565</v>
      </c>
      <c r="H293" s="312" t="s">
        <v>2566</v>
      </c>
      <c r="I293" s="312" t="s">
        <v>432</v>
      </c>
      <c r="J293" s="405">
        <v>56000000</v>
      </c>
      <c r="K293" s="312" t="s">
        <v>342</v>
      </c>
      <c r="L293" s="312" t="s">
        <v>351</v>
      </c>
      <c r="M293" s="312" t="s">
        <v>44</v>
      </c>
      <c r="N293" s="312" t="s">
        <v>45</v>
      </c>
      <c r="O293" s="312" t="s">
        <v>63</v>
      </c>
      <c r="P293" s="312" t="s">
        <v>676</v>
      </c>
      <c r="R293" s="360">
        <v>302</v>
      </c>
      <c r="S293" s="363">
        <v>44252</v>
      </c>
      <c r="T293" s="360" t="s">
        <v>3321</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75" hidden="1" x14ac:dyDescent="0.25">
      <c r="A294" s="476" t="s">
        <v>3322</v>
      </c>
      <c r="B294" s="477">
        <v>1108626200</v>
      </c>
      <c r="C294" s="212" t="s">
        <v>3323</v>
      </c>
      <c r="D294" s="478">
        <v>289</v>
      </c>
      <c r="E294" s="309">
        <v>20215000010563</v>
      </c>
      <c r="F294" s="479">
        <v>44252</v>
      </c>
      <c r="G294" s="309" t="s">
        <v>2565</v>
      </c>
      <c r="H294" s="210" t="s">
        <v>2566</v>
      </c>
      <c r="I294" s="210" t="s">
        <v>228</v>
      </c>
      <c r="J294" s="475">
        <v>1108626200</v>
      </c>
      <c r="K294" s="212" t="s">
        <v>223</v>
      </c>
      <c r="L294" s="212" t="s">
        <v>224</v>
      </c>
      <c r="M294" s="210" t="s">
        <v>44</v>
      </c>
      <c r="N294" s="210" t="s">
        <v>2861</v>
      </c>
      <c r="O294" s="210" t="s">
        <v>132</v>
      </c>
      <c r="P294" s="515" t="s">
        <v>772</v>
      </c>
      <c r="Q294" s="210"/>
      <c r="R294" s="486">
        <v>305</v>
      </c>
      <c r="S294" s="490">
        <v>44252</v>
      </c>
      <c r="T294" s="486" t="s">
        <v>3324</v>
      </c>
      <c r="U294" s="475">
        <v>1108626200</v>
      </c>
      <c r="V294" s="406"/>
      <c r="W294" s="362"/>
      <c r="AG294" s="474">
        <f t="shared" si="5"/>
        <v>1108626200</v>
      </c>
      <c r="AM294" s="212"/>
    </row>
    <row r="295" spans="1:39" ht="15.75" hidden="1" x14ac:dyDescent="0.25">
      <c r="A295" s="476" t="s">
        <v>3325</v>
      </c>
      <c r="B295" s="477">
        <v>1044125440</v>
      </c>
      <c r="C295" s="212" t="s">
        <v>3326</v>
      </c>
      <c r="D295" s="478">
        <v>290</v>
      </c>
      <c r="E295" s="309">
        <v>20215000010603</v>
      </c>
      <c r="F295" s="479">
        <v>44252</v>
      </c>
      <c r="G295" s="309" t="s">
        <v>2565</v>
      </c>
      <c r="H295" s="210" t="s">
        <v>2566</v>
      </c>
      <c r="I295" s="210" t="s">
        <v>228</v>
      </c>
      <c r="J295" s="475">
        <v>1044125440</v>
      </c>
      <c r="K295" s="212" t="s">
        <v>223</v>
      </c>
      <c r="L295" s="212" t="s">
        <v>224</v>
      </c>
      <c r="M295" s="210" t="s">
        <v>44</v>
      </c>
      <c r="N295" s="210" t="s">
        <v>2861</v>
      </c>
      <c r="O295" s="210" t="s">
        <v>132</v>
      </c>
      <c r="P295" s="515" t="s">
        <v>772</v>
      </c>
      <c r="R295" s="486">
        <v>306</v>
      </c>
      <c r="S295" s="490">
        <v>44252</v>
      </c>
      <c r="T295" s="486" t="s">
        <v>3327</v>
      </c>
      <c r="U295" s="475">
        <v>1044125440</v>
      </c>
      <c r="V295" s="406"/>
      <c r="W295" s="362"/>
      <c r="AG295" s="474">
        <f t="shared" si="5"/>
        <v>1044125440</v>
      </c>
      <c r="AM295" s="212"/>
    </row>
    <row r="296" spans="1:39" ht="15.75" hidden="1" x14ac:dyDescent="0.25">
      <c r="A296" s="476" t="s">
        <v>3328</v>
      </c>
      <c r="B296" s="477">
        <v>810426760</v>
      </c>
      <c r="C296" s="212" t="s">
        <v>3329</v>
      </c>
      <c r="D296" s="478">
        <v>291</v>
      </c>
      <c r="E296" s="309">
        <v>20215000010613</v>
      </c>
      <c r="F296" s="479">
        <v>44252</v>
      </c>
      <c r="G296" s="309" t="s">
        <v>2565</v>
      </c>
      <c r="H296" s="210" t="s">
        <v>2566</v>
      </c>
      <c r="I296" s="210" t="s">
        <v>228</v>
      </c>
      <c r="J296" s="475">
        <v>810426760</v>
      </c>
      <c r="K296" s="212" t="s">
        <v>223</v>
      </c>
      <c r="L296" s="212" t="s">
        <v>224</v>
      </c>
      <c r="M296" s="210" t="s">
        <v>44</v>
      </c>
      <c r="N296" s="210" t="s">
        <v>2861</v>
      </c>
      <c r="O296" s="210" t="s">
        <v>132</v>
      </c>
      <c r="P296" s="515" t="s">
        <v>772</v>
      </c>
      <c r="R296" s="212">
        <v>307</v>
      </c>
      <c r="S296" s="479">
        <v>44256</v>
      </c>
      <c r="T296" s="212" t="s">
        <v>3330</v>
      </c>
      <c r="U296" s="475">
        <v>810426760</v>
      </c>
      <c r="V296" s="406"/>
      <c r="W296" s="362"/>
      <c r="AG296" s="474">
        <f t="shared" si="5"/>
        <v>810426760</v>
      </c>
      <c r="AM296" s="212"/>
    </row>
    <row r="297" spans="1:39" ht="15.75" hidden="1" x14ac:dyDescent="0.25">
      <c r="A297" s="476" t="s">
        <v>3331</v>
      </c>
      <c r="B297" s="477">
        <v>1091052420</v>
      </c>
      <c r="C297" s="212" t="s">
        <v>3332</v>
      </c>
      <c r="D297" s="478">
        <v>292</v>
      </c>
      <c r="E297" s="309">
        <v>20215000010623</v>
      </c>
      <c r="F297" s="479">
        <v>44252</v>
      </c>
      <c r="G297" s="309" t="s">
        <v>2565</v>
      </c>
      <c r="H297" s="210" t="s">
        <v>2566</v>
      </c>
      <c r="I297" s="210" t="s">
        <v>228</v>
      </c>
      <c r="J297" s="475">
        <v>1091052420</v>
      </c>
      <c r="K297" s="212" t="s">
        <v>223</v>
      </c>
      <c r="L297" s="212" t="s">
        <v>224</v>
      </c>
      <c r="M297" s="210" t="s">
        <v>44</v>
      </c>
      <c r="N297" s="210" t="s">
        <v>2861</v>
      </c>
      <c r="O297" s="210" t="s">
        <v>132</v>
      </c>
      <c r="P297" s="515" t="s">
        <v>772</v>
      </c>
      <c r="R297" s="212">
        <v>308</v>
      </c>
      <c r="S297" s="490">
        <v>44256</v>
      </c>
      <c r="T297" s="212" t="s">
        <v>3333</v>
      </c>
      <c r="U297" s="475">
        <v>1091052420</v>
      </c>
      <c r="V297" s="406"/>
      <c r="W297" s="362"/>
      <c r="AG297" s="474">
        <f t="shared" si="5"/>
        <v>1091052420</v>
      </c>
      <c r="AM297" s="212"/>
    </row>
    <row r="298" spans="1:39" s="312" customFormat="1" hidden="1" x14ac:dyDescent="0.25">
      <c r="A298" s="361" t="s">
        <v>3334</v>
      </c>
      <c r="B298" s="417">
        <v>34967856</v>
      </c>
      <c r="C298" s="312" t="s">
        <v>2687</v>
      </c>
      <c r="D298" s="325">
        <v>293</v>
      </c>
      <c r="E298" s="325">
        <v>20217000010983</v>
      </c>
      <c r="F298" s="315">
        <v>44253</v>
      </c>
      <c r="G298" s="325" t="s">
        <v>2572</v>
      </c>
      <c r="H298" s="312" t="s">
        <v>2573</v>
      </c>
      <c r="I298" s="312" t="s">
        <v>164</v>
      </c>
      <c r="J298" s="405">
        <v>13000000</v>
      </c>
      <c r="K298" s="312" t="s">
        <v>138</v>
      </c>
      <c r="L298" s="312" t="s">
        <v>139</v>
      </c>
      <c r="M298" s="312" t="s">
        <v>44</v>
      </c>
      <c r="N298" s="312" t="s">
        <v>45</v>
      </c>
      <c r="O298" s="312" t="s">
        <v>142</v>
      </c>
      <c r="P298" s="312" t="s">
        <v>43</v>
      </c>
      <c r="R298" s="312">
        <v>312</v>
      </c>
      <c r="S298" s="363">
        <v>44256</v>
      </c>
      <c r="T298" s="312" t="s">
        <v>3335</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x14ac:dyDescent="0.25">
      <c r="A299" s="476" t="s">
        <v>1927</v>
      </c>
      <c r="B299" s="477">
        <v>19987572</v>
      </c>
      <c r="C299" s="212" t="s">
        <v>2571</v>
      </c>
      <c r="D299" s="478">
        <v>294</v>
      </c>
      <c r="E299" s="309">
        <v>20217000010973</v>
      </c>
      <c r="F299" s="479">
        <v>44253</v>
      </c>
      <c r="G299" s="478" t="s">
        <v>2572</v>
      </c>
      <c r="H299" s="212" t="s">
        <v>2573</v>
      </c>
      <c r="I299" s="212" t="s">
        <v>164</v>
      </c>
      <c r="J299" s="475">
        <v>7300000</v>
      </c>
      <c r="K299" s="212" t="s">
        <v>138</v>
      </c>
      <c r="L299" s="212" t="s">
        <v>139</v>
      </c>
      <c r="M299" s="212" t="s">
        <v>44</v>
      </c>
      <c r="N299" s="212" t="s">
        <v>45</v>
      </c>
      <c r="O299" s="212" t="s">
        <v>142</v>
      </c>
      <c r="P299" s="212" t="s">
        <v>43</v>
      </c>
      <c r="R299" s="212">
        <v>311</v>
      </c>
      <c r="S299" s="490">
        <v>44256</v>
      </c>
      <c r="T299" s="212" t="s">
        <v>3336</v>
      </c>
      <c r="U299" s="475">
        <v>7300000</v>
      </c>
      <c r="V299" s="406"/>
      <c r="W299" s="362"/>
      <c r="X299" s="483" t="s">
        <v>3337</v>
      </c>
      <c r="Y299" s="484">
        <v>44285</v>
      </c>
      <c r="Z299" s="484">
        <v>44285</v>
      </c>
      <c r="AA299" s="484">
        <v>44407</v>
      </c>
      <c r="AB299" s="485" t="s">
        <v>2575</v>
      </c>
      <c r="AC299" s="483" t="s">
        <v>3338</v>
      </c>
      <c r="AD299" s="485" t="s">
        <v>3339</v>
      </c>
      <c r="AE299" s="486" t="s">
        <v>2730</v>
      </c>
      <c r="AF299" s="473">
        <v>7268208</v>
      </c>
      <c r="AG299" s="474">
        <f t="shared" si="5"/>
        <v>31792</v>
      </c>
      <c r="AL299" s="475">
        <v>1877620</v>
      </c>
      <c r="AM299" s="306">
        <v>1817052</v>
      </c>
    </row>
    <row r="300" spans="1:39" hidden="1" x14ac:dyDescent="0.25">
      <c r="A300" s="476" t="s">
        <v>1934</v>
      </c>
      <c r="B300" s="477">
        <v>34978251</v>
      </c>
      <c r="C300" s="212" t="s">
        <v>2571</v>
      </c>
      <c r="D300" s="478">
        <v>295</v>
      </c>
      <c r="E300" s="309">
        <v>20217000010963</v>
      </c>
      <c r="F300" s="479">
        <v>44253</v>
      </c>
      <c r="G300" s="478" t="s">
        <v>2572</v>
      </c>
      <c r="H300" s="212" t="s">
        <v>2573</v>
      </c>
      <c r="I300" s="212" t="s">
        <v>164</v>
      </c>
      <c r="J300" s="475">
        <v>16000000</v>
      </c>
      <c r="K300" s="212" t="s">
        <v>138</v>
      </c>
      <c r="L300" s="212" t="s">
        <v>139</v>
      </c>
      <c r="M300" s="212" t="s">
        <v>44</v>
      </c>
      <c r="N300" s="212" t="s">
        <v>45</v>
      </c>
      <c r="O300" s="212" t="s">
        <v>142</v>
      </c>
      <c r="P300" s="212" t="s">
        <v>43</v>
      </c>
      <c r="R300" s="212">
        <v>314</v>
      </c>
      <c r="S300" s="479">
        <v>44256</v>
      </c>
      <c r="T300" s="212" t="s">
        <v>3340</v>
      </c>
      <c r="U300" s="475">
        <v>16000000</v>
      </c>
      <c r="V300" s="406"/>
      <c r="W300" s="362"/>
      <c r="X300" s="483" t="s">
        <v>3341</v>
      </c>
      <c r="Y300" s="484">
        <v>44295</v>
      </c>
      <c r="Z300" s="484">
        <v>44295</v>
      </c>
      <c r="AA300" s="484">
        <v>44448</v>
      </c>
      <c r="AB300" s="485" t="s">
        <v>2575</v>
      </c>
      <c r="AC300" s="483" t="s">
        <v>3342</v>
      </c>
      <c r="AD300" s="485" t="s">
        <v>3343</v>
      </c>
      <c r="AE300" s="486" t="s">
        <v>2765</v>
      </c>
      <c r="AF300" s="473">
        <v>15899205</v>
      </c>
      <c r="AG300" s="474">
        <f t="shared" si="5"/>
        <v>100795</v>
      </c>
      <c r="AL300" s="475">
        <v>2225888</v>
      </c>
      <c r="AM300" s="306">
        <v>3179841</v>
      </c>
    </row>
    <row r="301" spans="1:39" hidden="1" x14ac:dyDescent="0.25">
      <c r="A301" s="476" t="s">
        <v>1844</v>
      </c>
      <c r="B301" s="477">
        <v>54511560</v>
      </c>
      <c r="C301" s="212" t="s">
        <v>2571</v>
      </c>
      <c r="D301" s="478">
        <v>296</v>
      </c>
      <c r="E301" s="309">
        <v>20217000010543</v>
      </c>
      <c r="F301" s="479">
        <v>44252</v>
      </c>
      <c r="G301" s="478" t="s">
        <v>2572</v>
      </c>
      <c r="H301" s="212" t="s">
        <v>2573</v>
      </c>
      <c r="I301" s="212" t="s">
        <v>164</v>
      </c>
      <c r="J301" s="475">
        <v>27255780</v>
      </c>
      <c r="K301" s="212" t="s">
        <v>138</v>
      </c>
      <c r="L301" s="212" t="s">
        <v>139</v>
      </c>
      <c r="M301" s="212" t="s">
        <v>44</v>
      </c>
      <c r="N301" s="212" t="s">
        <v>45</v>
      </c>
      <c r="O301" s="212" t="s">
        <v>142</v>
      </c>
      <c r="P301" s="212" t="s">
        <v>43</v>
      </c>
      <c r="R301" s="486">
        <v>304</v>
      </c>
      <c r="S301" s="490">
        <v>44252</v>
      </c>
      <c r="T301" s="486" t="s">
        <v>3344</v>
      </c>
      <c r="U301" s="475">
        <v>27255780</v>
      </c>
      <c r="V301" s="406"/>
      <c r="W301" s="362"/>
      <c r="X301" s="483" t="s">
        <v>3345</v>
      </c>
      <c r="Y301" s="484">
        <v>44272</v>
      </c>
      <c r="Z301" s="484">
        <v>44272</v>
      </c>
      <c r="AA301" s="484">
        <v>44394</v>
      </c>
      <c r="AB301" s="485" t="s">
        <v>2575</v>
      </c>
      <c r="AC301" s="483" t="s">
        <v>3346</v>
      </c>
      <c r="AD301" s="485" t="s">
        <v>3347</v>
      </c>
      <c r="AE301" s="486" t="s">
        <v>3348</v>
      </c>
      <c r="AF301" s="473">
        <v>27255780</v>
      </c>
      <c r="AG301" s="474">
        <f t="shared" si="5"/>
        <v>0</v>
      </c>
      <c r="AL301" s="475">
        <v>9539523</v>
      </c>
      <c r="AM301" s="306">
        <v>6813945</v>
      </c>
    </row>
    <row r="302" spans="1:39" hidden="1" x14ac:dyDescent="0.25">
      <c r="A302" s="476" t="s">
        <v>2510</v>
      </c>
      <c r="B302" s="477">
        <v>52000000</v>
      </c>
      <c r="C302" s="212" t="s">
        <v>2571</v>
      </c>
      <c r="D302" s="478">
        <v>297</v>
      </c>
      <c r="E302" s="309">
        <v>20213000010803</v>
      </c>
      <c r="F302" s="479">
        <v>44253</v>
      </c>
      <c r="G302" s="478" t="s">
        <v>2565</v>
      </c>
      <c r="H302" s="212" t="s">
        <v>2566</v>
      </c>
      <c r="I302" s="212" t="s">
        <v>432</v>
      </c>
      <c r="J302" s="475">
        <v>52000000</v>
      </c>
      <c r="K302" s="212" t="s">
        <v>342</v>
      </c>
      <c r="L302" s="212" t="s">
        <v>351</v>
      </c>
      <c r="M302" s="212" t="s">
        <v>44</v>
      </c>
      <c r="N302" s="212" t="s">
        <v>45</v>
      </c>
      <c r="O302" s="212" t="s">
        <v>63</v>
      </c>
      <c r="P302" s="212" t="s">
        <v>676</v>
      </c>
      <c r="R302" s="212">
        <v>310</v>
      </c>
      <c r="S302" s="479">
        <v>44256</v>
      </c>
      <c r="T302" s="212" t="s">
        <v>3349</v>
      </c>
      <c r="U302" s="475">
        <v>52000000</v>
      </c>
      <c r="V302" s="406"/>
      <c r="W302" s="362"/>
      <c r="X302" s="483" t="s">
        <v>3350</v>
      </c>
      <c r="Y302" s="484">
        <v>44292</v>
      </c>
      <c r="Z302" s="484">
        <v>44292</v>
      </c>
      <c r="AA302" s="484">
        <v>44535</v>
      </c>
      <c r="AB302" s="485" t="s">
        <v>2575</v>
      </c>
      <c r="AC302" s="483" t="s">
        <v>3351</v>
      </c>
      <c r="AD302" s="485" t="s">
        <v>3352</v>
      </c>
      <c r="AE302" s="486" t="s">
        <v>3353</v>
      </c>
      <c r="AF302" s="473">
        <v>52000000</v>
      </c>
      <c r="AG302" s="474">
        <f t="shared" si="5"/>
        <v>0</v>
      </c>
      <c r="AM302" s="306">
        <f>6500000+5200000</f>
        <v>11700000</v>
      </c>
    </row>
    <row r="303" spans="1:39" hidden="1" x14ac:dyDescent="0.25">
      <c r="A303" s="476" t="s">
        <v>1826</v>
      </c>
      <c r="B303" s="477">
        <v>48144000</v>
      </c>
      <c r="C303" s="212" t="s">
        <v>2571</v>
      </c>
      <c r="D303" s="478">
        <v>298</v>
      </c>
      <c r="E303" s="309">
        <v>20212000011403</v>
      </c>
      <c r="F303" s="479">
        <v>44258</v>
      </c>
      <c r="G303" s="478" t="s">
        <v>2565</v>
      </c>
      <c r="H303" s="212" t="s">
        <v>2566</v>
      </c>
      <c r="I303" s="212" t="s">
        <v>391</v>
      </c>
      <c r="J303" s="475">
        <v>38950000</v>
      </c>
      <c r="K303" s="210" t="s">
        <v>2636</v>
      </c>
      <c r="L303" s="212" t="s">
        <v>2637</v>
      </c>
      <c r="M303" s="212" t="s">
        <v>44</v>
      </c>
      <c r="N303" s="212" t="s">
        <v>45</v>
      </c>
      <c r="O303" s="212" t="s">
        <v>63</v>
      </c>
      <c r="P303" s="212" t="s">
        <v>676</v>
      </c>
      <c r="R303" s="212">
        <v>327</v>
      </c>
      <c r="S303" s="490">
        <v>44258</v>
      </c>
      <c r="T303" s="486" t="s">
        <v>3354</v>
      </c>
      <c r="U303" s="475">
        <f>38950000-2050000</f>
        <v>36900000</v>
      </c>
      <c r="V303" s="411">
        <v>2050000</v>
      </c>
      <c r="W303" s="397"/>
      <c r="X303" s="483" t="s">
        <v>3285</v>
      </c>
      <c r="Y303" s="484">
        <v>44273</v>
      </c>
      <c r="Z303" s="484">
        <v>44273</v>
      </c>
      <c r="AA303" s="484">
        <v>44548</v>
      </c>
      <c r="AB303" s="485" t="s">
        <v>2575</v>
      </c>
      <c r="AC303" s="483" t="s">
        <v>3355</v>
      </c>
      <c r="AD303" s="485" t="s">
        <v>3356</v>
      </c>
      <c r="AE303" s="486" t="s">
        <v>3357</v>
      </c>
      <c r="AF303" s="473">
        <v>36900000</v>
      </c>
      <c r="AK303" s="475">
        <v>1776666</v>
      </c>
      <c r="AL303" s="475">
        <v>4100000</v>
      </c>
      <c r="AM303" s="306">
        <v>4100000</v>
      </c>
    </row>
    <row r="304" spans="1:39" hidden="1" x14ac:dyDescent="0.25">
      <c r="A304" s="476" t="s">
        <v>1991</v>
      </c>
      <c r="B304" s="477">
        <v>24530202</v>
      </c>
      <c r="C304" s="212" t="s">
        <v>2571</v>
      </c>
      <c r="D304" s="478">
        <v>299</v>
      </c>
      <c r="E304" s="309">
        <v>20217000011333</v>
      </c>
      <c r="F304" s="479">
        <v>44256</v>
      </c>
      <c r="G304" s="478" t="s">
        <v>2572</v>
      </c>
      <c r="H304" s="212" t="s">
        <v>2573</v>
      </c>
      <c r="I304" s="212" t="s">
        <v>164</v>
      </c>
      <c r="J304" s="475">
        <v>16353468</v>
      </c>
      <c r="K304" s="212" t="s">
        <v>138</v>
      </c>
      <c r="L304" s="212" t="s">
        <v>139</v>
      </c>
      <c r="M304" s="212" t="s">
        <v>44</v>
      </c>
      <c r="N304" s="212" t="s">
        <v>45</v>
      </c>
      <c r="O304" s="212" t="s">
        <v>142</v>
      </c>
      <c r="P304" s="212" t="s">
        <v>43</v>
      </c>
      <c r="R304" s="212">
        <v>318</v>
      </c>
      <c r="S304" s="479">
        <v>44256</v>
      </c>
      <c r="T304" s="212" t="s">
        <v>3358</v>
      </c>
      <c r="U304" s="475">
        <v>16353468</v>
      </c>
      <c r="V304" s="406"/>
      <c r="W304" s="362"/>
      <c r="X304" s="483" t="s">
        <v>3359</v>
      </c>
      <c r="Y304" s="484">
        <v>44292</v>
      </c>
      <c r="Z304" s="484">
        <v>44292</v>
      </c>
      <c r="AA304" s="484">
        <v>44475</v>
      </c>
      <c r="AB304" s="485" t="s">
        <v>2575</v>
      </c>
      <c r="AC304" s="483" t="s">
        <v>3360</v>
      </c>
      <c r="AD304" s="485" t="s">
        <v>3361</v>
      </c>
      <c r="AE304" s="486" t="s">
        <v>3362</v>
      </c>
      <c r="AF304" s="473">
        <v>16353468</v>
      </c>
      <c r="AL304" s="475">
        <v>2180462</v>
      </c>
      <c r="AM304" s="306">
        <v>2725578</v>
      </c>
    </row>
    <row r="305" spans="1:50" ht="15" hidden="1" customHeight="1" x14ac:dyDescent="0.25">
      <c r="A305" s="476" t="s">
        <v>2089</v>
      </c>
      <c r="B305" s="477">
        <v>64900000</v>
      </c>
      <c r="C305" s="212" t="s">
        <v>2571</v>
      </c>
      <c r="D305" s="478">
        <v>300</v>
      </c>
      <c r="E305" s="309">
        <v>20215000007193</v>
      </c>
      <c r="F305" s="479">
        <v>44243</v>
      </c>
      <c r="G305" s="309" t="s">
        <v>2565</v>
      </c>
      <c r="H305" s="210" t="s">
        <v>2566</v>
      </c>
      <c r="I305" s="210" t="s">
        <v>228</v>
      </c>
      <c r="J305" s="407">
        <v>64900000</v>
      </c>
      <c r="K305" s="212" t="s">
        <v>288</v>
      </c>
      <c r="L305" s="212" t="s">
        <v>2661</v>
      </c>
      <c r="M305" s="212" t="s">
        <v>44</v>
      </c>
      <c r="N305" s="212" t="s">
        <v>45</v>
      </c>
      <c r="O305" s="212" t="s">
        <v>63</v>
      </c>
      <c r="P305" s="212" t="s">
        <v>676</v>
      </c>
      <c r="R305" s="212">
        <v>248</v>
      </c>
      <c r="S305" s="479">
        <v>44243</v>
      </c>
      <c r="T305" s="212" t="s">
        <v>3363</v>
      </c>
      <c r="U305" s="475">
        <f>64900000-11800000</f>
        <v>53100000</v>
      </c>
      <c r="V305" s="444">
        <v>11800000</v>
      </c>
      <c r="W305" s="398"/>
      <c r="X305" s="483" t="s">
        <v>3280</v>
      </c>
      <c r="Y305" s="484">
        <v>44273</v>
      </c>
      <c r="Z305" s="484">
        <v>44273</v>
      </c>
      <c r="AA305" s="484">
        <v>44548</v>
      </c>
      <c r="AB305" s="485" t="s">
        <v>2575</v>
      </c>
      <c r="AC305" s="483" t="s">
        <v>3364</v>
      </c>
      <c r="AD305" s="485" t="s">
        <v>3365</v>
      </c>
      <c r="AE305" s="486" t="s">
        <v>3366</v>
      </c>
      <c r="AF305" s="473">
        <v>53100000</v>
      </c>
      <c r="AG305" s="474">
        <f>+U305-AF305</f>
        <v>0</v>
      </c>
      <c r="AK305" s="475">
        <v>2163333</v>
      </c>
      <c r="AL305" s="475">
        <v>5900000</v>
      </c>
      <c r="AM305" s="306">
        <v>5900000</v>
      </c>
    </row>
    <row r="306" spans="1:50" s="299" customFormat="1" ht="15" hidden="1" customHeight="1" x14ac:dyDescent="0.25">
      <c r="A306" s="476" t="s">
        <v>2333</v>
      </c>
      <c r="B306" s="477">
        <v>29981358</v>
      </c>
      <c r="C306" s="212" t="s">
        <v>2571</v>
      </c>
      <c r="D306" s="521">
        <v>301</v>
      </c>
      <c r="E306" s="326">
        <v>20217000011363</v>
      </c>
      <c r="F306" s="522">
        <v>44256</v>
      </c>
      <c r="G306" s="521" t="s">
        <v>2572</v>
      </c>
      <c r="H306" s="299" t="s">
        <v>2573</v>
      </c>
      <c r="I306" s="299" t="s">
        <v>164</v>
      </c>
      <c r="J306" s="481">
        <v>10902312</v>
      </c>
      <c r="K306" s="299" t="s">
        <v>138</v>
      </c>
      <c r="L306" s="299" t="s">
        <v>139</v>
      </c>
      <c r="M306" s="299" t="s">
        <v>44</v>
      </c>
      <c r="N306" s="299" t="s">
        <v>45</v>
      </c>
      <c r="O306" s="299" t="s">
        <v>142</v>
      </c>
      <c r="P306" s="299" t="s">
        <v>43</v>
      </c>
      <c r="R306" s="299">
        <v>320</v>
      </c>
      <c r="S306" s="523">
        <v>44256</v>
      </c>
      <c r="T306" s="500" t="s">
        <v>3367</v>
      </c>
      <c r="U306" s="475">
        <v>10902312</v>
      </c>
      <c r="V306" s="406"/>
      <c r="W306" s="400"/>
      <c r="X306" s="524">
        <v>267</v>
      </c>
      <c r="Y306" s="525">
        <v>44278</v>
      </c>
      <c r="Z306" s="497">
        <v>44270</v>
      </c>
      <c r="AA306" s="497">
        <v>44270</v>
      </c>
      <c r="AB306" s="498" t="s">
        <v>2575</v>
      </c>
      <c r="AC306" s="327">
        <v>192</v>
      </c>
      <c r="AD306" s="498" t="s">
        <v>3368</v>
      </c>
      <c r="AE306" s="500" t="s">
        <v>2746</v>
      </c>
      <c r="AF306" s="473">
        <v>10902312</v>
      </c>
      <c r="AH306" s="481"/>
      <c r="AI306" s="481"/>
      <c r="AJ306" s="475"/>
      <c r="AK306" s="475"/>
      <c r="AL306" s="475">
        <v>4088367</v>
      </c>
      <c r="AM306" s="306">
        <v>2725578</v>
      </c>
    </row>
    <row r="307" spans="1:50" ht="15" hidden="1" customHeight="1" x14ac:dyDescent="0.25">
      <c r="A307" s="476" t="s">
        <v>1994</v>
      </c>
      <c r="B307" s="477">
        <v>36795303</v>
      </c>
      <c r="C307" s="212" t="s">
        <v>2571</v>
      </c>
      <c r="D307" s="478">
        <v>302</v>
      </c>
      <c r="E307" s="309">
        <v>20217000011153</v>
      </c>
      <c r="F307" s="479">
        <v>44256</v>
      </c>
      <c r="G307" s="478" t="s">
        <v>2572</v>
      </c>
      <c r="H307" s="212" t="s">
        <v>2573</v>
      </c>
      <c r="I307" s="212" t="s">
        <v>164</v>
      </c>
      <c r="J307" s="475">
        <v>24600000</v>
      </c>
      <c r="K307" s="212" t="s">
        <v>138</v>
      </c>
      <c r="L307" s="212" t="s">
        <v>139</v>
      </c>
      <c r="M307" s="212" t="s">
        <v>44</v>
      </c>
      <c r="N307" s="212" t="s">
        <v>45</v>
      </c>
      <c r="O307" s="212" t="s">
        <v>142</v>
      </c>
      <c r="P307" s="212" t="s">
        <v>43</v>
      </c>
      <c r="R307" s="212">
        <v>316</v>
      </c>
      <c r="S307" s="490">
        <v>44256</v>
      </c>
      <c r="T307" s="486" t="s">
        <v>3369</v>
      </c>
      <c r="U307" s="475">
        <v>24600000</v>
      </c>
      <c r="V307" s="406"/>
      <c r="W307" s="362"/>
      <c r="X307" s="483" t="s">
        <v>3370</v>
      </c>
      <c r="Y307" s="484">
        <v>44292</v>
      </c>
      <c r="Z307" s="484">
        <v>44292</v>
      </c>
      <c r="AA307" s="484">
        <v>44474</v>
      </c>
      <c r="AB307" s="485" t="s">
        <v>2575</v>
      </c>
      <c r="AC307" s="483" t="s">
        <v>3316</v>
      </c>
      <c r="AD307" s="485" t="s">
        <v>3371</v>
      </c>
      <c r="AE307" s="486" t="s">
        <v>3372</v>
      </c>
      <c r="AF307" s="473">
        <v>24530202</v>
      </c>
      <c r="AL307" s="475">
        <v>3270694</v>
      </c>
      <c r="AM307" s="306">
        <v>4088367</v>
      </c>
    </row>
    <row r="308" spans="1:50" s="299" customFormat="1" ht="15" hidden="1" customHeight="1" x14ac:dyDescent="0.25">
      <c r="A308" s="476" t="s">
        <v>1939</v>
      </c>
      <c r="B308" s="477">
        <v>53148771</v>
      </c>
      <c r="C308" s="212" t="s">
        <v>2571</v>
      </c>
      <c r="D308" s="521">
        <v>303</v>
      </c>
      <c r="E308" s="326">
        <v>20217000011363</v>
      </c>
      <c r="F308" s="522">
        <v>44256</v>
      </c>
      <c r="G308" s="521" t="s">
        <v>2572</v>
      </c>
      <c r="H308" s="299" t="s">
        <v>2573</v>
      </c>
      <c r="I308" s="299" t="s">
        <v>164</v>
      </c>
      <c r="J308" s="481">
        <v>41400000</v>
      </c>
      <c r="K308" s="299" t="s">
        <v>138</v>
      </c>
      <c r="L308" s="299" t="s">
        <v>139</v>
      </c>
      <c r="M308" s="299" t="s">
        <v>44</v>
      </c>
      <c r="N308" s="299" t="s">
        <v>45</v>
      </c>
      <c r="O308" s="299" t="s">
        <v>142</v>
      </c>
      <c r="P308" s="299" t="s">
        <v>43</v>
      </c>
      <c r="R308" s="299">
        <v>315</v>
      </c>
      <c r="S308" s="523">
        <v>44256</v>
      </c>
      <c r="T308" s="500" t="s">
        <v>3373</v>
      </c>
      <c r="U308" s="475">
        <v>41400000</v>
      </c>
      <c r="V308" s="406"/>
      <c r="W308" s="400"/>
      <c r="X308" s="211" t="s">
        <v>3374</v>
      </c>
      <c r="Y308" s="472">
        <v>44300</v>
      </c>
      <c r="Z308" s="472">
        <v>44300</v>
      </c>
      <c r="AA308" s="472">
        <v>44514</v>
      </c>
      <c r="AB308" s="2" t="s">
        <v>2575</v>
      </c>
      <c r="AC308" s="211" t="s">
        <v>3375</v>
      </c>
      <c r="AD308" s="2" t="s">
        <v>3376</v>
      </c>
      <c r="AE308" s="212" t="s">
        <v>3377</v>
      </c>
      <c r="AF308" s="473">
        <v>41337933</v>
      </c>
      <c r="AH308" s="481"/>
      <c r="AI308" s="481"/>
      <c r="AJ308" s="475"/>
      <c r="AK308" s="475"/>
      <c r="AL308" s="475">
        <v>3149557</v>
      </c>
      <c r="AM308" s="306">
        <v>5905419</v>
      </c>
    </row>
    <row r="309" spans="1:50" ht="15" hidden="1" customHeight="1" x14ac:dyDescent="0.25">
      <c r="A309" s="476" t="s">
        <v>1706</v>
      </c>
      <c r="B309" s="477">
        <v>63000000</v>
      </c>
      <c r="C309" s="212" t="s">
        <v>2571</v>
      </c>
      <c r="D309" s="478">
        <v>304</v>
      </c>
      <c r="E309" s="478">
        <v>20216000013723</v>
      </c>
      <c r="F309" s="310">
        <v>44265</v>
      </c>
      <c r="G309" s="478" t="s">
        <v>2572</v>
      </c>
      <c r="H309" s="212" t="s">
        <v>2573</v>
      </c>
      <c r="I309" s="212" t="s">
        <v>214</v>
      </c>
      <c r="J309" s="475">
        <v>63000000</v>
      </c>
      <c r="K309" s="212" t="s">
        <v>138</v>
      </c>
      <c r="L309" s="212" t="s">
        <v>139</v>
      </c>
      <c r="M309" s="212" t="s">
        <v>44</v>
      </c>
      <c r="N309" s="212" t="s">
        <v>45</v>
      </c>
      <c r="O309" s="212" t="s">
        <v>142</v>
      </c>
      <c r="P309" s="212" t="s">
        <v>43</v>
      </c>
      <c r="R309" s="212">
        <v>385</v>
      </c>
      <c r="S309" s="490">
        <v>44266</v>
      </c>
      <c r="T309" s="486" t="s">
        <v>3378</v>
      </c>
      <c r="U309" s="475">
        <v>63000000</v>
      </c>
      <c r="V309" s="406"/>
      <c r="W309" s="362"/>
      <c r="X309" s="483" t="s">
        <v>3379</v>
      </c>
      <c r="Y309" s="484">
        <v>44273</v>
      </c>
      <c r="Z309" s="484">
        <v>44273</v>
      </c>
      <c r="AA309" s="484">
        <v>44548</v>
      </c>
      <c r="AB309" s="485" t="s">
        <v>2575</v>
      </c>
      <c r="AC309" s="483" t="s">
        <v>3380</v>
      </c>
      <c r="AD309" s="485" t="s">
        <v>3381</v>
      </c>
      <c r="AE309" s="486" t="s">
        <v>3382</v>
      </c>
      <c r="AF309" s="473">
        <v>63000000</v>
      </c>
      <c r="AK309" s="475">
        <v>2800000</v>
      </c>
      <c r="AL309" s="475">
        <v>7000000</v>
      </c>
      <c r="AM309" s="306">
        <v>7000000</v>
      </c>
    </row>
    <row r="310" spans="1:50" ht="15" hidden="1" customHeight="1" x14ac:dyDescent="0.25">
      <c r="B310" s="477" t="s">
        <v>97</v>
      </c>
      <c r="C310" s="212" t="s">
        <v>3383</v>
      </c>
      <c r="D310" s="478">
        <v>305</v>
      </c>
      <c r="E310" s="309">
        <v>20213000007933</v>
      </c>
      <c r="F310" s="479">
        <v>44256</v>
      </c>
      <c r="G310" s="478" t="s">
        <v>2565</v>
      </c>
      <c r="H310" s="212" t="s">
        <v>2566</v>
      </c>
      <c r="I310" s="212" t="s">
        <v>432</v>
      </c>
      <c r="J310" s="475">
        <v>138924000</v>
      </c>
      <c r="K310" s="212" t="s">
        <v>342</v>
      </c>
      <c r="L310" s="212" t="s">
        <v>343</v>
      </c>
      <c r="M310" s="212" t="s">
        <v>44</v>
      </c>
      <c r="N310" s="212" t="s">
        <v>45</v>
      </c>
      <c r="O310" s="212" t="s">
        <v>310</v>
      </c>
      <c r="P310" s="212" t="s">
        <v>676</v>
      </c>
      <c r="R310" s="212">
        <v>321</v>
      </c>
      <c r="S310" s="490">
        <v>44257</v>
      </c>
      <c r="T310" s="486" t="s">
        <v>3384</v>
      </c>
      <c r="U310" s="475">
        <v>138924000</v>
      </c>
      <c r="V310" s="406"/>
      <c r="W310" s="362"/>
      <c r="X310" s="483" t="s">
        <v>3385</v>
      </c>
      <c r="Y310" s="484">
        <v>44315</v>
      </c>
      <c r="Z310" s="484">
        <v>44315</v>
      </c>
      <c r="AA310" s="484">
        <v>44346</v>
      </c>
      <c r="AB310" s="485" t="s">
        <v>3031</v>
      </c>
      <c r="AC310" s="483" t="s">
        <v>3386</v>
      </c>
      <c r="AD310" s="485" t="s">
        <v>3387</v>
      </c>
      <c r="AE310" s="486" t="s">
        <v>3388</v>
      </c>
      <c r="AF310" s="473">
        <f>39760000+40952000+29106000+29106000</f>
        <v>138924000</v>
      </c>
      <c r="AG310" s="474">
        <f>+U310-AF310</f>
        <v>0</v>
      </c>
      <c r="AM310" s="306">
        <f>29106000+29106000+39760000+40952000</f>
        <v>138924000</v>
      </c>
    </row>
    <row r="311" spans="1:50" ht="15.75" hidden="1" customHeight="1" x14ac:dyDescent="0.25">
      <c r="B311" s="477" t="s">
        <v>97</v>
      </c>
      <c r="C311" s="515" t="s">
        <v>3389</v>
      </c>
      <c r="D311" s="478">
        <v>306</v>
      </c>
      <c r="E311" s="309">
        <v>20213000007953</v>
      </c>
      <c r="F311" s="479">
        <v>44256</v>
      </c>
      <c r="G311" s="478" t="s">
        <v>2565</v>
      </c>
      <c r="H311" s="212" t="s">
        <v>2566</v>
      </c>
      <c r="I311" s="212" t="s">
        <v>432</v>
      </c>
      <c r="J311" s="407">
        <v>32333000</v>
      </c>
      <c r="K311" s="212" t="s">
        <v>342</v>
      </c>
      <c r="L311" s="212" t="s">
        <v>343</v>
      </c>
      <c r="M311" s="212" t="s">
        <v>44</v>
      </c>
      <c r="N311" s="212" t="s">
        <v>45</v>
      </c>
      <c r="O311" s="212" t="s">
        <v>310</v>
      </c>
      <c r="P311" s="212" t="s">
        <v>676</v>
      </c>
      <c r="R311" s="212">
        <v>322</v>
      </c>
      <c r="S311" s="490">
        <v>44257</v>
      </c>
      <c r="T311" s="486" t="s">
        <v>3390</v>
      </c>
      <c r="U311" s="475">
        <v>32333000</v>
      </c>
      <c r="V311" s="406"/>
      <c r="W311" s="362"/>
      <c r="X311" s="483">
        <v>494</v>
      </c>
      <c r="Y311" s="484">
        <v>44312</v>
      </c>
      <c r="Z311" s="484">
        <v>44312</v>
      </c>
      <c r="AA311" s="484">
        <v>44346</v>
      </c>
      <c r="AB311" s="485" t="s">
        <v>3031</v>
      </c>
      <c r="AC311" s="483" t="s">
        <v>3391</v>
      </c>
      <c r="AD311" s="485" t="s">
        <v>3392</v>
      </c>
      <c r="AE311" s="486" t="s">
        <v>3393</v>
      </c>
      <c r="AF311" s="473">
        <f>15689000+16644000</f>
        <v>32333000</v>
      </c>
      <c r="AG311" s="474">
        <f>+U311-AF311</f>
        <v>0</v>
      </c>
      <c r="AL311" s="526">
        <v>32333000</v>
      </c>
      <c r="AM311" s="212"/>
    </row>
    <row r="312" spans="1:50" ht="15.75" hidden="1" customHeight="1" x14ac:dyDescent="0.25">
      <c r="B312" s="477" t="s">
        <v>97</v>
      </c>
      <c r="C312" s="515" t="s">
        <v>3394</v>
      </c>
      <c r="D312" s="478">
        <v>307</v>
      </c>
      <c r="E312" s="309">
        <v>20213000007983</v>
      </c>
      <c r="F312" s="479">
        <v>44256</v>
      </c>
      <c r="G312" s="478" t="s">
        <v>2565</v>
      </c>
      <c r="H312" s="212" t="s">
        <v>2566</v>
      </c>
      <c r="I312" s="212" t="s">
        <v>432</v>
      </c>
      <c r="J312" s="407">
        <v>30118000</v>
      </c>
      <c r="K312" s="212" t="s">
        <v>342</v>
      </c>
      <c r="L312" s="212" t="s">
        <v>343</v>
      </c>
      <c r="M312" s="212" t="s">
        <v>44</v>
      </c>
      <c r="N312" s="212" t="s">
        <v>45</v>
      </c>
      <c r="O312" s="212" t="s">
        <v>310</v>
      </c>
      <c r="P312" s="212" t="s">
        <v>676</v>
      </c>
      <c r="R312" s="212">
        <v>323</v>
      </c>
      <c r="S312" s="490">
        <v>44257</v>
      </c>
      <c r="T312" s="486" t="s">
        <v>3395</v>
      </c>
      <c r="U312" s="475">
        <v>30118000</v>
      </c>
      <c r="V312" s="406"/>
      <c r="W312" s="362"/>
      <c r="X312" s="483" t="s">
        <v>3396</v>
      </c>
      <c r="Y312" s="484">
        <v>44315</v>
      </c>
      <c r="Z312" s="484">
        <v>44315</v>
      </c>
      <c r="AA312" s="484">
        <v>44346</v>
      </c>
      <c r="AB312" s="485" t="s">
        <v>3031</v>
      </c>
      <c r="AC312" s="483" t="s">
        <v>3397</v>
      </c>
      <c r="AD312" s="485" t="s">
        <v>3387</v>
      </c>
      <c r="AE312" s="486" t="s">
        <v>3388</v>
      </c>
      <c r="AF312" s="473">
        <f>19815000+10303000</f>
        <v>30118000</v>
      </c>
      <c r="AG312" s="474">
        <f>+U312-AF312</f>
        <v>0</v>
      </c>
      <c r="AL312" s="475">
        <v>30118000</v>
      </c>
      <c r="AM312" s="212"/>
    </row>
    <row r="313" spans="1:50" ht="15" hidden="1" customHeight="1" x14ac:dyDescent="0.25">
      <c r="B313" s="477" t="s">
        <v>97</v>
      </c>
      <c r="C313" s="527" t="s">
        <v>3398</v>
      </c>
      <c r="D313" s="478">
        <v>308</v>
      </c>
      <c r="E313" s="309">
        <v>20213000007993</v>
      </c>
      <c r="F313" s="479">
        <v>44256</v>
      </c>
      <c r="G313" s="478" t="s">
        <v>2565</v>
      </c>
      <c r="H313" s="212" t="s">
        <v>2566</v>
      </c>
      <c r="I313" s="212" t="s">
        <v>432</v>
      </c>
      <c r="J313" s="407">
        <v>42874000</v>
      </c>
      <c r="K313" s="212" t="s">
        <v>342</v>
      </c>
      <c r="L313" s="212" t="s">
        <v>343</v>
      </c>
      <c r="M313" s="212" t="s">
        <v>44</v>
      </c>
      <c r="N313" s="212" t="s">
        <v>45</v>
      </c>
      <c r="O313" s="212" t="s">
        <v>310</v>
      </c>
      <c r="P313" s="212" t="s">
        <v>676</v>
      </c>
      <c r="R313" s="212">
        <v>324</v>
      </c>
      <c r="S313" s="490">
        <v>44257</v>
      </c>
      <c r="T313" s="486" t="s">
        <v>3399</v>
      </c>
      <c r="U313" s="475">
        <v>42874000</v>
      </c>
      <c r="V313" s="406"/>
      <c r="X313" s="483" t="s">
        <v>3400</v>
      </c>
      <c r="Y313" s="490">
        <v>44376</v>
      </c>
      <c r="Z313" s="484">
        <v>44376</v>
      </c>
      <c r="AA313" s="490">
        <v>44407</v>
      </c>
      <c r="AB313" s="486" t="s">
        <v>3031</v>
      </c>
      <c r="AC313" s="483" t="s">
        <v>3391</v>
      </c>
      <c r="AD313" s="486" t="s">
        <v>3392</v>
      </c>
      <c r="AE313" s="486" t="s">
        <v>3401</v>
      </c>
      <c r="AF313" s="692">
        <v>42874000</v>
      </c>
      <c r="AG313" s="474">
        <f>+U313-AF313</f>
        <v>0</v>
      </c>
      <c r="AM313" s="212"/>
    </row>
    <row r="314" spans="1:50" ht="15.75" hidden="1" customHeight="1" x14ac:dyDescent="0.25">
      <c r="A314" s="476" t="s">
        <v>3402</v>
      </c>
      <c r="B314" s="477">
        <v>301405000</v>
      </c>
      <c r="C314" s="515" t="s">
        <v>2108</v>
      </c>
      <c r="D314" s="478">
        <v>309</v>
      </c>
      <c r="E314" s="309">
        <v>20215000011503</v>
      </c>
      <c r="F314" s="479">
        <v>44258</v>
      </c>
      <c r="G314" s="478" t="s">
        <v>2565</v>
      </c>
      <c r="H314" s="212" t="s">
        <v>2566</v>
      </c>
      <c r="I314" s="212" t="s">
        <v>228</v>
      </c>
      <c r="J314" s="480">
        <v>301405000</v>
      </c>
      <c r="K314" s="212" t="s">
        <v>223</v>
      </c>
      <c r="L314" s="212" t="s">
        <v>269</v>
      </c>
      <c r="M314" s="212" t="s">
        <v>44</v>
      </c>
      <c r="N314" s="212" t="s">
        <v>2861</v>
      </c>
      <c r="O314" s="212" t="s">
        <v>255</v>
      </c>
      <c r="P314" s="212" t="s">
        <v>676</v>
      </c>
      <c r="R314" s="212">
        <v>328</v>
      </c>
      <c r="S314" s="490">
        <v>44258</v>
      </c>
      <c r="T314" s="486" t="s">
        <v>3403</v>
      </c>
      <c r="U314" s="475">
        <v>301405000</v>
      </c>
      <c r="V314" s="406"/>
      <c r="W314" s="362"/>
      <c r="AM314" s="212"/>
    </row>
    <row r="315" spans="1:50" ht="15.75" hidden="1" customHeight="1" x14ac:dyDescent="0.25">
      <c r="B315" s="501" t="s">
        <v>2941</v>
      </c>
      <c r="C315" s="212" t="s">
        <v>3404</v>
      </c>
      <c r="D315" s="478">
        <v>310</v>
      </c>
      <c r="E315" s="478">
        <v>20214000007803</v>
      </c>
      <c r="F315" s="479">
        <v>44239</v>
      </c>
      <c r="G315" s="478" t="s">
        <v>2605</v>
      </c>
      <c r="H315" s="212" t="s">
        <v>2606</v>
      </c>
      <c r="I315" s="212" t="s">
        <v>47</v>
      </c>
      <c r="J315" s="480">
        <v>19649997</v>
      </c>
      <c r="K315" s="212" t="s">
        <v>37</v>
      </c>
      <c r="L315" s="515" t="s">
        <v>3105</v>
      </c>
      <c r="M315" s="212" t="s">
        <v>44</v>
      </c>
      <c r="N315" s="212" t="s">
        <v>45</v>
      </c>
      <c r="O315" s="212" t="s">
        <v>310</v>
      </c>
      <c r="P315" s="212" t="s">
        <v>43</v>
      </c>
      <c r="R315" s="212">
        <v>237</v>
      </c>
      <c r="S315" s="479">
        <v>44242</v>
      </c>
      <c r="T315" s="212" t="s">
        <v>3405</v>
      </c>
      <c r="U315" s="489">
        <v>19649997</v>
      </c>
      <c r="V315" s="406"/>
      <c r="W315" s="399"/>
      <c r="X315" s="483" t="s">
        <v>3406</v>
      </c>
      <c r="Y315" s="484">
        <v>44273</v>
      </c>
      <c r="Z315" s="484">
        <v>44274</v>
      </c>
      <c r="AA315" s="484">
        <v>44304</v>
      </c>
      <c r="AB315" s="485" t="s">
        <v>2595</v>
      </c>
      <c r="AC315" s="483" t="s">
        <v>3407</v>
      </c>
      <c r="AD315" s="485" t="s">
        <v>3408</v>
      </c>
      <c r="AE315" s="486" t="s">
        <v>3409</v>
      </c>
      <c r="AF315" s="488">
        <v>19649997</v>
      </c>
      <c r="AG315" s="474">
        <f>+U315-AF315</f>
        <v>0</v>
      </c>
      <c r="AH315" s="480"/>
      <c r="AM315" s="212"/>
    </row>
    <row r="316" spans="1:50" ht="15" hidden="1" customHeight="1" x14ac:dyDescent="0.25">
      <c r="B316" s="501"/>
      <c r="C316" s="519" t="s">
        <v>3410</v>
      </c>
      <c r="D316" s="478">
        <v>311</v>
      </c>
      <c r="E316" s="478">
        <v>20212000012553</v>
      </c>
      <c r="F316" s="479">
        <v>44263</v>
      </c>
      <c r="G316" s="478" t="s">
        <v>2565</v>
      </c>
      <c r="H316" s="212" t="s">
        <v>2566</v>
      </c>
      <c r="I316" s="212" t="s">
        <v>391</v>
      </c>
      <c r="J316" s="475">
        <v>4686499723</v>
      </c>
      <c r="K316" s="212" t="s">
        <v>426</v>
      </c>
      <c r="L316" s="212" t="s">
        <v>427</v>
      </c>
      <c r="M316" s="212" t="s">
        <v>44</v>
      </c>
      <c r="N316" s="212" t="s">
        <v>45</v>
      </c>
      <c r="O316" s="212" t="s">
        <v>63</v>
      </c>
      <c r="P316" s="212" t="s">
        <v>676</v>
      </c>
      <c r="R316" s="212">
        <v>339</v>
      </c>
      <c r="S316" s="490">
        <v>44263</v>
      </c>
      <c r="T316" s="486" t="s">
        <v>3411</v>
      </c>
      <c r="U316" s="475">
        <v>4686499723</v>
      </c>
      <c r="V316" s="480"/>
      <c r="W316" s="520"/>
      <c r="X316" s="483" t="s">
        <v>3412</v>
      </c>
      <c r="Y316" s="484">
        <v>44274</v>
      </c>
      <c r="Z316" s="484">
        <v>44274</v>
      </c>
      <c r="AA316" s="484">
        <v>44423</v>
      </c>
      <c r="AB316" s="485" t="s">
        <v>3264</v>
      </c>
      <c r="AC316" s="483" t="s">
        <v>3412</v>
      </c>
      <c r="AD316" s="485" t="s">
        <v>3413</v>
      </c>
      <c r="AE316" s="486" t="s">
        <v>3414</v>
      </c>
      <c r="AF316" s="473">
        <v>4686499723</v>
      </c>
      <c r="AM316" s="212"/>
    </row>
    <row r="317" spans="1:50" ht="15" hidden="1" customHeight="1" x14ac:dyDescent="0.25">
      <c r="A317" s="476" t="s">
        <v>2339</v>
      </c>
      <c r="B317" s="477">
        <v>79314319</v>
      </c>
      <c r="C317" s="212" t="s">
        <v>2571</v>
      </c>
      <c r="D317" s="478">
        <v>312</v>
      </c>
      <c r="E317" s="309">
        <v>20217000011923</v>
      </c>
      <c r="F317" s="479">
        <v>44258</v>
      </c>
      <c r="G317" s="478" t="s">
        <v>2572</v>
      </c>
      <c r="H317" s="212" t="s">
        <v>2573</v>
      </c>
      <c r="I317" s="212" t="s">
        <v>164</v>
      </c>
      <c r="J317" s="475">
        <v>52876212</v>
      </c>
      <c r="K317" s="212" t="s">
        <v>138</v>
      </c>
      <c r="L317" s="212" t="s">
        <v>139</v>
      </c>
      <c r="M317" s="212" t="s">
        <v>44</v>
      </c>
      <c r="N317" s="212" t="s">
        <v>45</v>
      </c>
      <c r="O317" s="212" t="s">
        <v>142</v>
      </c>
      <c r="P317" s="212" t="s">
        <v>43</v>
      </c>
      <c r="R317" s="212">
        <v>329</v>
      </c>
      <c r="S317" s="490">
        <v>44258</v>
      </c>
      <c r="T317" s="486" t="s">
        <v>3415</v>
      </c>
      <c r="U317" s="475">
        <v>52876212</v>
      </c>
      <c r="V317" s="406"/>
      <c r="W317" s="362"/>
      <c r="X317" s="483" t="s">
        <v>2871</v>
      </c>
      <c r="Y317" s="484">
        <v>44285</v>
      </c>
      <c r="Z317" s="484">
        <v>44285</v>
      </c>
      <c r="AA317" s="484">
        <v>44469</v>
      </c>
      <c r="AB317" s="485" t="s">
        <v>2575</v>
      </c>
      <c r="AC317" s="483" t="s">
        <v>3416</v>
      </c>
      <c r="AD317" s="485" t="s">
        <v>3417</v>
      </c>
      <c r="AE317" s="486" t="s">
        <v>2628</v>
      </c>
      <c r="AF317" s="473">
        <v>52876212</v>
      </c>
      <c r="AL317" s="475">
        <v>9106459</v>
      </c>
      <c r="AM317" s="306">
        <v>8812702</v>
      </c>
    </row>
    <row r="318" spans="1:50" ht="15.75" hidden="1" customHeight="1" x14ac:dyDescent="0.25">
      <c r="B318" s="501" t="s">
        <v>2608</v>
      </c>
      <c r="C318" s="518" t="s">
        <v>3224</v>
      </c>
      <c r="D318" s="212">
        <v>313</v>
      </c>
      <c r="E318" s="309">
        <v>20215000009113</v>
      </c>
      <c r="F318" s="310">
        <v>44250</v>
      </c>
      <c r="G318" s="309" t="s">
        <v>2565</v>
      </c>
      <c r="H318" s="210" t="s">
        <v>2566</v>
      </c>
      <c r="I318" s="210" t="s">
        <v>228</v>
      </c>
      <c r="J318" s="407">
        <v>114229680</v>
      </c>
      <c r="K318" s="212" t="s">
        <v>223</v>
      </c>
      <c r="L318" s="212" t="s">
        <v>224</v>
      </c>
      <c r="M318" s="210" t="s">
        <v>44</v>
      </c>
      <c r="N318" s="210" t="s">
        <v>45</v>
      </c>
      <c r="O318" s="210" t="s">
        <v>265</v>
      </c>
      <c r="P318" s="210" t="s">
        <v>676</v>
      </c>
      <c r="Q318" s="210"/>
      <c r="R318" s="486">
        <v>282</v>
      </c>
      <c r="S318" s="490">
        <v>44250</v>
      </c>
      <c r="T318" s="486" t="s">
        <v>3418</v>
      </c>
      <c r="U318" s="475">
        <v>114229680</v>
      </c>
      <c r="V318" s="406"/>
      <c r="W318" s="362"/>
      <c r="X318" s="483" t="s">
        <v>3351</v>
      </c>
      <c r="Y318" s="484">
        <v>44274</v>
      </c>
      <c r="Z318" s="484">
        <v>44268</v>
      </c>
      <c r="AA318" s="484">
        <v>44362</v>
      </c>
      <c r="AB318" s="485" t="s">
        <v>2575</v>
      </c>
      <c r="AC318" s="483" t="s">
        <v>3152</v>
      </c>
      <c r="AD318" s="485" t="s">
        <v>3419</v>
      </c>
      <c r="AE318" s="486" t="s">
        <v>3420</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x14ac:dyDescent="0.25">
      <c r="A319" s="476" t="s">
        <v>2301</v>
      </c>
      <c r="B319" s="477">
        <v>65413872</v>
      </c>
      <c r="C319" s="212" t="s">
        <v>2571</v>
      </c>
      <c r="D319" s="478">
        <v>314</v>
      </c>
      <c r="E319" s="309">
        <v>20217000012233</v>
      </c>
      <c r="F319" s="479">
        <v>44259</v>
      </c>
      <c r="G319" s="478" t="s">
        <v>2572</v>
      </c>
      <c r="H319" s="212" t="s">
        <v>2573</v>
      </c>
      <c r="I319" s="212" t="s">
        <v>164</v>
      </c>
      <c r="J319" s="475">
        <v>50877456</v>
      </c>
      <c r="K319" s="212" t="s">
        <v>138</v>
      </c>
      <c r="L319" s="212" t="s">
        <v>139</v>
      </c>
      <c r="M319" s="212" t="s">
        <v>44</v>
      </c>
      <c r="N319" s="212" t="s">
        <v>45</v>
      </c>
      <c r="O319" s="212" t="s">
        <v>142</v>
      </c>
      <c r="P319" s="212" t="s">
        <v>43</v>
      </c>
      <c r="R319" s="212">
        <v>331</v>
      </c>
      <c r="S319" s="490">
        <v>44259</v>
      </c>
      <c r="T319" s="486" t="s">
        <v>3421</v>
      </c>
      <c r="U319" s="475">
        <v>50877456</v>
      </c>
      <c r="V319" s="406"/>
      <c r="W319" s="362"/>
      <c r="X319" s="483" t="s">
        <v>3422</v>
      </c>
      <c r="Y319" s="484">
        <v>44286</v>
      </c>
      <c r="Z319" s="484">
        <v>44286</v>
      </c>
      <c r="AA319" s="484">
        <v>44500</v>
      </c>
      <c r="AB319" s="485" t="s">
        <v>2575</v>
      </c>
      <c r="AC319" s="483" t="s">
        <v>3423</v>
      </c>
      <c r="AD319" s="485" t="s">
        <v>3424</v>
      </c>
      <c r="AE319" s="486" t="s">
        <v>3425</v>
      </c>
      <c r="AF319" s="473">
        <v>50877456</v>
      </c>
      <c r="AL319" s="475">
        <v>6299114</v>
      </c>
      <c r="AM319" s="306">
        <v>7268208</v>
      </c>
    </row>
    <row r="320" spans="1:50" s="312" customFormat="1" ht="15.75" hidden="1" customHeight="1" x14ac:dyDescent="0.25">
      <c r="A320" s="361" t="s">
        <v>2153</v>
      </c>
      <c r="B320" s="417" t="s">
        <v>3426</v>
      </c>
      <c r="C320" s="312" t="s">
        <v>3427</v>
      </c>
      <c r="D320" s="325">
        <v>315</v>
      </c>
      <c r="E320" s="325">
        <v>20214000011953</v>
      </c>
      <c r="F320" s="315">
        <v>44260</v>
      </c>
      <c r="G320" s="325" t="s">
        <v>2605</v>
      </c>
      <c r="H320" s="312" t="s">
        <v>2606</v>
      </c>
      <c r="I320" s="312" t="s">
        <v>47</v>
      </c>
      <c r="J320" s="406">
        <v>281078765</v>
      </c>
      <c r="K320" s="312" t="s">
        <v>37</v>
      </c>
      <c r="L320" s="510" t="s">
        <v>3105</v>
      </c>
      <c r="M320" s="312" t="s">
        <v>44</v>
      </c>
      <c r="N320" s="312" t="s">
        <v>45</v>
      </c>
      <c r="O320" s="212" t="s">
        <v>310</v>
      </c>
      <c r="P320" s="312" t="s">
        <v>84</v>
      </c>
      <c r="R320" s="312">
        <v>344</v>
      </c>
      <c r="S320" s="363">
        <v>44263</v>
      </c>
      <c r="T320" s="360" t="s">
        <v>3428</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x14ac:dyDescent="0.25">
      <c r="A321" s="476" t="s">
        <v>2210</v>
      </c>
      <c r="B321" s="477">
        <v>51408000</v>
      </c>
      <c r="C321" s="212" t="s">
        <v>2571</v>
      </c>
      <c r="D321" s="478">
        <v>316</v>
      </c>
      <c r="E321" s="309">
        <v>20212000012393</v>
      </c>
      <c r="F321" s="479">
        <v>44263</v>
      </c>
      <c r="G321" s="478" t="s">
        <v>2565</v>
      </c>
      <c r="H321" s="212" t="s">
        <v>2566</v>
      </c>
      <c r="I321" s="212" t="s">
        <v>391</v>
      </c>
      <c r="J321" s="475">
        <v>45900000</v>
      </c>
      <c r="K321" s="212" t="s">
        <v>396</v>
      </c>
      <c r="L321" s="212" t="s">
        <v>397</v>
      </c>
      <c r="M321" s="212" t="s">
        <v>44</v>
      </c>
      <c r="N321" s="212" t="s">
        <v>45</v>
      </c>
      <c r="O321" s="212" t="s">
        <v>63</v>
      </c>
      <c r="P321" s="212" t="s">
        <v>676</v>
      </c>
      <c r="R321" s="212">
        <v>335</v>
      </c>
      <c r="S321" s="490">
        <v>44263</v>
      </c>
      <c r="T321" s="486" t="s">
        <v>3429</v>
      </c>
      <c r="U321" s="475">
        <v>45900000</v>
      </c>
      <c r="V321" s="406"/>
      <c r="W321" s="362"/>
      <c r="X321" s="483" t="s">
        <v>3430</v>
      </c>
      <c r="Y321" s="484">
        <v>44319</v>
      </c>
      <c r="Z321" s="484">
        <v>44319</v>
      </c>
      <c r="AA321" s="484">
        <v>44471</v>
      </c>
      <c r="AB321" s="486" t="s">
        <v>2575</v>
      </c>
      <c r="AC321" s="483" t="s">
        <v>3350</v>
      </c>
      <c r="AD321" s="486" t="s">
        <v>3431</v>
      </c>
      <c r="AE321" s="486" t="s">
        <v>3432</v>
      </c>
      <c r="AF321" s="473">
        <v>22950000</v>
      </c>
      <c r="AM321" s="306">
        <v>3978000</v>
      </c>
    </row>
    <row r="322" spans="1:50" ht="15" hidden="1" customHeight="1" x14ac:dyDescent="0.25">
      <c r="A322" s="466" t="s">
        <v>2211</v>
      </c>
      <c r="B322" s="467">
        <v>62832000</v>
      </c>
      <c r="C322" s="212" t="s">
        <v>2571</v>
      </c>
      <c r="D322" s="469">
        <v>317</v>
      </c>
      <c r="E322" s="469">
        <v>20212000012403</v>
      </c>
      <c r="F322" s="470">
        <v>44263</v>
      </c>
      <c r="G322" s="469" t="s">
        <v>2565</v>
      </c>
      <c r="H322" s="468" t="s">
        <v>2566</v>
      </c>
      <c r="I322" s="468" t="s">
        <v>391</v>
      </c>
      <c r="J322" s="471">
        <v>28050000</v>
      </c>
      <c r="K322" s="468" t="s">
        <v>396</v>
      </c>
      <c r="L322" s="468" t="s">
        <v>397</v>
      </c>
      <c r="M322" s="468" t="s">
        <v>44</v>
      </c>
      <c r="N322" s="468" t="s">
        <v>45</v>
      </c>
      <c r="O322" s="468" t="s">
        <v>63</v>
      </c>
      <c r="P322" s="212" t="s">
        <v>676</v>
      </c>
      <c r="Q322" s="468"/>
      <c r="R322" s="468">
        <v>336</v>
      </c>
      <c r="S322" s="528">
        <v>44263</v>
      </c>
      <c r="T322" s="529" t="s">
        <v>3433</v>
      </c>
      <c r="U322" s="471">
        <v>28050000</v>
      </c>
      <c r="V322" s="414"/>
      <c r="W322" s="379"/>
      <c r="X322" s="483" t="s">
        <v>3434</v>
      </c>
      <c r="Y322" s="484">
        <v>44285</v>
      </c>
      <c r="Z322" s="484">
        <v>44285</v>
      </c>
      <c r="AA322" s="484">
        <v>44438</v>
      </c>
      <c r="AB322" s="485" t="s">
        <v>2575</v>
      </c>
      <c r="AC322" s="483" t="s">
        <v>3435</v>
      </c>
      <c r="AD322" s="485" t="s">
        <v>3436</v>
      </c>
      <c r="AE322" s="486" t="s">
        <v>3437</v>
      </c>
      <c r="AF322" s="473">
        <v>28050000</v>
      </c>
      <c r="AI322" s="471"/>
      <c r="AJ322" s="471"/>
      <c r="AK322" s="471"/>
      <c r="AL322" s="471">
        <v>5797000</v>
      </c>
      <c r="AM322" s="306">
        <v>5610000</v>
      </c>
    </row>
    <row r="323" spans="1:50" ht="15" hidden="1" customHeight="1" x14ac:dyDescent="0.25">
      <c r="A323" s="476" t="s">
        <v>1823</v>
      </c>
      <c r="B323" s="477">
        <v>40290000</v>
      </c>
      <c r="C323" s="212" t="s">
        <v>2571</v>
      </c>
      <c r="D323" s="478">
        <v>318</v>
      </c>
      <c r="E323" s="478">
        <v>20212000012413</v>
      </c>
      <c r="F323" s="479">
        <v>44263</v>
      </c>
      <c r="G323" s="478" t="s">
        <v>2565</v>
      </c>
      <c r="H323" s="212" t="s">
        <v>2566</v>
      </c>
      <c r="I323" s="212" t="s">
        <v>391</v>
      </c>
      <c r="J323" s="475">
        <v>38836000</v>
      </c>
      <c r="K323" s="210" t="s">
        <v>2636</v>
      </c>
      <c r="L323" s="212" t="s">
        <v>2637</v>
      </c>
      <c r="M323" s="212" t="s">
        <v>44</v>
      </c>
      <c r="N323" s="212" t="s">
        <v>45</v>
      </c>
      <c r="O323" s="212" t="s">
        <v>63</v>
      </c>
      <c r="P323" s="212" t="s">
        <v>676</v>
      </c>
      <c r="R323" s="212">
        <v>337</v>
      </c>
      <c r="S323" s="490">
        <v>44263</v>
      </c>
      <c r="T323" s="486" t="s">
        <v>3438</v>
      </c>
      <c r="U323" s="475">
        <v>38836000</v>
      </c>
      <c r="V323" s="406"/>
      <c r="W323" s="362"/>
      <c r="X323" s="483" t="s">
        <v>3439</v>
      </c>
      <c r="Y323" s="484">
        <v>44299</v>
      </c>
      <c r="Z323" s="484">
        <v>44299</v>
      </c>
      <c r="AA323" s="484">
        <v>44561</v>
      </c>
      <c r="AB323" s="485" t="s">
        <v>2575</v>
      </c>
      <c r="AC323" s="483" t="s">
        <v>3440</v>
      </c>
      <c r="AD323" s="485" t="s">
        <v>3441</v>
      </c>
      <c r="AE323" s="486" t="s">
        <v>3442</v>
      </c>
      <c r="AF323" s="473">
        <v>34748000</v>
      </c>
      <c r="AL323" s="475">
        <v>2589066</v>
      </c>
      <c r="AM323" s="306">
        <v>4088000</v>
      </c>
    </row>
    <row r="324" spans="1:50" ht="15" hidden="1" customHeight="1" x14ac:dyDescent="0.25">
      <c r="A324" s="476" t="s">
        <v>1756</v>
      </c>
      <c r="B324" s="477">
        <v>46400000</v>
      </c>
      <c r="C324" s="212" t="s">
        <v>2571</v>
      </c>
      <c r="D324" s="478">
        <v>319</v>
      </c>
      <c r="E324" s="478">
        <v>20213000012263</v>
      </c>
      <c r="F324" s="479">
        <v>44263</v>
      </c>
      <c r="G324" s="478" t="s">
        <v>2565</v>
      </c>
      <c r="H324" s="212" t="s">
        <v>2566</v>
      </c>
      <c r="I324" s="212" t="s">
        <v>432</v>
      </c>
      <c r="J324" s="475">
        <v>46400000</v>
      </c>
      <c r="K324" s="212" t="s">
        <v>342</v>
      </c>
      <c r="L324" s="212" t="s">
        <v>351</v>
      </c>
      <c r="M324" s="212" t="s">
        <v>44</v>
      </c>
      <c r="N324" s="212" t="s">
        <v>45</v>
      </c>
      <c r="O324" s="212" t="s">
        <v>63</v>
      </c>
      <c r="P324" s="212" t="s">
        <v>676</v>
      </c>
      <c r="R324" s="212">
        <v>334</v>
      </c>
      <c r="S324" s="490">
        <v>44263</v>
      </c>
      <c r="T324" s="486" t="s">
        <v>3443</v>
      </c>
      <c r="U324" s="475">
        <f>46400000-6424856</f>
        <v>39975144</v>
      </c>
      <c r="V324" s="411">
        <v>6424856</v>
      </c>
      <c r="W324" s="397"/>
      <c r="X324" s="483" t="s">
        <v>3444</v>
      </c>
      <c r="Y324" s="484">
        <v>44285</v>
      </c>
      <c r="Z324" s="484">
        <v>44285</v>
      </c>
      <c r="AA324" s="484">
        <v>44530</v>
      </c>
      <c r="AB324" s="485" t="s">
        <v>2575</v>
      </c>
      <c r="AC324" s="483" t="s">
        <v>3445</v>
      </c>
      <c r="AD324" s="485" t="s">
        <v>3446</v>
      </c>
      <c r="AE324" s="486" t="s">
        <v>2724</v>
      </c>
      <c r="AF324" s="473">
        <v>39975144</v>
      </c>
      <c r="AL324" s="475">
        <v>4996893</v>
      </c>
      <c r="AM324" s="306">
        <v>4996893</v>
      </c>
    </row>
    <row r="325" spans="1:50" ht="16.5" hidden="1" customHeight="1" x14ac:dyDescent="0.3">
      <c r="C325" s="519" t="s">
        <v>3447</v>
      </c>
      <c r="D325" s="478">
        <v>320</v>
      </c>
      <c r="E325" s="478">
        <v>20212000012523</v>
      </c>
      <c r="F325" s="479">
        <v>44263</v>
      </c>
      <c r="G325" s="478" t="s">
        <v>2565</v>
      </c>
      <c r="H325" s="212" t="s">
        <v>2566</v>
      </c>
      <c r="I325" s="212" t="s">
        <v>391</v>
      </c>
      <c r="J325" s="475">
        <v>966711398</v>
      </c>
      <c r="K325" s="212" t="s">
        <v>426</v>
      </c>
      <c r="L325" s="212" t="s">
        <v>427</v>
      </c>
      <c r="M325" s="212" t="s">
        <v>44</v>
      </c>
      <c r="N325" s="212" t="s">
        <v>45</v>
      </c>
      <c r="O325" s="212" t="s">
        <v>63</v>
      </c>
      <c r="P325" s="212" t="s">
        <v>676</v>
      </c>
      <c r="R325" s="212">
        <v>338</v>
      </c>
      <c r="S325" s="490">
        <v>44263</v>
      </c>
      <c r="T325" s="486" t="s">
        <v>3448</v>
      </c>
      <c r="U325" s="475">
        <v>966711398</v>
      </c>
      <c r="V325" s="480"/>
      <c r="W325" s="520"/>
      <c r="X325" s="483" t="s">
        <v>3449</v>
      </c>
      <c r="Y325" s="484">
        <v>44295</v>
      </c>
      <c r="Z325" s="484">
        <v>44295</v>
      </c>
      <c r="AA325" s="484">
        <v>44423</v>
      </c>
      <c r="AB325" s="485" t="s">
        <v>3264</v>
      </c>
      <c r="AC325" s="483" t="s">
        <v>3360</v>
      </c>
      <c r="AD325" s="485" t="s">
        <v>3450</v>
      </c>
      <c r="AE325" s="486" t="s">
        <v>2618</v>
      </c>
      <c r="AF325" s="473">
        <v>966711398</v>
      </c>
      <c r="AM325" s="212"/>
    </row>
    <row r="326" spans="1:50" ht="15" hidden="1" customHeight="1" x14ac:dyDescent="0.25">
      <c r="A326" s="476" t="s">
        <v>1878</v>
      </c>
      <c r="B326" s="477">
        <v>69750000</v>
      </c>
      <c r="C326" s="212" t="s">
        <v>2571</v>
      </c>
      <c r="D326" s="478">
        <v>321</v>
      </c>
      <c r="E326" s="478">
        <v>20216000013623</v>
      </c>
      <c r="F326" s="310">
        <v>44265</v>
      </c>
      <c r="G326" s="478" t="s">
        <v>2572</v>
      </c>
      <c r="H326" s="212" t="s">
        <v>2573</v>
      </c>
      <c r="I326" s="212" t="s">
        <v>214</v>
      </c>
      <c r="J326" s="475">
        <v>69750000</v>
      </c>
      <c r="K326" s="212" t="s">
        <v>138</v>
      </c>
      <c r="L326" s="212" t="s">
        <v>139</v>
      </c>
      <c r="M326" s="212" t="s">
        <v>44</v>
      </c>
      <c r="N326" s="212" t="s">
        <v>45</v>
      </c>
      <c r="O326" s="212" t="s">
        <v>142</v>
      </c>
      <c r="P326" s="212" t="s">
        <v>43</v>
      </c>
      <c r="R326" s="212">
        <v>380</v>
      </c>
      <c r="S326" s="490">
        <v>44266</v>
      </c>
      <c r="T326" s="486" t="s">
        <v>3451</v>
      </c>
      <c r="U326" s="475">
        <v>69750000</v>
      </c>
      <c r="V326" s="406"/>
      <c r="W326" s="362"/>
      <c r="X326" s="483" t="s">
        <v>3265</v>
      </c>
      <c r="Y326" s="484">
        <v>44274</v>
      </c>
      <c r="Z326" s="484">
        <v>44274</v>
      </c>
      <c r="AA326" s="484">
        <v>44549</v>
      </c>
      <c r="AB326" s="485" t="s">
        <v>2575</v>
      </c>
      <c r="AC326" s="483" t="s">
        <v>3452</v>
      </c>
      <c r="AD326" s="485" t="s">
        <v>3453</v>
      </c>
      <c r="AE326" s="486" t="s">
        <v>3454</v>
      </c>
      <c r="AF326" s="473">
        <v>69750000</v>
      </c>
      <c r="AK326" s="475">
        <v>3100000</v>
      </c>
      <c r="AL326" s="475">
        <v>7750000</v>
      </c>
      <c r="AM326" s="306">
        <v>7750000</v>
      </c>
    </row>
    <row r="327" spans="1:50" ht="15.75" hidden="1" customHeight="1" x14ac:dyDescent="0.25">
      <c r="C327" s="519" t="s">
        <v>3455</v>
      </c>
      <c r="D327" s="478">
        <v>322</v>
      </c>
      <c r="E327" s="478">
        <v>20212000012573</v>
      </c>
      <c r="F327" s="479">
        <v>44263</v>
      </c>
      <c r="G327" s="478" t="s">
        <v>2565</v>
      </c>
      <c r="H327" s="212" t="s">
        <v>2566</v>
      </c>
      <c r="I327" s="212" t="s">
        <v>391</v>
      </c>
      <c r="J327" s="475">
        <v>1838152627</v>
      </c>
      <c r="K327" s="212" t="s">
        <v>426</v>
      </c>
      <c r="L327" s="212" t="s">
        <v>427</v>
      </c>
      <c r="M327" s="212" t="s">
        <v>44</v>
      </c>
      <c r="N327" s="212" t="s">
        <v>45</v>
      </c>
      <c r="O327" s="212" t="s">
        <v>63</v>
      </c>
      <c r="P327" s="212" t="s">
        <v>676</v>
      </c>
      <c r="R327" s="212">
        <v>340</v>
      </c>
      <c r="S327" s="490">
        <v>44263</v>
      </c>
      <c r="T327" s="486" t="s">
        <v>3456</v>
      </c>
      <c r="U327" s="475">
        <v>1838152627</v>
      </c>
      <c r="V327" s="480"/>
      <c r="W327" s="520"/>
      <c r="X327" s="483" t="s">
        <v>3457</v>
      </c>
      <c r="Y327" s="484">
        <v>44292</v>
      </c>
      <c r="Z327" s="484">
        <v>44292</v>
      </c>
      <c r="AA327" s="484">
        <v>44423</v>
      </c>
      <c r="AB327" s="485" t="s">
        <v>3264</v>
      </c>
      <c r="AC327" s="483" t="s">
        <v>3351</v>
      </c>
      <c r="AD327" s="485" t="s">
        <v>3458</v>
      </c>
      <c r="AE327" s="486" t="s">
        <v>3459</v>
      </c>
      <c r="AF327" s="473">
        <v>1838152627</v>
      </c>
      <c r="AM327" s="212"/>
    </row>
    <row r="328" spans="1:50" ht="15" hidden="1" customHeight="1" x14ac:dyDescent="0.25">
      <c r="A328" s="476" t="s">
        <v>2133</v>
      </c>
      <c r="B328" s="477">
        <v>28619969</v>
      </c>
      <c r="C328" s="212" t="s">
        <v>2571</v>
      </c>
      <c r="D328" s="478">
        <v>323</v>
      </c>
      <c r="E328" s="478">
        <v>20211300013743</v>
      </c>
      <c r="F328" s="310">
        <v>44265</v>
      </c>
      <c r="G328" s="478" t="s">
        <v>2572</v>
      </c>
      <c r="H328" s="212" t="s">
        <v>2573</v>
      </c>
      <c r="I328" s="212" t="s">
        <v>210</v>
      </c>
      <c r="J328" s="475">
        <v>16353468</v>
      </c>
      <c r="K328" s="212" t="s">
        <v>138</v>
      </c>
      <c r="L328" s="212" t="s">
        <v>139</v>
      </c>
      <c r="M328" s="212" t="s">
        <v>44</v>
      </c>
      <c r="N328" s="212" t="s">
        <v>45</v>
      </c>
      <c r="O328" s="212" t="s">
        <v>142</v>
      </c>
      <c r="P328" s="212" t="s">
        <v>43</v>
      </c>
      <c r="R328" s="212">
        <v>386</v>
      </c>
      <c r="S328" s="490">
        <v>44266</v>
      </c>
      <c r="T328" s="486" t="s">
        <v>3460</v>
      </c>
      <c r="U328" s="475">
        <v>16353468</v>
      </c>
      <c r="V328" s="406"/>
      <c r="W328" s="362"/>
      <c r="X328" s="483" t="s">
        <v>2658</v>
      </c>
      <c r="Y328" s="484">
        <v>44274</v>
      </c>
      <c r="Z328" s="484">
        <v>44274</v>
      </c>
      <c r="AA328" s="484">
        <v>44396</v>
      </c>
      <c r="AB328" s="485" t="s">
        <v>2575</v>
      </c>
      <c r="AC328" s="483" t="s">
        <v>3461</v>
      </c>
      <c r="AD328" s="485" t="s">
        <v>3462</v>
      </c>
      <c r="AE328" s="486" t="s">
        <v>3463</v>
      </c>
      <c r="AF328" s="473">
        <v>16353468</v>
      </c>
      <c r="AK328" s="475">
        <v>1090231</v>
      </c>
      <c r="AL328" s="475">
        <v>4088367</v>
      </c>
      <c r="AM328" s="306">
        <v>4088367</v>
      </c>
    </row>
    <row r="329" spans="1:50" ht="15.75" hidden="1" customHeight="1" x14ac:dyDescent="0.25">
      <c r="B329" s="501"/>
      <c r="C329" s="519" t="s">
        <v>3464</v>
      </c>
      <c r="D329" s="478">
        <v>324</v>
      </c>
      <c r="E329" s="478">
        <v>20212000012603</v>
      </c>
      <c r="F329" s="479">
        <v>44263</v>
      </c>
      <c r="G329" s="478" t="s">
        <v>2565</v>
      </c>
      <c r="H329" s="212" t="s">
        <v>2566</v>
      </c>
      <c r="I329" s="212" t="s">
        <v>391</v>
      </c>
      <c r="J329" s="475">
        <v>1549286460</v>
      </c>
      <c r="K329" s="212" t="s">
        <v>426</v>
      </c>
      <c r="L329" s="212" t="s">
        <v>427</v>
      </c>
      <c r="M329" s="212" t="s">
        <v>44</v>
      </c>
      <c r="N329" s="212" t="s">
        <v>45</v>
      </c>
      <c r="O329" s="212" t="s">
        <v>63</v>
      </c>
      <c r="P329" s="212" t="s">
        <v>676</v>
      </c>
      <c r="R329" s="212">
        <v>342</v>
      </c>
      <c r="S329" s="490">
        <v>44263</v>
      </c>
      <c r="T329" s="486" t="s">
        <v>3465</v>
      </c>
      <c r="U329" s="475">
        <v>1549286460</v>
      </c>
      <c r="V329" s="480"/>
      <c r="W329" s="520"/>
      <c r="X329" s="483" t="s">
        <v>3466</v>
      </c>
      <c r="Y329" s="484">
        <v>44286</v>
      </c>
      <c r="Z329" s="484">
        <v>44286</v>
      </c>
      <c r="AA329" s="484">
        <v>44423</v>
      </c>
      <c r="AB329" s="485" t="s">
        <v>3264</v>
      </c>
      <c r="AC329" s="483" t="s">
        <v>3467</v>
      </c>
      <c r="AD329" s="485" t="s">
        <v>3468</v>
      </c>
      <c r="AE329" s="486" t="s">
        <v>3469</v>
      </c>
      <c r="AF329" s="473">
        <v>1549286460</v>
      </c>
      <c r="AM329" s="212"/>
    </row>
    <row r="330" spans="1:50" ht="15" hidden="1" customHeight="1" x14ac:dyDescent="0.25">
      <c r="B330" s="501"/>
      <c r="C330" s="519" t="s">
        <v>3470</v>
      </c>
      <c r="D330" s="478">
        <v>325</v>
      </c>
      <c r="E330" s="478">
        <v>20212000012613</v>
      </c>
      <c r="F330" s="479">
        <v>44263</v>
      </c>
      <c r="G330" s="478" t="s">
        <v>2565</v>
      </c>
      <c r="H330" s="212" t="s">
        <v>2566</v>
      </c>
      <c r="I330" s="212" t="s">
        <v>391</v>
      </c>
      <c r="J330" s="475">
        <v>933489693</v>
      </c>
      <c r="K330" s="212" t="s">
        <v>426</v>
      </c>
      <c r="L330" s="212" t="s">
        <v>427</v>
      </c>
      <c r="M330" s="212" t="s">
        <v>44</v>
      </c>
      <c r="N330" s="212" t="s">
        <v>45</v>
      </c>
      <c r="O330" s="212" t="s">
        <v>63</v>
      </c>
      <c r="P330" s="212" t="s">
        <v>676</v>
      </c>
      <c r="R330" s="212">
        <v>343</v>
      </c>
      <c r="S330" s="490">
        <v>44263</v>
      </c>
      <c r="T330" s="486" t="s">
        <v>3471</v>
      </c>
      <c r="U330" s="475">
        <v>933489693</v>
      </c>
      <c r="V330" s="480"/>
      <c r="W330" s="520"/>
      <c r="X330" s="483" t="s">
        <v>1768</v>
      </c>
      <c r="Y330" s="484">
        <v>44286</v>
      </c>
      <c r="Z330" s="484">
        <v>44286</v>
      </c>
      <c r="AA330" s="484">
        <v>44423</v>
      </c>
      <c r="AB330" s="485" t="s">
        <v>2762</v>
      </c>
      <c r="AC330" s="483" t="s">
        <v>3472</v>
      </c>
      <c r="AD330" s="485" t="s">
        <v>3473</v>
      </c>
      <c r="AE330" s="486" t="s">
        <v>3474</v>
      </c>
      <c r="AF330" s="473">
        <v>933489693</v>
      </c>
      <c r="AM330" s="212"/>
    </row>
    <row r="331" spans="1:50" ht="15.75" hidden="1" customHeight="1" x14ac:dyDescent="0.25">
      <c r="A331" s="476" t="s">
        <v>2153</v>
      </c>
      <c r="B331" s="477">
        <v>281078765</v>
      </c>
      <c r="C331" s="515" t="s">
        <v>3475</v>
      </c>
      <c r="D331" s="478">
        <v>326</v>
      </c>
      <c r="E331" s="309">
        <v>20214000011953</v>
      </c>
      <c r="F331" s="479">
        <v>44263</v>
      </c>
      <c r="G331" s="478" t="s">
        <v>2605</v>
      </c>
      <c r="H331" s="212" t="s">
        <v>2606</v>
      </c>
      <c r="I331" s="212" t="s">
        <v>47</v>
      </c>
      <c r="J331" s="480">
        <v>281078765</v>
      </c>
      <c r="K331" s="212" t="s">
        <v>37</v>
      </c>
      <c r="L331" s="212" t="s">
        <v>81</v>
      </c>
      <c r="M331" s="212" t="s">
        <v>44</v>
      </c>
      <c r="N331" s="212" t="s">
        <v>45</v>
      </c>
      <c r="O331" s="212" t="s">
        <v>310</v>
      </c>
      <c r="P331" s="212" t="s">
        <v>87</v>
      </c>
      <c r="R331" s="212">
        <v>344</v>
      </c>
      <c r="S331" s="490">
        <v>44263</v>
      </c>
      <c r="T331" s="486" t="s">
        <v>3428</v>
      </c>
      <c r="U331" s="480">
        <v>281078765</v>
      </c>
      <c r="V331" s="406"/>
      <c r="W331" s="399"/>
      <c r="X331" s="483" t="s">
        <v>3476</v>
      </c>
      <c r="Y331" s="484">
        <v>44326</v>
      </c>
      <c r="Z331" s="484">
        <v>44326</v>
      </c>
      <c r="AA331" s="484">
        <v>44448</v>
      </c>
      <c r="AB331" s="486" t="s">
        <v>3477</v>
      </c>
      <c r="AC331" s="483" t="s">
        <v>3478</v>
      </c>
      <c r="AD331" s="486" t="s">
        <v>3479</v>
      </c>
      <c r="AE331" s="486" t="s">
        <v>3480</v>
      </c>
      <c r="AF331" s="473">
        <v>279541451</v>
      </c>
      <c r="AH331" s="480"/>
      <c r="AI331" s="480"/>
      <c r="AM331" s="212"/>
    </row>
    <row r="332" spans="1:50" ht="15" hidden="1" customHeight="1" x14ac:dyDescent="0.25">
      <c r="A332" s="466" t="s">
        <v>1900</v>
      </c>
      <c r="B332" s="467">
        <v>22713150</v>
      </c>
      <c r="C332" s="212" t="s">
        <v>2571</v>
      </c>
      <c r="D332" s="469">
        <v>327</v>
      </c>
      <c r="E332" s="469">
        <v>20217000012923</v>
      </c>
      <c r="F332" s="470">
        <v>44264</v>
      </c>
      <c r="G332" s="469" t="s">
        <v>2572</v>
      </c>
      <c r="H332" s="468" t="s">
        <v>2573</v>
      </c>
      <c r="I332" s="468" t="s">
        <v>164</v>
      </c>
      <c r="J332" s="471">
        <v>22713150</v>
      </c>
      <c r="K332" s="468" t="s">
        <v>138</v>
      </c>
      <c r="L332" s="468" t="s">
        <v>139</v>
      </c>
      <c r="M332" s="468" t="s">
        <v>44</v>
      </c>
      <c r="N332" s="468" t="s">
        <v>45</v>
      </c>
      <c r="O332" s="468" t="s">
        <v>142</v>
      </c>
      <c r="P332" s="468" t="s">
        <v>43</v>
      </c>
      <c r="Q332" s="468"/>
      <c r="R332" s="468">
        <v>345</v>
      </c>
      <c r="S332" s="528">
        <v>44264</v>
      </c>
      <c r="T332" s="529" t="s">
        <v>3481</v>
      </c>
      <c r="U332" s="471">
        <v>22713150</v>
      </c>
      <c r="V332" s="414"/>
      <c r="W332" s="379"/>
      <c r="X332" s="483" t="s">
        <v>3482</v>
      </c>
      <c r="Y332" s="484">
        <v>44293</v>
      </c>
      <c r="Z332" s="484">
        <v>44293</v>
      </c>
      <c r="AA332" s="484">
        <v>44476</v>
      </c>
      <c r="AB332" s="485" t="s">
        <v>2575</v>
      </c>
      <c r="AC332" s="483" t="s">
        <v>3265</v>
      </c>
      <c r="AD332" s="485" t="s">
        <v>3483</v>
      </c>
      <c r="AE332" s="486" t="s">
        <v>3484</v>
      </c>
      <c r="AF332" s="473">
        <v>13627890</v>
      </c>
      <c r="AI332" s="471"/>
      <c r="AJ332" s="471"/>
      <c r="AK332" s="471"/>
      <c r="AL332" s="471">
        <v>1741342</v>
      </c>
      <c r="AM332" s="306">
        <v>2271315</v>
      </c>
    </row>
    <row r="333" spans="1:50" ht="15" hidden="1" customHeight="1" x14ac:dyDescent="0.25">
      <c r="A333" s="476" t="s">
        <v>1935</v>
      </c>
      <c r="B333" s="477">
        <v>29981358</v>
      </c>
      <c r="C333" s="212" t="s">
        <v>2571</v>
      </c>
      <c r="D333" s="478">
        <v>328</v>
      </c>
      <c r="E333" s="478">
        <v>20217000012933</v>
      </c>
      <c r="F333" s="479">
        <v>44264</v>
      </c>
      <c r="G333" s="478" t="s">
        <v>2572</v>
      </c>
      <c r="H333" s="212" t="s">
        <v>2573</v>
      </c>
      <c r="I333" s="212" t="s">
        <v>164</v>
      </c>
      <c r="J333" s="475">
        <v>29981358</v>
      </c>
      <c r="K333" s="212" t="s">
        <v>138</v>
      </c>
      <c r="L333" s="212" t="s">
        <v>139</v>
      </c>
      <c r="M333" s="212" t="s">
        <v>44</v>
      </c>
      <c r="N333" s="212" t="s">
        <v>45</v>
      </c>
      <c r="O333" s="212" t="s">
        <v>142</v>
      </c>
      <c r="P333" s="212" t="s">
        <v>43</v>
      </c>
      <c r="R333" s="212">
        <v>346</v>
      </c>
      <c r="S333" s="490">
        <v>44264</v>
      </c>
      <c r="T333" s="486" t="s">
        <v>3485</v>
      </c>
      <c r="U333" s="475">
        <v>29981358</v>
      </c>
      <c r="V333" s="406"/>
      <c r="W333" s="362"/>
      <c r="X333" s="483" t="s">
        <v>3486</v>
      </c>
      <c r="Y333" s="484">
        <v>44299</v>
      </c>
      <c r="Z333" s="484">
        <v>44299</v>
      </c>
      <c r="AA333" s="484">
        <v>44482</v>
      </c>
      <c r="AB333" s="485" t="s">
        <v>2575</v>
      </c>
      <c r="AC333" s="483" t="s">
        <v>3487</v>
      </c>
      <c r="AD333" s="485" t="s">
        <v>3488</v>
      </c>
      <c r="AE333" s="486" t="s">
        <v>2726</v>
      </c>
      <c r="AF333" s="473">
        <v>16353468</v>
      </c>
      <c r="AL333" s="475">
        <v>1544494</v>
      </c>
      <c r="AM333" s="306">
        <v>2725578</v>
      </c>
    </row>
    <row r="334" spans="1:50" ht="15" hidden="1" customHeight="1" x14ac:dyDescent="0.25">
      <c r="A334" s="476" t="s">
        <v>2221</v>
      </c>
      <c r="B334" s="477">
        <v>32500000</v>
      </c>
      <c r="C334" s="212" t="s">
        <v>2571</v>
      </c>
      <c r="D334" s="478">
        <v>329</v>
      </c>
      <c r="E334" s="309">
        <v>20211100013443</v>
      </c>
      <c r="F334" s="310">
        <v>44265</v>
      </c>
      <c r="G334" s="309" t="s">
        <v>2572</v>
      </c>
      <c r="H334" s="210" t="s">
        <v>2573</v>
      </c>
      <c r="I334" s="210" t="s">
        <v>206</v>
      </c>
      <c r="J334" s="407">
        <v>32500000</v>
      </c>
      <c r="K334" s="210" t="s">
        <v>138</v>
      </c>
      <c r="L334" s="210" t="s">
        <v>139</v>
      </c>
      <c r="M334" s="210" t="s">
        <v>44</v>
      </c>
      <c r="N334" s="210" t="s">
        <v>45</v>
      </c>
      <c r="O334" s="210" t="s">
        <v>142</v>
      </c>
      <c r="P334" s="210" t="s">
        <v>43</v>
      </c>
      <c r="Q334" s="210"/>
      <c r="R334" s="210">
        <v>370</v>
      </c>
      <c r="S334" s="490">
        <v>44265</v>
      </c>
      <c r="T334" s="486" t="s">
        <v>3489</v>
      </c>
      <c r="U334" s="475">
        <v>32500000</v>
      </c>
      <c r="V334" s="415"/>
      <c r="W334" s="401"/>
      <c r="X334" s="483" t="s">
        <v>3490</v>
      </c>
      <c r="Y334" s="484">
        <v>44278</v>
      </c>
      <c r="Z334" s="484">
        <v>44278</v>
      </c>
      <c r="AA334" s="484">
        <v>44421</v>
      </c>
      <c r="AB334" s="485" t="s">
        <v>2575</v>
      </c>
      <c r="AC334" s="483" t="s">
        <v>3491</v>
      </c>
      <c r="AD334" s="485" t="s">
        <v>3492</v>
      </c>
      <c r="AE334" s="486" t="s">
        <v>3493</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x14ac:dyDescent="0.25">
      <c r="A335" s="476" t="s">
        <v>1891</v>
      </c>
      <c r="B335" s="477">
        <v>53148771</v>
      </c>
      <c r="C335" s="212" t="s">
        <v>2571</v>
      </c>
      <c r="D335" s="478">
        <v>330</v>
      </c>
      <c r="E335" s="478">
        <v>20216000014143</v>
      </c>
      <c r="F335" s="310">
        <v>44265</v>
      </c>
      <c r="G335" s="478" t="s">
        <v>2572</v>
      </c>
      <c r="H335" s="212" t="s">
        <v>2573</v>
      </c>
      <c r="I335" s="212" t="s">
        <v>214</v>
      </c>
      <c r="J335" s="475">
        <v>53148771</v>
      </c>
      <c r="K335" s="212" t="s">
        <v>138</v>
      </c>
      <c r="L335" s="212" t="s">
        <v>139</v>
      </c>
      <c r="M335" s="212" t="s">
        <v>44</v>
      </c>
      <c r="N335" s="212" t="s">
        <v>45</v>
      </c>
      <c r="O335" s="212" t="s">
        <v>142</v>
      </c>
      <c r="P335" s="212" t="s">
        <v>43</v>
      </c>
      <c r="R335" s="212">
        <v>406</v>
      </c>
      <c r="S335" s="490">
        <v>44266</v>
      </c>
      <c r="T335" s="486" t="s">
        <v>3494</v>
      </c>
      <c r="U335" s="475">
        <v>53148771</v>
      </c>
      <c r="V335" s="406"/>
      <c r="W335" s="362"/>
      <c r="X335" s="483" t="s">
        <v>3297</v>
      </c>
      <c r="Y335" s="484">
        <v>44278</v>
      </c>
      <c r="Z335" s="484">
        <v>44278</v>
      </c>
      <c r="AA335" s="484">
        <v>44553</v>
      </c>
      <c r="AB335" s="485" t="s">
        <v>2575</v>
      </c>
      <c r="AC335" s="483" t="s">
        <v>3495</v>
      </c>
      <c r="AD335" s="485" t="s">
        <v>3496</v>
      </c>
      <c r="AE335" s="486" t="s">
        <v>3497</v>
      </c>
      <c r="AF335" s="473">
        <v>53148771</v>
      </c>
      <c r="AK335" s="475">
        <v>1181084</v>
      </c>
      <c r="AL335" s="475">
        <v>5905419</v>
      </c>
      <c r="AM335" s="306">
        <v>5905419</v>
      </c>
    </row>
    <row r="336" spans="1:50" ht="15" hidden="1" customHeight="1" x14ac:dyDescent="0.25">
      <c r="A336" s="476" t="s">
        <v>1917</v>
      </c>
      <c r="B336" s="477">
        <v>44574000</v>
      </c>
      <c r="C336" s="212" t="s">
        <v>2571</v>
      </c>
      <c r="D336" s="478">
        <v>331</v>
      </c>
      <c r="E336" s="478">
        <v>20212000014723</v>
      </c>
      <c r="F336" s="479">
        <v>44271</v>
      </c>
      <c r="G336" s="478" t="s">
        <v>2565</v>
      </c>
      <c r="H336" s="212" t="s">
        <v>2566</v>
      </c>
      <c r="I336" s="212" t="s">
        <v>391</v>
      </c>
      <c r="J336" s="475">
        <v>42228000</v>
      </c>
      <c r="K336" s="210" t="s">
        <v>2636</v>
      </c>
      <c r="L336" s="212" t="s">
        <v>2637</v>
      </c>
      <c r="M336" s="212" t="s">
        <v>44</v>
      </c>
      <c r="N336" s="212" t="s">
        <v>45</v>
      </c>
      <c r="O336" s="212" t="s">
        <v>63</v>
      </c>
      <c r="P336" s="212" t="s">
        <v>676</v>
      </c>
      <c r="R336" s="486">
        <v>438</v>
      </c>
      <c r="S336" s="490">
        <v>44272</v>
      </c>
      <c r="T336" s="486" t="s">
        <v>3498</v>
      </c>
      <c r="U336" s="475">
        <v>42228000</v>
      </c>
      <c r="V336" s="406"/>
      <c r="W336" s="362"/>
      <c r="X336" s="483" t="s">
        <v>3499</v>
      </c>
      <c r="Y336" s="484">
        <v>44278</v>
      </c>
      <c r="Z336" s="484">
        <v>44278</v>
      </c>
      <c r="AA336" s="484">
        <v>44553</v>
      </c>
      <c r="AB336" s="485" t="s">
        <v>2575</v>
      </c>
      <c r="AC336" s="483" t="s">
        <v>3500</v>
      </c>
      <c r="AD336" s="485" t="s">
        <v>3501</v>
      </c>
      <c r="AE336" s="486" t="s">
        <v>3502</v>
      </c>
      <c r="AF336" s="473">
        <v>42228000</v>
      </c>
      <c r="AL336" s="475">
        <v>5786800</v>
      </c>
      <c r="AM336" s="306">
        <v>4692000</v>
      </c>
    </row>
    <row r="337" spans="1:39" hidden="1" x14ac:dyDescent="0.25">
      <c r="A337" s="476" t="s">
        <v>2088</v>
      </c>
      <c r="B337" s="477">
        <v>36000000</v>
      </c>
      <c r="C337" s="212" t="s">
        <v>2571</v>
      </c>
      <c r="D337" s="478">
        <v>332</v>
      </c>
      <c r="E337" s="478">
        <v>20215000012663</v>
      </c>
      <c r="F337" s="479">
        <v>44264</v>
      </c>
      <c r="G337" s="478" t="s">
        <v>2565</v>
      </c>
      <c r="H337" s="212" t="s">
        <v>2566</v>
      </c>
      <c r="I337" s="212" t="s">
        <v>228</v>
      </c>
      <c r="J337" s="475">
        <v>36000000</v>
      </c>
      <c r="K337" s="212" t="s">
        <v>223</v>
      </c>
      <c r="L337" s="212" t="s">
        <v>2683</v>
      </c>
      <c r="M337" s="212" t="s">
        <v>44</v>
      </c>
      <c r="N337" s="212" t="s">
        <v>45</v>
      </c>
      <c r="O337" s="212" t="s">
        <v>63</v>
      </c>
      <c r="P337" s="212" t="s">
        <v>676</v>
      </c>
      <c r="R337" s="212">
        <v>351</v>
      </c>
      <c r="S337" s="490">
        <v>44264</v>
      </c>
      <c r="T337" s="486" t="s">
        <v>3503</v>
      </c>
      <c r="U337" s="475">
        <f>36000000-9000000</f>
        <v>27000000</v>
      </c>
      <c r="V337" s="406">
        <v>9000000</v>
      </c>
      <c r="W337" s="362"/>
      <c r="X337" s="308" t="s">
        <v>3504</v>
      </c>
      <c r="Y337" s="472">
        <v>44286</v>
      </c>
      <c r="Z337" s="472">
        <v>44286</v>
      </c>
      <c r="AA337" s="472">
        <v>44561</v>
      </c>
      <c r="AB337" s="2" t="s">
        <v>2575</v>
      </c>
      <c r="AC337" s="211" t="s">
        <v>3505</v>
      </c>
      <c r="AD337" s="2" t="s">
        <v>3506</v>
      </c>
      <c r="AE337" s="212" t="s">
        <v>3507</v>
      </c>
      <c r="AF337" s="473">
        <v>27000000</v>
      </c>
      <c r="AL337" s="475">
        <v>3000000</v>
      </c>
      <c r="AM337" s="306">
        <v>3000000</v>
      </c>
    </row>
    <row r="338" spans="1:39" hidden="1" x14ac:dyDescent="0.25">
      <c r="A338" s="476" t="s">
        <v>2353</v>
      </c>
      <c r="B338" s="477">
        <v>42500000</v>
      </c>
      <c r="C338" s="212" t="s">
        <v>2571</v>
      </c>
      <c r="D338" s="478">
        <v>333</v>
      </c>
      <c r="E338" s="478">
        <v>20215000012783</v>
      </c>
      <c r="F338" s="479">
        <v>44264</v>
      </c>
      <c r="G338" s="478" t="s">
        <v>2565</v>
      </c>
      <c r="H338" s="212" t="s">
        <v>2566</v>
      </c>
      <c r="I338" s="212" t="s">
        <v>228</v>
      </c>
      <c r="J338" s="475">
        <v>42500000</v>
      </c>
      <c r="K338" s="212" t="s">
        <v>223</v>
      </c>
      <c r="L338" s="212" t="s">
        <v>236</v>
      </c>
      <c r="M338" s="212" t="s">
        <v>44</v>
      </c>
      <c r="N338" s="212" t="s">
        <v>45</v>
      </c>
      <c r="O338" s="212" t="s">
        <v>63</v>
      </c>
      <c r="P338" s="212" t="s">
        <v>676</v>
      </c>
      <c r="R338" s="212">
        <v>360</v>
      </c>
      <c r="S338" s="490">
        <v>44264</v>
      </c>
      <c r="T338" s="486" t="s">
        <v>3508</v>
      </c>
      <c r="U338" s="475">
        <f>42500000-850000</f>
        <v>41650000</v>
      </c>
      <c r="V338" s="406">
        <v>850000</v>
      </c>
      <c r="W338" s="362"/>
      <c r="X338" s="483" t="s">
        <v>3509</v>
      </c>
      <c r="Y338" s="484">
        <v>44298</v>
      </c>
      <c r="Z338" s="484">
        <v>44298</v>
      </c>
      <c r="AA338" s="484">
        <v>44561</v>
      </c>
      <c r="AB338" s="485" t="s">
        <v>2575</v>
      </c>
      <c r="AC338" s="483" t="s">
        <v>3510</v>
      </c>
      <c r="AD338" s="485" t="s">
        <v>3511</v>
      </c>
      <c r="AE338" s="486" t="s">
        <v>3512</v>
      </c>
      <c r="AF338" s="473">
        <v>41650000</v>
      </c>
      <c r="AL338" s="475">
        <v>3103333</v>
      </c>
      <c r="AM338" s="306">
        <v>4900000</v>
      </c>
    </row>
    <row r="339" spans="1:39" hidden="1" x14ac:dyDescent="0.25">
      <c r="A339" s="476" t="s">
        <v>2354</v>
      </c>
      <c r="B339" s="477">
        <v>42500000</v>
      </c>
      <c r="C339" s="212" t="s">
        <v>2571</v>
      </c>
      <c r="D339" s="478">
        <v>334</v>
      </c>
      <c r="E339" s="478">
        <v>20215000012793</v>
      </c>
      <c r="F339" s="479">
        <v>44264</v>
      </c>
      <c r="G339" s="478" t="s">
        <v>2565</v>
      </c>
      <c r="H339" s="212" t="s">
        <v>2566</v>
      </c>
      <c r="I339" s="212" t="s">
        <v>228</v>
      </c>
      <c r="J339" s="475">
        <v>42500000</v>
      </c>
      <c r="K339" s="212" t="s">
        <v>223</v>
      </c>
      <c r="L339" s="212" t="s">
        <v>236</v>
      </c>
      <c r="M339" s="212" t="s">
        <v>44</v>
      </c>
      <c r="N339" s="212" t="s">
        <v>45</v>
      </c>
      <c r="O339" s="212" t="s">
        <v>63</v>
      </c>
      <c r="P339" s="212" t="s">
        <v>676</v>
      </c>
      <c r="R339" s="212">
        <v>361</v>
      </c>
      <c r="S339" s="490">
        <v>44264</v>
      </c>
      <c r="T339" s="486" t="s">
        <v>3513</v>
      </c>
      <c r="U339" s="475">
        <f>42500000-100000</f>
        <v>42400000</v>
      </c>
      <c r="V339" s="406">
        <v>100000</v>
      </c>
      <c r="W339" s="362"/>
      <c r="X339" s="483" t="s">
        <v>3514</v>
      </c>
      <c r="Y339" s="484">
        <v>44306</v>
      </c>
      <c r="Z339" s="484">
        <v>44306</v>
      </c>
      <c r="AA339" s="484">
        <v>44550</v>
      </c>
      <c r="AB339" s="485" t="s">
        <v>2575</v>
      </c>
      <c r="AC339" s="483" t="s">
        <v>3515</v>
      </c>
      <c r="AD339" s="485" t="s">
        <v>3516</v>
      </c>
      <c r="AE339" s="486" t="s">
        <v>3517</v>
      </c>
      <c r="AF339" s="473">
        <v>42400000</v>
      </c>
      <c r="AL339" s="475">
        <v>1943333</v>
      </c>
      <c r="AM339" s="306">
        <v>5300000</v>
      </c>
    </row>
    <row r="340" spans="1:39" hidden="1" x14ac:dyDescent="0.25">
      <c r="A340" s="476" t="s">
        <v>1842</v>
      </c>
      <c r="B340" s="477">
        <v>42500000</v>
      </c>
      <c r="C340" s="212" t="s">
        <v>2571</v>
      </c>
      <c r="D340" s="478">
        <v>335</v>
      </c>
      <c r="E340" s="478">
        <v>20215000012803</v>
      </c>
      <c r="F340" s="479">
        <v>44264</v>
      </c>
      <c r="G340" s="478" t="s">
        <v>2565</v>
      </c>
      <c r="H340" s="212" t="s">
        <v>2566</v>
      </c>
      <c r="I340" s="212" t="s">
        <v>228</v>
      </c>
      <c r="J340" s="475">
        <v>42500000</v>
      </c>
      <c r="K340" s="212" t="s">
        <v>223</v>
      </c>
      <c r="L340" s="212" t="s">
        <v>236</v>
      </c>
      <c r="M340" s="212" t="s">
        <v>44</v>
      </c>
      <c r="N340" s="212" t="s">
        <v>45</v>
      </c>
      <c r="O340" s="212" t="s">
        <v>63</v>
      </c>
      <c r="P340" s="212" t="s">
        <v>676</v>
      </c>
      <c r="R340" s="212">
        <v>362</v>
      </c>
      <c r="S340" s="490">
        <v>44264</v>
      </c>
      <c r="T340" s="486" t="s">
        <v>3518</v>
      </c>
      <c r="U340" s="475">
        <f>42500000-100000</f>
        <v>42400000</v>
      </c>
      <c r="V340" s="406">
        <v>100000</v>
      </c>
      <c r="W340" s="362"/>
      <c r="X340" s="483" t="s">
        <v>3519</v>
      </c>
      <c r="Y340" s="484">
        <v>44299</v>
      </c>
      <c r="Z340" s="484">
        <v>44299</v>
      </c>
      <c r="AA340" s="484">
        <v>44543</v>
      </c>
      <c r="AB340" s="485" t="s">
        <v>2575</v>
      </c>
      <c r="AC340" s="483" t="s">
        <v>3520</v>
      </c>
      <c r="AD340" s="485" t="s">
        <v>3521</v>
      </c>
      <c r="AE340" s="486" t="s">
        <v>3522</v>
      </c>
      <c r="AF340" s="473">
        <v>42400000</v>
      </c>
      <c r="AL340" s="475">
        <v>3180000</v>
      </c>
      <c r="AM340" s="306">
        <v>5300000</v>
      </c>
    </row>
    <row r="341" spans="1:39" hidden="1" x14ac:dyDescent="0.25">
      <c r="A341" s="476" t="s">
        <v>2355</v>
      </c>
      <c r="B341" s="477">
        <v>28800000</v>
      </c>
      <c r="C341" s="212" t="s">
        <v>2571</v>
      </c>
      <c r="D341" s="478">
        <v>336</v>
      </c>
      <c r="E341" s="478">
        <v>20215000012853</v>
      </c>
      <c r="F341" s="479">
        <v>44264</v>
      </c>
      <c r="G341" s="478" t="s">
        <v>2565</v>
      </c>
      <c r="H341" s="212" t="s">
        <v>2566</v>
      </c>
      <c r="I341" s="212" t="s">
        <v>228</v>
      </c>
      <c r="J341" s="475">
        <v>28800000</v>
      </c>
      <c r="K341" s="212" t="s">
        <v>223</v>
      </c>
      <c r="L341" s="212" t="s">
        <v>283</v>
      </c>
      <c r="M341" s="212" t="s">
        <v>44</v>
      </c>
      <c r="N341" s="212" t="s">
        <v>45</v>
      </c>
      <c r="O341" s="212" t="s">
        <v>63</v>
      </c>
      <c r="P341" s="212" t="s">
        <v>676</v>
      </c>
      <c r="R341" s="212">
        <v>364</v>
      </c>
      <c r="S341" s="490">
        <v>44264</v>
      </c>
      <c r="T341" s="486" t="s">
        <v>3523</v>
      </c>
      <c r="U341" s="475">
        <v>28800000</v>
      </c>
      <c r="V341" s="406"/>
      <c r="W341" s="362"/>
      <c r="X341" s="483" t="s">
        <v>3524</v>
      </c>
      <c r="Y341" s="484">
        <v>44313</v>
      </c>
      <c r="Z341" s="484">
        <v>44313</v>
      </c>
      <c r="AA341" s="484">
        <v>44561</v>
      </c>
      <c r="AB341" s="485" t="s">
        <v>2575</v>
      </c>
      <c r="AC341" s="483" t="s">
        <v>3466</v>
      </c>
      <c r="AD341" s="485" t="s">
        <v>3525</v>
      </c>
      <c r="AE341" s="486" t="s">
        <v>3526</v>
      </c>
      <c r="AF341" s="473">
        <v>28800000</v>
      </c>
      <c r="AM341" s="212"/>
    </row>
    <row r="342" spans="1:39" hidden="1" x14ac:dyDescent="0.25">
      <c r="A342" s="476" t="s">
        <v>2357</v>
      </c>
      <c r="B342" s="477">
        <v>42400000</v>
      </c>
      <c r="C342" s="212" t="s">
        <v>2571</v>
      </c>
      <c r="D342" s="478">
        <v>337</v>
      </c>
      <c r="E342" s="478">
        <v>20215000012863</v>
      </c>
      <c r="F342" s="479">
        <v>44264</v>
      </c>
      <c r="G342" s="478" t="s">
        <v>2565</v>
      </c>
      <c r="H342" s="212" t="s">
        <v>2566</v>
      </c>
      <c r="I342" s="212" t="s">
        <v>228</v>
      </c>
      <c r="J342" s="475">
        <v>42400000</v>
      </c>
      <c r="K342" s="212" t="s">
        <v>223</v>
      </c>
      <c r="L342" s="212" t="s">
        <v>283</v>
      </c>
      <c r="M342" s="212" t="s">
        <v>44</v>
      </c>
      <c r="N342" s="212" t="s">
        <v>45</v>
      </c>
      <c r="O342" s="212" t="s">
        <v>63</v>
      </c>
      <c r="P342" s="212" t="s">
        <v>676</v>
      </c>
      <c r="R342" s="212">
        <v>365</v>
      </c>
      <c r="S342" s="490">
        <v>44264</v>
      </c>
      <c r="T342" s="486" t="s">
        <v>3527</v>
      </c>
      <c r="U342" s="475">
        <v>42400000</v>
      </c>
      <c r="V342" s="406"/>
      <c r="W342" s="362"/>
      <c r="X342" s="483" t="s">
        <v>3528</v>
      </c>
      <c r="Y342" s="484">
        <v>44306</v>
      </c>
      <c r="Z342" s="484">
        <v>44306</v>
      </c>
      <c r="AA342" s="484">
        <v>44549</v>
      </c>
      <c r="AB342" s="485" t="s">
        <v>2575</v>
      </c>
      <c r="AC342" s="483" t="s">
        <v>3529</v>
      </c>
      <c r="AD342" s="485" t="s">
        <v>3530</v>
      </c>
      <c r="AE342" s="486" t="s">
        <v>3531</v>
      </c>
      <c r="AF342" s="473">
        <v>42400000</v>
      </c>
      <c r="AL342" s="475">
        <v>1943333</v>
      </c>
      <c r="AM342" s="306">
        <v>5300000</v>
      </c>
    </row>
    <row r="343" spans="1:39" hidden="1" x14ac:dyDescent="0.25">
      <c r="A343" s="476" t="s">
        <v>2352</v>
      </c>
      <c r="B343" s="477">
        <v>50150000</v>
      </c>
      <c r="C343" s="212" t="s">
        <v>2571</v>
      </c>
      <c r="D343" s="478">
        <v>338</v>
      </c>
      <c r="E343" s="309">
        <v>20215000012683</v>
      </c>
      <c r="F343" s="479">
        <v>44264</v>
      </c>
      <c r="G343" s="309" t="s">
        <v>2565</v>
      </c>
      <c r="H343" s="210" t="s">
        <v>2566</v>
      </c>
      <c r="I343" s="210" t="s">
        <v>228</v>
      </c>
      <c r="J343" s="407">
        <v>50150000</v>
      </c>
      <c r="K343" s="212" t="s">
        <v>288</v>
      </c>
      <c r="L343" s="212" t="s">
        <v>2661</v>
      </c>
      <c r="M343" s="212" t="s">
        <v>44</v>
      </c>
      <c r="N343" s="212" t="s">
        <v>45</v>
      </c>
      <c r="O343" s="212" t="s">
        <v>63</v>
      </c>
      <c r="P343" s="212" t="s">
        <v>676</v>
      </c>
      <c r="R343" s="212">
        <v>352</v>
      </c>
      <c r="S343" s="490">
        <v>44264</v>
      </c>
      <c r="T343" s="486" t="s">
        <v>3532</v>
      </c>
      <c r="U343" s="475">
        <v>50150000</v>
      </c>
      <c r="V343" s="406"/>
      <c r="W343" s="362"/>
      <c r="X343" s="211" t="s">
        <v>3533</v>
      </c>
      <c r="Y343" s="472">
        <v>44300</v>
      </c>
      <c r="Z343" s="472">
        <v>44300</v>
      </c>
      <c r="AA343" s="472">
        <v>44561</v>
      </c>
      <c r="AB343" s="2" t="s">
        <v>2575</v>
      </c>
      <c r="AC343" s="211" t="s">
        <v>3534</v>
      </c>
      <c r="AD343" s="2" t="s">
        <v>3535</v>
      </c>
      <c r="AE343" s="212" t="s">
        <v>3536</v>
      </c>
      <c r="AF343" s="473">
        <v>50150000</v>
      </c>
      <c r="AL343" s="475">
        <v>3540000</v>
      </c>
      <c r="AM343" s="306">
        <v>5900000</v>
      </c>
    </row>
    <row r="344" spans="1:39" hidden="1" x14ac:dyDescent="0.25">
      <c r="A344" s="476" t="s">
        <v>2092</v>
      </c>
      <c r="B344" s="477">
        <v>50150000</v>
      </c>
      <c r="C344" s="212" t="s">
        <v>2571</v>
      </c>
      <c r="D344" s="478">
        <v>339</v>
      </c>
      <c r="E344" s="478">
        <v>20215000012693</v>
      </c>
      <c r="F344" s="479">
        <v>44264</v>
      </c>
      <c r="G344" s="309" t="s">
        <v>2565</v>
      </c>
      <c r="H344" s="210" t="s">
        <v>2566</v>
      </c>
      <c r="I344" s="210" t="s">
        <v>228</v>
      </c>
      <c r="J344" s="407">
        <v>50150000</v>
      </c>
      <c r="K344" s="212" t="s">
        <v>288</v>
      </c>
      <c r="L344" s="212" t="s">
        <v>2661</v>
      </c>
      <c r="M344" s="212" t="s">
        <v>44</v>
      </c>
      <c r="N344" s="212" t="s">
        <v>45</v>
      </c>
      <c r="O344" s="212" t="s">
        <v>63</v>
      </c>
      <c r="P344" s="212" t="s">
        <v>676</v>
      </c>
      <c r="R344" s="212">
        <v>353</v>
      </c>
      <c r="S344" s="490">
        <v>44264</v>
      </c>
      <c r="T344" s="486" t="s">
        <v>3537</v>
      </c>
      <c r="U344" s="475">
        <v>50150000</v>
      </c>
      <c r="V344" s="406"/>
      <c r="W344" s="362"/>
      <c r="X344" s="483" t="s">
        <v>3538</v>
      </c>
      <c r="Y344" s="484">
        <v>44298</v>
      </c>
      <c r="Z344" s="484">
        <v>44298</v>
      </c>
      <c r="AA344" s="484">
        <v>44561</v>
      </c>
      <c r="AB344" s="485" t="s">
        <v>2575</v>
      </c>
      <c r="AC344" s="483" t="s">
        <v>3539</v>
      </c>
      <c r="AD344" s="485" t="s">
        <v>3540</v>
      </c>
      <c r="AE344" s="486" t="s">
        <v>3541</v>
      </c>
      <c r="AF344" s="473">
        <v>50150000</v>
      </c>
      <c r="AL344" s="475">
        <v>3736667</v>
      </c>
      <c r="AM344" s="306">
        <v>5900000</v>
      </c>
    </row>
    <row r="345" spans="1:39" hidden="1" x14ac:dyDescent="0.25">
      <c r="A345" s="476" t="s">
        <v>1956</v>
      </c>
      <c r="B345" s="477">
        <v>50150000</v>
      </c>
      <c r="C345" s="212" t="s">
        <v>2571</v>
      </c>
      <c r="D345" s="478">
        <v>340</v>
      </c>
      <c r="E345" s="478">
        <v>20215000012703</v>
      </c>
      <c r="F345" s="479">
        <v>44264</v>
      </c>
      <c r="G345" s="309" t="s">
        <v>2565</v>
      </c>
      <c r="H345" s="210" t="s">
        <v>2566</v>
      </c>
      <c r="I345" s="210" t="s">
        <v>228</v>
      </c>
      <c r="J345" s="407">
        <v>50150000</v>
      </c>
      <c r="K345" s="212" t="s">
        <v>288</v>
      </c>
      <c r="L345" s="212" t="s">
        <v>2661</v>
      </c>
      <c r="M345" s="212" t="s">
        <v>44</v>
      </c>
      <c r="N345" s="212" t="s">
        <v>45</v>
      </c>
      <c r="O345" s="212" t="s">
        <v>63</v>
      </c>
      <c r="P345" s="212" t="s">
        <v>676</v>
      </c>
      <c r="R345" s="212">
        <v>354</v>
      </c>
      <c r="S345" s="490">
        <v>44264</v>
      </c>
      <c r="T345" s="486" t="s">
        <v>3542</v>
      </c>
      <c r="U345" s="475">
        <f>50150000-50150000</f>
        <v>0</v>
      </c>
      <c r="V345" s="406">
        <v>50150000</v>
      </c>
      <c r="W345" s="678" t="s">
        <v>1453</v>
      </c>
      <c r="AM345" s="212"/>
    </row>
    <row r="346" spans="1:39" hidden="1" x14ac:dyDescent="0.25">
      <c r="A346" s="476" t="s">
        <v>1752</v>
      </c>
      <c r="B346" s="477">
        <v>50150000</v>
      </c>
      <c r="C346" s="212" t="s">
        <v>2571</v>
      </c>
      <c r="D346" s="478">
        <v>341</v>
      </c>
      <c r="E346" s="478">
        <v>20215000012713</v>
      </c>
      <c r="F346" s="479">
        <v>44264</v>
      </c>
      <c r="G346" s="309" t="s">
        <v>2565</v>
      </c>
      <c r="H346" s="210" t="s">
        <v>2566</v>
      </c>
      <c r="I346" s="210" t="s">
        <v>228</v>
      </c>
      <c r="J346" s="407">
        <v>50150000</v>
      </c>
      <c r="K346" s="212" t="s">
        <v>288</v>
      </c>
      <c r="L346" s="212" t="s">
        <v>2661</v>
      </c>
      <c r="M346" s="212" t="s">
        <v>44</v>
      </c>
      <c r="N346" s="212" t="s">
        <v>45</v>
      </c>
      <c r="O346" s="212" t="s">
        <v>63</v>
      </c>
      <c r="P346" s="212" t="s">
        <v>676</v>
      </c>
      <c r="R346" s="212">
        <v>355</v>
      </c>
      <c r="S346" s="490">
        <v>44264</v>
      </c>
      <c r="T346" s="486" t="s">
        <v>3543</v>
      </c>
      <c r="U346" s="475">
        <v>50150000</v>
      </c>
      <c r="V346" s="406"/>
      <c r="W346" s="362"/>
      <c r="X346" s="483" t="s">
        <v>3544</v>
      </c>
      <c r="Y346" s="484">
        <v>44298</v>
      </c>
      <c r="Z346" s="484">
        <v>44298</v>
      </c>
      <c r="AA346" s="484">
        <v>44561</v>
      </c>
      <c r="AB346" s="485" t="s">
        <v>2575</v>
      </c>
      <c r="AC346" s="483" t="s">
        <v>3545</v>
      </c>
      <c r="AD346" s="485" t="s">
        <v>3546</v>
      </c>
      <c r="AE346" s="486" t="s">
        <v>3547</v>
      </c>
      <c r="AF346" s="473">
        <v>50150000</v>
      </c>
      <c r="AL346" s="475">
        <v>3736667</v>
      </c>
      <c r="AM346" s="306">
        <v>5900000</v>
      </c>
    </row>
    <row r="347" spans="1:39" hidden="1" x14ac:dyDescent="0.25">
      <c r="A347" s="476" t="s">
        <v>2362</v>
      </c>
      <c r="B347" s="477">
        <v>44000000</v>
      </c>
      <c r="C347" s="212" t="s">
        <v>2571</v>
      </c>
      <c r="D347" s="478">
        <v>342</v>
      </c>
      <c r="E347" s="478">
        <v>20215000012723</v>
      </c>
      <c r="F347" s="479">
        <v>44264</v>
      </c>
      <c r="G347" s="309" t="s">
        <v>2565</v>
      </c>
      <c r="H347" s="210" t="s">
        <v>2566</v>
      </c>
      <c r="I347" s="210" t="s">
        <v>228</v>
      </c>
      <c r="J347" s="407">
        <v>44000000</v>
      </c>
      <c r="K347" s="212" t="s">
        <v>288</v>
      </c>
      <c r="L347" s="212" t="s">
        <v>2661</v>
      </c>
      <c r="M347" s="212" t="s">
        <v>44</v>
      </c>
      <c r="N347" s="212" t="s">
        <v>45</v>
      </c>
      <c r="O347" s="212" t="s">
        <v>63</v>
      </c>
      <c r="P347" s="212" t="s">
        <v>676</v>
      </c>
      <c r="R347" s="212">
        <v>356</v>
      </c>
      <c r="S347" s="490">
        <v>44264</v>
      </c>
      <c r="T347" s="486" t="s">
        <v>3548</v>
      </c>
      <c r="U347" s="475">
        <f>44000000-12000000</f>
        <v>32000000</v>
      </c>
      <c r="V347" s="406">
        <v>12000000</v>
      </c>
      <c r="W347" s="362"/>
      <c r="X347" s="483" t="s">
        <v>3549</v>
      </c>
      <c r="Y347" s="484">
        <v>44299</v>
      </c>
      <c r="Z347" s="484">
        <v>44299</v>
      </c>
      <c r="AA347" s="484">
        <v>44543</v>
      </c>
      <c r="AB347" s="485" t="s">
        <v>2575</v>
      </c>
      <c r="AC347" s="483" t="s">
        <v>3550</v>
      </c>
      <c r="AD347" s="485" t="s">
        <v>3551</v>
      </c>
      <c r="AE347" s="486" t="s">
        <v>3552</v>
      </c>
      <c r="AF347" s="473">
        <v>32000000</v>
      </c>
      <c r="AL347" s="475">
        <v>2266667</v>
      </c>
      <c r="AM347" s="306">
        <v>4000000</v>
      </c>
    </row>
    <row r="348" spans="1:39" hidden="1" x14ac:dyDescent="0.25">
      <c r="A348" s="476" t="s">
        <v>1957</v>
      </c>
      <c r="B348" s="477">
        <v>34100000</v>
      </c>
      <c r="C348" s="212" t="s">
        <v>2571</v>
      </c>
      <c r="D348" s="478">
        <v>343</v>
      </c>
      <c r="E348" s="478">
        <v>20215000012753</v>
      </c>
      <c r="F348" s="479">
        <v>44264</v>
      </c>
      <c r="G348" s="309" t="s">
        <v>2565</v>
      </c>
      <c r="H348" s="210" t="s">
        <v>2566</v>
      </c>
      <c r="I348" s="210" t="s">
        <v>228</v>
      </c>
      <c r="J348" s="407">
        <v>34100000</v>
      </c>
      <c r="K348" s="212" t="s">
        <v>288</v>
      </c>
      <c r="L348" s="212" t="s">
        <v>2661</v>
      </c>
      <c r="M348" s="212" t="s">
        <v>44</v>
      </c>
      <c r="N348" s="212" t="s">
        <v>45</v>
      </c>
      <c r="O348" s="212" t="s">
        <v>63</v>
      </c>
      <c r="P348" s="212" t="s">
        <v>676</v>
      </c>
      <c r="R348" s="212">
        <v>357</v>
      </c>
      <c r="S348" s="490">
        <v>44264</v>
      </c>
      <c r="T348" s="486" t="s">
        <v>3553</v>
      </c>
      <c r="U348" s="475">
        <f>34100000-11150000</f>
        <v>22950000</v>
      </c>
      <c r="V348" s="406">
        <v>11150000</v>
      </c>
      <c r="W348" s="362"/>
      <c r="X348" s="483" t="s">
        <v>3554</v>
      </c>
      <c r="Y348" s="484">
        <v>44298</v>
      </c>
      <c r="Z348" s="484">
        <v>44298</v>
      </c>
      <c r="AA348" s="484">
        <v>44561</v>
      </c>
      <c r="AB348" s="485" t="s">
        <v>2575</v>
      </c>
      <c r="AC348" s="483" t="s">
        <v>3555</v>
      </c>
      <c r="AD348" s="485" t="s">
        <v>3556</v>
      </c>
      <c r="AE348" s="486" t="s">
        <v>3557</v>
      </c>
      <c r="AF348" s="473">
        <v>22950000</v>
      </c>
      <c r="AL348" s="475">
        <v>1710000</v>
      </c>
      <c r="AM348" s="306">
        <v>2700000</v>
      </c>
    </row>
    <row r="349" spans="1:39" hidden="1" x14ac:dyDescent="0.25">
      <c r="A349" s="476" t="s">
        <v>1959</v>
      </c>
      <c r="B349" s="477">
        <v>34100000</v>
      </c>
      <c r="C349" s="212" t="s">
        <v>2571</v>
      </c>
      <c r="D349" s="478">
        <v>344</v>
      </c>
      <c r="E349" s="478">
        <v>20215000012763</v>
      </c>
      <c r="F349" s="479">
        <v>44264</v>
      </c>
      <c r="G349" s="309" t="s">
        <v>2565</v>
      </c>
      <c r="H349" s="210" t="s">
        <v>2566</v>
      </c>
      <c r="I349" s="210" t="s">
        <v>228</v>
      </c>
      <c r="J349" s="407">
        <v>34100000</v>
      </c>
      <c r="K349" s="212" t="s">
        <v>288</v>
      </c>
      <c r="L349" s="212" t="s">
        <v>2661</v>
      </c>
      <c r="M349" s="212" t="s">
        <v>44</v>
      </c>
      <c r="N349" s="212" t="s">
        <v>45</v>
      </c>
      <c r="O349" s="212" t="s">
        <v>63</v>
      </c>
      <c r="P349" s="212" t="s">
        <v>676</v>
      </c>
      <c r="R349" s="212">
        <v>358</v>
      </c>
      <c r="S349" s="490">
        <v>44264</v>
      </c>
      <c r="T349" s="486" t="s">
        <v>3558</v>
      </c>
      <c r="U349" s="475">
        <f>34100000-3500000</f>
        <v>30600000</v>
      </c>
      <c r="V349" s="406">
        <v>3500000</v>
      </c>
      <c r="W349" s="362"/>
      <c r="X349" s="483" t="s">
        <v>3559</v>
      </c>
      <c r="Y349" s="484">
        <v>44298</v>
      </c>
      <c r="Z349" s="484">
        <v>44298</v>
      </c>
      <c r="AA349" s="484">
        <v>44561</v>
      </c>
      <c r="AB349" s="485" t="s">
        <v>2575</v>
      </c>
      <c r="AC349" s="483" t="s">
        <v>3560</v>
      </c>
      <c r="AD349" s="485" t="s">
        <v>3561</v>
      </c>
      <c r="AE349" s="486" t="s">
        <v>3562</v>
      </c>
      <c r="AF349" s="473">
        <v>30600000</v>
      </c>
      <c r="AL349" s="475">
        <v>2280000</v>
      </c>
      <c r="AM349" s="306">
        <v>3600000</v>
      </c>
    </row>
    <row r="350" spans="1:39" hidden="1" x14ac:dyDescent="0.25">
      <c r="A350" s="476" t="s">
        <v>2001</v>
      </c>
      <c r="B350" s="477">
        <v>34100000</v>
      </c>
      <c r="C350" s="212" t="s">
        <v>2571</v>
      </c>
      <c r="D350" s="478">
        <v>345</v>
      </c>
      <c r="E350" s="478">
        <v>20215000012773</v>
      </c>
      <c r="F350" s="479">
        <v>44264</v>
      </c>
      <c r="G350" s="309" t="s">
        <v>2565</v>
      </c>
      <c r="H350" s="210" t="s">
        <v>2566</v>
      </c>
      <c r="I350" s="210" t="s">
        <v>228</v>
      </c>
      <c r="J350" s="407">
        <v>34100000</v>
      </c>
      <c r="K350" s="212" t="s">
        <v>288</v>
      </c>
      <c r="L350" s="212" t="s">
        <v>2661</v>
      </c>
      <c r="M350" s="212" t="s">
        <v>44</v>
      </c>
      <c r="N350" s="212" t="s">
        <v>45</v>
      </c>
      <c r="O350" s="212" t="s">
        <v>63</v>
      </c>
      <c r="P350" s="212" t="s">
        <v>676</v>
      </c>
      <c r="R350" s="212">
        <v>359</v>
      </c>
      <c r="S350" s="490">
        <v>44264</v>
      </c>
      <c r="T350" s="486" t="s">
        <v>3563</v>
      </c>
      <c r="U350" s="475">
        <f>34100000-12500000</f>
        <v>21600000</v>
      </c>
      <c r="V350" s="406">
        <v>12500000</v>
      </c>
      <c r="W350" s="362"/>
      <c r="X350" s="483" t="s">
        <v>3564</v>
      </c>
      <c r="Y350" s="484">
        <v>44307</v>
      </c>
      <c r="Z350" s="484">
        <v>44307</v>
      </c>
      <c r="AA350" s="484">
        <v>44550</v>
      </c>
      <c r="AB350" s="485" t="s">
        <v>2575</v>
      </c>
      <c r="AC350" s="483" t="s">
        <v>3422</v>
      </c>
      <c r="AD350" s="485" t="s">
        <v>3565</v>
      </c>
      <c r="AE350" s="486" t="s">
        <v>3566</v>
      </c>
      <c r="AF350" s="473">
        <v>21600000</v>
      </c>
      <c r="AL350" s="475">
        <v>810000</v>
      </c>
      <c r="AM350" s="306">
        <v>2700000</v>
      </c>
    </row>
    <row r="351" spans="1:39" hidden="1" x14ac:dyDescent="0.25">
      <c r="A351" s="476" t="s">
        <v>1748</v>
      </c>
      <c r="B351" s="477">
        <v>34100000</v>
      </c>
      <c r="C351" s="212" t="s">
        <v>2571</v>
      </c>
      <c r="D351" s="478">
        <v>346</v>
      </c>
      <c r="E351" s="478">
        <v>20215000012843</v>
      </c>
      <c r="F351" s="479">
        <v>44264</v>
      </c>
      <c r="G351" s="309" t="s">
        <v>2565</v>
      </c>
      <c r="H351" s="210" t="s">
        <v>2566</v>
      </c>
      <c r="I351" s="210" t="s">
        <v>228</v>
      </c>
      <c r="J351" s="407">
        <v>34100000</v>
      </c>
      <c r="K351" s="212" t="s">
        <v>288</v>
      </c>
      <c r="L351" s="212" t="s">
        <v>2661</v>
      </c>
      <c r="M351" s="212" t="s">
        <v>44</v>
      </c>
      <c r="N351" s="212" t="s">
        <v>45</v>
      </c>
      <c r="O351" s="212" t="s">
        <v>63</v>
      </c>
      <c r="P351" s="212" t="s">
        <v>676</v>
      </c>
      <c r="R351" s="212">
        <v>363</v>
      </c>
      <c r="S351" s="490">
        <v>44264</v>
      </c>
      <c r="T351" s="486" t="s">
        <v>3567</v>
      </c>
      <c r="U351" s="475">
        <f>34100000-2100000</f>
        <v>32000000</v>
      </c>
      <c r="V351" s="406">
        <v>2100000</v>
      </c>
      <c r="W351" s="362"/>
      <c r="X351" s="483" t="s">
        <v>3568</v>
      </c>
      <c r="Y351" s="484">
        <v>44306</v>
      </c>
      <c r="Z351" s="484">
        <v>44306</v>
      </c>
      <c r="AA351" s="484">
        <v>44550</v>
      </c>
      <c r="AB351" s="485" t="s">
        <v>2575</v>
      </c>
      <c r="AC351" s="483" t="s">
        <v>3569</v>
      </c>
      <c r="AD351" s="485" t="s">
        <v>3570</v>
      </c>
      <c r="AE351" s="486" t="s">
        <v>3571</v>
      </c>
      <c r="AF351" s="473">
        <v>32000000</v>
      </c>
      <c r="AL351" s="475">
        <v>1466667</v>
      </c>
      <c r="AM351" s="306">
        <v>4000000</v>
      </c>
    </row>
    <row r="352" spans="1:39" hidden="1" x14ac:dyDescent="0.25">
      <c r="A352" s="476" t="s">
        <v>1757</v>
      </c>
      <c r="B352" s="477">
        <v>64000000</v>
      </c>
      <c r="C352" s="212" t="s">
        <v>2571</v>
      </c>
      <c r="D352" s="478">
        <v>347</v>
      </c>
      <c r="E352" s="478">
        <v>20213000013103</v>
      </c>
      <c r="F352" s="479">
        <v>44264</v>
      </c>
      <c r="G352" s="478" t="s">
        <v>2565</v>
      </c>
      <c r="H352" s="212" t="s">
        <v>2566</v>
      </c>
      <c r="I352" s="212" t="s">
        <v>432</v>
      </c>
      <c r="J352" s="475">
        <v>64000000</v>
      </c>
      <c r="K352" s="212" t="s">
        <v>342</v>
      </c>
      <c r="L352" s="212" t="s">
        <v>351</v>
      </c>
      <c r="M352" s="212" t="s">
        <v>44</v>
      </c>
      <c r="N352" s="212" t="s">
        <v>45</v>
      </c>
      <c r="O352" s="212" t="s">
        <v>63</v>
      </c>
      <c r="P352" s="212" t="s">
        <v>676</v>
      </c>
      <c r="R352" s="212">
        <v>366</v>
      </c>
      <c r="S352" s="490">
        <v>44264</v>
      </c>
      <c r="T352" s="486" t="s">
        <v>3572</v>
      </c>
      <c r="U352" s="475">
        <v>64000000</v>
      </c>
      <c r="V352" s="406"/>
      <c r="W352" s="362"/>
      <c r="X352" s="483" t="s">
        <v>3573</v>
      </c>
      <c r="Y352" s="484">
        <v>44285</v>
      </c>
      <c r="Z352" s="484">
        <v>44285</v>
      </c>
      <c r="AA352" s="484">
        <v>44530</v>
      </c>
      <c r="AB352" s="485" t="s">
        <v>2575</v>
      </c>
      <c r="AC352" s="483" t="s">
        <v>3574</v>
      </c>
      <c r="AD352" s="485" t="s">
        <v>3575</v>
      </c>
      <c r="AE352" s="486" t="s">
        <v>2754</v>
      </c>
      <c r="AF352" s="473">
        <v>64000000</v>
      </c>
      <c r="AK352" s="475">
        <v>266667</v>
      </c>
      <c r="AL352" s="475">
        <v>8000000</v>
      </c>
      <c r="AM352" s="306">
        <v>8000000</v>
      </c>
    </row>
    <row r="353" spans="1:50" ht="15" hidden="1" customHeight="1" x14ac:dyDescent="0.25">
      <c r="A353" s="476" t="s">
        <v>2505</v>
      </c>
      <c r="B353" s="477">
        <v>20000000</v>
      </c>
      <c r="C353" s="212" t="s">
        <v>2571</v>
      </c>
      <c r="D353" s="478">
        <v>348</v>
      </c>
      <c r="E353" s="309">
        <v>20214000008313</v>
      </c>
      <c r="F353" s="310">
        <v>44243</v>
      </c>
      <c r="G353" s="478" t="s">
        <v>2605</v>
      </c>
      <c r="H353" s="212" t="s">
        <v>2606</v>
      </c>
      <c r="I353" s="212" t="s">
        <v>47</v>
      </c>
      <c r="J353" s="475">
        <v>18000000</v>
      </c>
      <c r="K353" s="212" t="s">
        <v>37</v>
      </c>
      <c r="L353" s="212" t="s">
        <v>2607</v>
      </c>
      <c r="M353" s="212" t="s">
        <v>44</v>
      </c>
      <c r="N353" s="212" t="s">
        <v>45</v>
      </c>
      <c r="O353" s="212" t="s">
        <v>310</v>
      </c>
      <c r="P353" s="212" t="s">
        <v>43</v>
      </c>
      <c r="R353" s="212">
        <v>258</v>
      </c>
      <c r="S353" s="479">
        <v>44244</v>
      </c>
      <c r="T353" s="212" t="s">
        <v>3576</v>
      </c>
      <c r="U353" s="475">
        <v>18000000</v>
      </c>
      <c r="V353" s="406"/>
      <c r="W353" s="362"/>
      <c r="X353" s="483" t="s">
        <v>3577</v>
      </c>
      <c r="Y353" s="484">
        <v>44278</v>
      </c>
      <c r="Z353" s="484">
        <v>44278</v>
      </c>
      <c r="AA353" s="484">
        <v>44400</v>
      </c>
      <c r="AB353" s="485" t="s">
        <v>2575</v>
      </c>
      <c r="AC353" s="483" t="s">
        <v>3578</v>
      </c>
      <c r="AD353" s="485" t="s">
        <v>3579</v>
      </c>
      <c r="AE353" s="486" t="s">
        <v>3580</v>
      </c>
      <c r="AF353" s="473">
        <v>16352000</v>
      </c>
      <c r="AG353" s="474">
        <f t="shared" ref="AG353:AG416" si="6">+U353-AF353</f>
        <v>1648000</v>
      </c>
      <c r="AK353" s="475">
        <v>953867</v>
      </c>
      <c r="AL353" s="475">
        <v>4088000</v>
      </c>
      <c r="AM353" s="306">
        <v>4088000</v>
      </c>
    </row>
    <row r="354" spans="1:50" s="312" customFormat="1" ht="15" hidden="1" customHeight="1" x14ac:dyDescent="0.25">
      <c r="A354" s="361" t="s">
        <v>3581</v>
      </c>
      <c r="B354" s="417">
        <v>60000000</v>
      </c>
      <c r="C354" s="312" t="s">
        <v>3582</v>
      </c>
      <c r="D354" s="325">
        <v>349</v>
      </c>
      <c r="E354" s="325">
        <v>20215000013323</v>
      </c>
      <c r="F354" s="315">
        <v>44264</v>
      </c>
      <c r="G354" s="325" t="s">
        <v>2565</v>
      </c>
      <c r="H354" s="312" t="s">
        <v>2566</v>
      </c>
      <c r="I354" s="312" t="s">
        <v>228</v>
      </c>
      <c r="J354" s="406">
        <v>30000000</v>
      </c>
      <c r="K354" s="312" t="s">
        <v>223</v>
      </c>
      <c r="L354" s="312" t="s">
        <v>224</v>
      </c>
      <c r="M354" s="312" t="s">
        <v>44</v>
      </c>
      <c r="N354" s="312" t="s">
        <v>2861</v>
      </c>
      <c r="O354" s="312" t="s">
        <v>132</v>
      </c>
      <c r="P354" s="312" t="s">
        <v>676</v>
      </c>
      <c r="R354" s="312">
        <v>367</v>
      </c>
      <c r="S354" s="363">
        <v>44264</v>
      </c>
      <c r="T354" s="360" t="s">
        <v>3583</v>
      </c>
      <c r="U354" s="405">
        <f>30000000-30000000</f>
        <v>0</v>
      </c>
      <c r="V354" s="406">
        <v>30000000</v>
      </c>
      <c r="W354" s="362" t="s">
        <v>1453</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x14ac:dyDescent="0.25">
      <c r="A355" s="476" t="s">
        <v>1832</v>
      </c>
      <c r="B355" s="477">
        <v>80000000</v>
      </c>
      <c r="C355" s="212" t="s">
        <v>2571</v>
      </c>
      <c r="D355" s="309">
        <v>350</v>
      </c>
      <c r="E355" s="478">
        <v>20214000013573</v>
      </c>
      <c r="F355" s="310">
        <v>44265</v>
      </c>
      <c r="G355" s="478" t="s">
        <v>2605</v>
      </c>
      <c r="H355" s="212" t="s">
        <v>2606</v>
      </c>
      <c r="I355" s="212" t="s">
        <v>47</v>
      </c>
      <c r="J355" s="475">
        <v>48000000</v>
      </c>
      <c r="K355" s="212" t="s">
        <v>37</v>
      </c>
      <c r="L355" s="212" t="s">
        <v>2607</v>
      </c>
      <c r="M355" s="212" t="s">
        <v>44</v>
      </c>
      <c r="N355" s="212" t="s">
        <v>45</v>
      </c>
      <c r="O355" s="212" t="s">
        <v>310</v>
      </c>
      <c r="P355" s="212" t="s">
        <v>43</v>
      </c>
      <c r="Q355" s="212"/>
      <c r="R355" s="212">
        <v>375</v>
      </c>
      <c r="S355" s="490">
        <v>44265</v>
      </c>
      <c r="T355" s="486" t="s">
        <v>3584</v>
      </c>
      <c r="U355" s="475">
        <v>48000000</v>
      </c>
      <c r="V355" s="406"/>
      <c r="W355" s="362"/>
      <c r="X355" s="483" t="s">
        <v>3342</v>
      </c>
      <c r="Y355" s="484">
        <v>44278</v>
      </c>
      <c r="Z355" s="484">
        <v>44278</v>
      </c>
      <c r="AA355" s="484">
        <v>44462</v>
      </c>
      <c r="AB355" s="485" t="s">
        <v>2575</v>
      </c>
      <c r="AC355" s="483" t="s">
        <v>3585</v>
      </c>
      <c r="AD355" s="485" t="s">
        <v>3586</v>
      </c>
      <c r="AE355" s="486" t="s">
        <v>3587</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x14ac:dyDescent="0.25">
      <c r="A356" s="361" t="s">
        <v>3588</v>
      </c>
      <c r="B356" s="417">
        <v>35551026</v>
      </c>
      <c r="C356" s="312" t="s">
        <v>2687</v>
      </c>
      <c r="D356" s="325">
        <v>351</v>
      </c>
      <c r="E356" s="325">
        <v>20214000013493</v>
      </c>
      <c r="F356" s="315">
        <v>44265</v>
      </c>
      <c r="G356" s="325" t="s">
        <v>2605</v>
      </c>
      <c r="H356" s="312" t="s">
        <v>2606</v>
      </c>
      <c r="I356" s="312" t="s">
        <v>47</v>
      </c>
      <c r="J356" s="405">
        <v>23700000</v>
      </c>
      <c r="K356" s="312" t="s">
        <v>37</v>
      </c>
      <c r="L356" s="312" t="s">
        <v>2607</v>
      </c>
      <c r="M356" s="312" t="s">
        <v>44</v>
      </c>
      <c r="N356" s="312" t="s">
        <v>45</v>
      </c>
      <c r="O356" s="212" t="s">
        <v>310</v>
      </c>
      <c r="P356" s="312" t="s">
        <v>43</v>
      </c>
      <c r="R356" s="312">
        <v>371</v>
      </c>
      <c r="S356" s="363">
        <v>44265</v>
      </c>
      <c r="T356" s="360" t="s">
        <v>3589</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x14ac:dyDescent="0.25">
      <c r="A357" s="476" t="s">
        <v>2507</v>
      </c>
      <c r="B357" s="477">
        <v>27000000</v>
      </c>
      <c r="C357" s="212" t="s">
        <v>2571</v>
      </c>
      <c r="D357" s="478">
        <v>352</v>
      </c>
      <c r="E357" s="478">
        <v>20214000013513</v>
      </c>
      <c r="F357" s="310">
        <v>44265</v>
      </c>
      <c r="G357" s="478" t="s">
        <v>2605</v>
      </c>
      <c r="H357" s="212" t="s">
        <v>2606</v>
      </c>
      <c r="I357" s="212" t="s">
        <v>47</v>
      </c>
      <c r="J357" s="475">
        <v>18000000</v>
      </c>
      <c r="K357" s="212" t="s">
        <v>37</v>
      </c>
      <c r="L357" s="212" t="s">
        <v>2607</v>
      </c>
      <c r="M357" s="212" t="s">
        <v>44</v>
      </c>
      <c r="N357" s="212" t="s">
        <v>45</v>
      </c>
      <c r="O357" s="212" t="s">
        <v>310</v>
      </c>
      <c r="P357" s="212" t="s">
        <v>43</v>
      </c>
      <c r="R357" s="212">
        <v>372</v>
      </c>
      <c r="S357" s="490">
        <v>44265</v>
      </c>
      <c r="T357" s="486" t="s">
        <v>3590</v>
      </c>
      <c r="U357" s="475">
        <v>18000000</v>
      </c>
      <c r="V357" s="406"/>
      <c r="W357" s="362"/>
      <c r="X357" s="483" t="s">
        <v>3591</v>
      </c>
      <c r="Y357" s="484">
        <v>44299</v>
      </c>
      <c r="Z357" s="484">
        <v>44299</v>
      </c>
      <c r="AA357" s="484">
        <v>44482</v>
      </c>
      <c r="AB357" s="485" t="s">
        <v>2575</v>
      </c>
      <c r="AC357" s="483" t="s">
        <v>3592</v>
      </c>
      <c r="AD357" s="485" t="s">
        <v>3593</v>
      </c>
      <c r="AE357" s="486" t="s">
        <v>3594</v>
      </c>
      <c r="AF357" s="473">
        <v>18000000</v>
      </c>
      <c r="AG357" s="474">
        <f t="shared" si="6"/>
        <v>0</v>
      </c>
      <c r="AL357" s="475">
        <v>1800000</v>
      </c>
      <c r="AM357" s="306">
        <v>3000000</v>
      </c>
    </row>
    <row r="358" spans="1:50" ht="15" hidden="1" customHeight="1" x14ac:dyDescent="0.25">
      <c r="A358" s="476" t="s">
        <v>2501</v>
      </c>
      <c r="B358" s="477">
        <v>67500000</v>
      </c>
      <c r="C358" s="212" t="s">
        <v>2571</v>
      </c>
      <c r="D358" s="478">
        <v>353</v>
      </c>
      <c r="E358" s="478">
        <v>20214000013523</v>
      </c>
      <c r="F358" s="310">
        <v>44265</v>
      </c>
      <c r="G358" s="478" t="s">
        <v>2605</v>
      </c>
      <c r="H358" s="212" t="s">
        <v>2606</v>
      </c>
      <c r="I358" s="212" t="s">
        <v>47</v>
      </c>
      <c r="J358" s="475">
        <v>45000000</v>
      </c>
      <c r="K358" s="212" t="s">
        <v>37</v>
      </c>
      <c r="L358" s="212" t="s">
        <v>2607</v>
      </c>
      <c r="M358" s="212" t="s">
        <v>44</v>
      </c>
      <c r="N358" s="212" t="s">
        <v>45</v>
      </c>
      <c r="O358" s="212" t="s">
        <v>310</v>
      </c>
      <c r="P358" s="212" t="s">
        <v>43</v>
      </c>
      <c r="R358" s="212">
        <v>373</v>
      </c>
      <c r="S358" s="490">
        <v>44265</v>
      </c>
      <c r="T358" s="486" t="s">
        <v>3595</v>
      </c>
      <c r="U358" s="475">
        <v>45000000</v>
      </c>
      <c r="V358" s="406"/>
      <c r="W358" s="362"/>
      <c r="X358" s="308">
        <v>397</v>
      </c>
      <c r="Y358" s="484">
        <v>44295</v>
      </c>
      <c r="Z358" s="484">
        <v>44295</v>
      </c>
      <c r="AA358" s="484">
        <v>44478</v>
      </c>
      <c r="AB358" s="485" t="s">
        <v>2575</v>
      </c>
      <c r="AC358" s="483" t="s">
        <v>3596</v>
      </c>
      <c r="AD358" s="485" t="s">
        <v>3597</v>
      </c>
      <c r="AE358" s="486" t="s">
        <v>3598</v>
      </c>
      <c r="AF358" s="473">
        <v>45000000</v>
      </c>
      <c r="AG358" s="474">
        <f t="shared" si="6"/>
        <v>0</v>
      </c>
      <c r="AL358" s="475">
        <v>5500000</v>
      </c>
      <c r="AM358" s="306">
        <v>7500000</v>
      </c>
    </row>
    <row r="359" spans="1:50" ht="15" hidden="1" customHeight="1" x14ac:dyDescent="0.25">
      <c r="A359" s="476" t="s">
        <v>2163</v>
      </c>
      <c r="B359" s="477">
        <v>73039148</v>
      </c>
      <c r="C359" s="212" t="s">
        <v>2571</v>
      </c>
      <c r="D359" s="478">
        <v>354</v>
      </c>
      <c r="E359" s="478">
        <v>20214000013533</v>
      </c>
      <c r="F359" s="310">
        <v>44265</v>
      </c>
      <c r="G359" s="478" t="s">
        <v>2598</v>
      </c>
      <c r="H359" s="212" t="s">
        <v>2599</v>
      </c>
      <c r="I359" s="212" t="s">
        <v>117</v>
      </c>
      <c r="J359" s="475">
        <v>48000000</v>
      </c>
      <c r="K359" s="212" t="s">
        <v>112</v>
      </c>
      <c r="L359" s="212" t="s">
        <v>2600</v>
      </c>
      <c r="M359" s="212" t="s">
        <v>44</v>
      </c>
      <c r="N359" s="212" t="s">
        <v>45</v>
      </c>
      <c r="O359" s="212" t="s">
        <v>63</v>
      </c>
      <c r="P359" s="212" t="s">
        <v>43</v>
      </c>
      <c r="R359" s="212">
        <v>374</v>
      </c>
      <c r="S359" s="490">
        <v>44265</v>
      </c>
      <c r="T359" s="486" t="s">
        <v>3599</v>
      </c>
      <c r="U359" s="475">
        <v>48000000</v>
      </c>
      <c r="V359" s="406"/>
      <c r="W359" s="362"/>
      <c r="X359" s="483" t="s">
        <v>3478</v>
      </c>
      <c r="Y359" s="484">
        <v>44292</v>
      </c>
      <c r="Z359" s="484">
        <v>44292</v>
      </c>
      <c r="AA359" s="484">
        <v>44475</v>
      </c>
      <c r="AB359" s="485" t="s">
        <v>2575</v>
      </c>
      <c r="AC359" s="483" t="s">
        <v>3345</v>
      </c>
      <c r="AD359" s="485" t="s">
        <v>3600</v>
      </c>
      <c r="AE359" s="486" t="s">
        <v>3601</v>
      </c>
      <c r="AF359" s="473">
        <v>48000000</v>
      </c>
      <c r="AG359" s="474">
        <f t="shared" si="6"/>
        <v>0</v>
      </c>
      <c r="AL359" s="475">
        <v>6666666</v>
      </c>
      <c r="AM359" s="306">
        <v>8000000</v>
      </c>
    </row>
    <row r="360" spans="1:50" ht="15" hidden="1" customHeight="1" x14ac:dyDescent="0.25">
      <c r="A360" s="476" t="s">
        <v>3602</v>
      </c>
      <c r="B360" s="477">
        <v>8000000</v>
      </c>
      <c r="C360" s="212" t="s">
        <v>3603</v>
      </c>
      <c r="D360" s="478">
        <v>355</v>
      </c>
      <c r="E360" s="478">
        <v>20211300002603</v>
      </c>
      <c r="F360" s="479">
        <v>44221</v>
      </c>
      <c r="G360" s="478" t="s">
        <v>2572</v>
      </c>
      <c r="H360" s="212" t="s">
        <v>2573</v>
      </c>
      <c r="I360" s="212" t="s">
        <v>210</v>
      </c>
      <c r="J360" s="475">
        <v>7979521</v>
      </c>
      <c r="K360" s="212" t="s">
        <v>138</v>
      </c>
      <c r="L360" s="212" t="s">
        <v>139</v>
      </c>
      <c r="M360" s="212" t="s">
        <v>44</v>
      </c>
      <c r="N360" s="212" t="s">
        <v>45</v>
      </c>
      <c r="O360" s="212" t="s">
        <v>142</v>
      </c>
      <c r="P360" s="212" t="s">
        <v>43</v>
      </c>
      <c r="R360" s="212">
        <v>88</v>
      </c>
      <c r="S360" s="479">
        <v>44221</v>
      </c>
      <c r="T360" s="212" t="s">
        <v>3602</v>
      </c>
      <c r="U360" s="475">
        <v>7979521</v>
      </c>
      <c r="V360" s="406"/>
      <c r="W360" s="362"/>
      <c r="X360" s="308">
        <v>296</v>
      </c>
      <c r="Y360" s="484">
        <v>44278</v>
      </c>
      <c r="Z360" s="484">
        <v>44278</v>
      </c>
      <c r="AA360" s="484">
        <v>44462</v>
      </c>
      <c r="AB360" s="485" t="s">
        <v>2575</v>
      </c>
      <c r="AC360" s="211">
        <v>207</v>
      </c>
      <c r="AD360" s="492" t="s">
        <v>3604</v>
      </c>
      <c r="AE360" s="493" t="s">
        <v>3605</v>
      </c>
      <c r="AF360" s="473">
        <v>7977760</v>
      </c>
      <c r="AG360" s="474">
        <f t="shared" si="6"/>
        <v>1761</v>
      </c>
      <c r="AM360" s="306">
        <v>7977760</v>
      </c>
    </row>
    <row r="361" spans="1:50" ht="15" hidden="1" customHeight="1" x14ac:dyDescent="0.25">
      <c r="A361" s="476" t="s">
        <v>1841</v>
      </c>
      <c r="B361" s="477">
        <v>33000000</v>
      </c>
      <c r="C361" s="212" t="s">
        <v>2571</v>
      </c>
      <c r="D361" s="478">
        <v>356</v>
      </c>
      <c r="E361" s="478">
        <v>20215000002873</v>
      </c>
      <c r="F361" s="479">
        <v>44225</v>
      </c>
      <c r="G361" s="478" t="s">
        <v>2565</v>
      </c>
      <c r="H361" s="212" t="s">
        <v>2566</v>
      </c>
      <c r="I361" s="212" t="s">
        <v>228</v>
      </c>
      <c r="J361" s="475">
        <v>33000000</v>
      </c>
      <c r="K361" s="212" t="s">
        <v>223</v>
      </c>
      <c r="L361" s="212" t="s">
        <v>236</v>
      </c>
      <c r="M361" s="212" t="s">
        <v>44</v>
      </c>
      <c r="N361" s="212" t="s">
        <v>45</v>
      </c>
      <c r="O361" s="212" t="s">
        <v>63</v>
      </c>
      <c r="P361" s="212" t="s">
        <v>676</v>
      </c>
      <c r="R361" s="212">
        <v>128</v>
      </c>
      <c r="S361" s="479">
        <v>44225</v>
      </c>
      <c r="T361" s="212" t="s">
        <v>3606</v>
      </c>
      <c r="U361" s="475">
        <f>33000000-13200000</f>
        <v>19800000</v>
      </c>
      <c r="V361" s="406">
        <v>13200000</v>
      </c>
      <c r="W361" s="362"/>
      <c r="X361" s="483" t="s">
        <v>3607</v>
      </c>
      <c r="Y361" s="484">
        <v>44278</v>
      </c>
      <c r="Z361" s="484">
        <v>44278</v>
      </c>
      <c r="AA361" s="484">
        <v>44553</v>
      </c>
      <c r="AB361" s="485" t="s">
        <v>2575</v>
      </c>
      <c r="AC361" s="483" t="s">
        <v>3608</v>
      </c>
      <c r="AD361" s="485" t="s">
        <v>3609</v>
      </c>
      <c r="AE361" s="486" t="s">
        <v>3610</v>
      </c>
      <c r="AF361" s="473">
        <v>19800000</v>
      </c>
      <c r="AG361" s="474">
        <f t="shared" si="6"/>
        <v>0</v>
      </c>
      <c r="AL361" s="475">
        <v>2273333</v>
      </c>
      <c r="AM361" s="306">
        <v>2200000</v>
      </c>
    </row>
    <row r="362" spans="1:50" ht="15" hidden="1" customHeight="1" x14ac:dyDescent="0.25">
      <c r="A362" s="476" t="s">
        <v>2166</v>
      </c>
      <c r="B362" s="477">
        <v>35550000</v>
      </c>
      <c r="C362" s="212" t="s">
        <v>2571</v>
      </c>
      <c r="D362" s="478">
        <v>357</v>
      </c>
      <c r="E362" s="478">
        <v>20214000013583</v>
      </c>
      <c r="F362" s="310">
        <v>44265</v>
      </c>
      <c r="G362" s="478" t="s">
        <v>2598</v>
      </c>
      <c r="H362" s="212" t="s">
        <v>2599</v>
      </c>
      <c r="I362" s="212" t="s">
        <v>117</v>
      </c>
      <c r="J362" s="475">
        <v>23700000</v>
      </c>
      <c r="K362" s="212" t="s">
        <v>112</v>
      </c>
      <c r="L362" s="212" t="s">
        <v>2600</v>
      </c>
      <c r="M362" s="212" t="s">
        <v>44</v>
      </c>
      <c r="N362" s="212" t="s">
        <v>45</v>
      </c>
      <c r="O362" s="212" t="s">
        <v>63</v>
      </c>
      <c r="P362" s="212" t="s">
        <v>43</v>
      </c>
      <c r="R362" s="212">
        <v>376</v>
      </c>
      <c r="S362" s="490">
        <v>44265</v>
      </c>
      <c r="T362" s="486" t="s">
        <v>3611</v>
      </c>
      <c r="U362" s="475">
        <v>23700000</v>
      </c>
      <c r="V362" s="406"/>
      <c r="W362" s="362"/>
      <c r="X362" s="483" t="s">
        <v>3190</v>
      </c>
      <c r="Y362" s="484">
        <v>44286</v>
      </c>
      <c r="Z362" s="484">
        <v>44286</v>
      </c>
      <c r="AA362" s="484">
        <v>44469</v>
      </c>
      <c r="AB362" s="485" t="s">
        <v>2575</v>
      </c>
      <c r="AC362" s="483" t="s">
        <v>3612</v>
      </c>
      <c r="AD362" s="485" t="s">
        <v>3613</v>
      </c>
      <c r="AE362" s="486" t="s">
        <v>3614</v>
      </c>
      <c r="AF362" s="473">
        <v>23700000</v>
      </c>
      <c r="AG362" s="474">
        <f t="shared" si="6"/>
        <v>0</v>
      </c>
      <c r="AL362" s="475">
        <v>3423333</v>
      </c>
      <c r="AM362" s="306">
        <v>3950000</v>
      </c>
    </row>
    <row r="363" spans="1:50" ht="15" hidden="1" customHeight="1" x14ac:dyDescent="0.25">
      <c r="A363" s="476" t="s">
        <v>2509</v>
      </c>
      <c r="B363" s="477">
        <v>72000000</v>
      </c>
      <c r="C363" s="212" t="s">
        <v>2571</v>
      </c>
      <c r="D363" s="478">
        <v>358</v>
      </c>
      <c r="E363" s="478">
        <v>20214000013593</v>
      </c>
      <c r="F363" s="310">
        <v>44265</v>
      </c>
      <c r="G363" s="478" t="s">
        <v>2605</v>
      </c>
      <c r="H363" s="212" t="s">
        <v>2606</v>
      </c>
      <c r="I363" s="212" t="s">
        <v>47</v>
      </c>
      <c r="J363" s="475">
        <v>48000000</v>
      </c>
      <c r="K363" s="212" t="s">
        <v>37</v>
      </c>
      <c r="L363" s="212" t="s">
        <v>2607</v>
      </c>
      <c r="M363" s="212" t="s">
        <v>44</v>
      </c>
      <c r="N363" s="212" t="s">
        <v>45</v>
      </c>
      <c r="O363" s="212" t="s">
        <v>310</v>
      </c>
      <c r="P363" s="212" t="s">
        <v>43</v>
      </c>
      <c r="R363" s="212">
        <v>377</v>
      </c>
      <c r="S363" s="490">
        <v>44265</v>
      </c>
      <c r="T363" s="486" t="s">
        <v>3615</v>
      </c>
      <c r="U363" s="475">
        <v>48000000</v>
      </c>
      <c r="V363" s="406"/>
      <c r="W363" s="362"/>
      <c r="X363" s="483" t="s">
        <v>3616</v>
      </c>
      <c r="Y363" s="484">
        <v>44286</v>
      </c>
      <c r="Z363" s="484">
        <v>44286</v>
      </c>
      <c r="AA363" s="484">
        <v>44469</v>
      </c>
      <c r="AB363" s="485" t="s">
        <v>2575</v>
      </c>
      <c r="AC363" s="483" t="s">
        <v>3301</v>
      </c>
      <c r="AD363" s="485" t="s">
        <v>3617</v>
      </c>
      <c r="AE363" s="486" t="s">
        <v>3618</v>
      </c>
      <c r="AF363" s="473">
        <v>48000000</v>
      </c>
      <c r="AG363" s="474">
        <f t="shared" si="6"/>
        <v>0</v>
      </c>
      <c r="AL363" s="475">
        <v>6933333</v>
      </c>
      <c r="AM363" s="306">
        <v>8000000</v>
      </c>
    </row>
    <row r="364" spans="1:50" ht="15" hidden="1" customHeight="1" x14ac:dyDescent="0.25">
      <c r="A364" s="476" t="s">
        <v>3619</v>
      </c>
      <c r="B364" s="477">
        <v>27000000</v>
      </c>
      <c r="C364" s="212" t="s">
        <v>2571</v>
      </c>
      <c r="D364" s="478">
        <v>359</v>
      </c>
      <c r="E364" s="478">
        <v>20214000013603</v>
      </c>
      <c r="F364" s="310">
        <v>44265</v>
      </c>
      <c r="G364" s="478" t="s">
        <v>2598</v>
      </c>
      <c r="H364" s="212" t="s">
        <v>2599</v>
      </c>
      <c r="I364" s="212" t="s">
        <v>117</v>
      </c>
      <c r="J364" s="475">
        <v>18000000</v>
      </c>
      <c r="K364" s="212" t="s">
        <v>112</v>
      </c>
      <c r="L364" s="212" t="s">
        <v>2600</v>
      </c>
      <c r="M364" s="212" t="s">
        <v>44</v>
      </c>
      <c r="N364" s="212" t="s">
        <v>45</v>
      </c>
      <c r="O364" s="212" t="s">
        <v>63</v>
      </c>
      <c r="P364" s="212" t="s">
        <v>43</v>
      </c>
      <c r="R364" s="212">
        <v>378</v>
      </c>
      <c r="S364" s="490">
        <v>44265</v>
      </c>
      <c r="T364" s="486" t="s">
        <v>3620</v>
      </c>
      <c r="U364" s="475">
        <v>18000000</v>
      </c>
      <c r="V364" s="406"/>
      <c r="W364" s="362"/>
      <c r="X364" s="483" t="s">
        <v>3621</v>
      </c>
      <c r="Y364" s="484">
        <v>44286</v>
      </c>
      <c r="Z364" s="484">
        <v>44286</v>
      </c>
      <c r="AA364" s="484">
        <v>44469</v>
      </c>
      <c r="AB364" s="485" t="s">
        <v>2575</v>
      </c>
      <c r="AC364" s="483" t="s">
        <v>3306</v>
      </c>
      <c r="AD364" s="485" t="s">
        <v>3622</v>
      </c>
      <c r="AE364" s="486" t="s">
        <v>3623</v>
      </c>
      <c r="AF364" s="473">
        <v>18000000</v>
      </c>
      <c r="AG364" s="474">
        <f t="shared" si="6"/>
        <v>0</v>
      </c>
      <c r="AL364" s="475">
        <v>2600000</v>
      </c>
      <c r="AM364" s="306">
        <v>3000000</v>
      </c>
    </row>
    <row r="365" spans="1:50" ht="15" hidden="1" customHeight="1" x14ac:dyDescent="0.25">
      <c r="A365" s="476" t="s">
        <v>3624</v>
      </c>
      <c r="B365" s="477">
        <v>27000000</v>
      </c>
      <c r="C365" s="212" t="s">
        <v>2571</v>
      </c>
      <c r="D365" s="478">
        <v>360</v>
      </c>
      <c r="E365" s="478">
        <v>20214000013613</v>
      </c>
      <c r="F365" s="310">
        <v>44265</v>
      </c>
      <c r="G365" s="478" t="s">
        <v>2598</v>
      </c>
      <c r="H365" s="212" t="s">
        <v>2599</v>
      </c>
      <c r="I365" s="212" t="s">
        <v>117</v>
      </c>
      <c r="J365" s="475">
        <v>18000000</v>
      </c>
      <c r="K365" s="212" t="s">
        <v>112</v>
      </c>
      <c r="L365" s="212" t="s">
        <v>2600</v>
      </c>
      <c r="M365" s="212" t="s">
        <v>44</v>
      </c>
      <c r="N365" s="212" t="s">
        <v>45</v>
      </c>
      <c r="O365" s="212" t="s">
        <v>63</v>
      </c>
      <c r="P365" s="212" t="s">
        <v>43</v>
      </c>
      <c r="R365" s="212">
        <v>379</v>
      </c>
      <c r="S365" s="490">
        <v>44265</v>
      </c>
      <c r="T365" s="486" t="s">
        <v>3625</v>
      </c>
      <c r="U365" s="475">
        <v>18000000</v>
      </c>
      <c r="V365" s="406"/>
      <c r="W365" s="362"/>
      <c r="X365" s="211" t="s">
        <v>3626</v>
      </c>
      <c r="Y365" s="472">
        <v>44301</v>
      </c>
      <c r="Z365" s="472">
        <v>44301</v>
      </c>
      <c r="AA365" s="472">
        <v>44484</v>
      </c>
      <c r="AB365" s="2" t="s">
        <v>2575</v>
      </c>
      <c r="AC365" s="211" t="s">
        <v>3627</v>
      </c>
      <c r="AD365" s="2" t="s">
        <v>3628</v>
      </c>
      <c r="AE365" s="212" t="s">
        <v>3629</v>
      </c>
      <c r="AF365" s="473">
        <v>18000000</v>
      </c>
      <c r="AG365" s="474">
        <f t="shared" si="6"/>
        <v>0</v>
      </c>
      <c r="AL365" s="475">
        <v>1600000</v>
      </c>
      <c r="AM365" s="306">
        <v>3000000</v>
      </c>
    </row>
    <row r="366" spans="1:50" ht="15" hidden="1" customHeight="1" x14ac:dyDescent="0.25">
      <c r="A366" s="476" t="s">
        <v>2351</v>
      </c>
      <c r="B366" s="477">
        <v>54000000</v>
      </c>
      <c r="C366" s="212" t="s">
        <v>2571</v>
      </c>
      <c r="D366" s="478">
        <v>361</v>
      </c>
      <c r="E366" s="478">
        <v>20215000013343</v>
      </c>
      <c r="F366" s="479">
        <v>44264</v>
      </c>
      <c r="G366" s="478" t="s">
        <v>2565</v>
      </c>
      <c r="H366" s="212" t="s">
        <v>2566</v>
      </c>
      <c r="I366" s="212" t="s">
        <v>228</v>
      </c>
      <c r="J366" s="475">
        <v>32000000</v>
      </c>
      <c r="K366" s="212" t="s">
        <v>223</v>
      </c>
      <c r="L366" s="212" t="s">
        <v>2683</v>
      </c>
      <c r="M366" s="212" t="s">
        <v>44</v>
      </c>
      <c r="N366" s="212" t="s">
        <v>45</v>
      </c>
      <c r="O366" s="212" t="s">
        <v>63</v>
      </c>
      <c r="P366" s="212" t="s">
        <v>676</v>
      </c>
      <c r="R366" s="212">
        <v>368</v>
      </c>
      <c r="S366" s="490">
        <v>44264</v>
      </c>
      <c r="T366" s="486" t="s">
        <v>3630</v>
      </c>
      <c r="U366" s="475">
        <v>32000000</v>
      </c>
      <c r="V366" s="406"/>
      <c r="W366" s="362"/>
      <c r="X366" s="483" t="s">
        <v>3631</v>
      </c>
      <c r="Y366" s="484">
        <v>44279</v>
      </c>
      <c r="Z366" s="484">
        <v>44279</v>
      </c>
      <c r="AA366" s="484">
        <v>44524</v>
      </c>
      <c r="AB366" s="485" t="s">
        <v>2575</v>
      </c>
      <c r="AC366" s="483" t="s">
        <v>3632</v>
      </c>
      <c r="AD366" s="485" t="s">
        <v>3633</v>
      </c>
      <c r="AE366" s="486" t="s">
        <v>3634</v>
      </c>
      <c r="AF366" s="473">
        <v>32000000</v>
      </c>
      <c r="AG366" s="474">
        <f t="shared" si="6"/>
        <v>0</v>
      </c>
      <c r="AK366" s="475">
        <v>933333</v>
      </c>
      <c r="AL366" s="475">
        <v>4000000</v>
      </c>
      <c r="AM366" s="306">
        <v>4000000</v>
      </c>
    </row>
    <row r="367" spans="1:50" ht="15" hidden="1" customHeight="1" x14ac:dyDescent="0.25">
      <c r="A367" s="476" t="s">
        <v>2137</v>
      </c>
      <c r="B367" s="477">
        <v>28619969</v>
      </c>
      <c r="C367" s="212" t="s">
        <v>2571</v>
      </c>
      <c r="D367" s="478">
        <v>362</v>
      </c>
      <c r="E367" s="478">
        <v>20211300013943</v>
      </c>
      <c r="F367" s="310">
        <v>44265</v>
      </c>
      <c r="G367" s="478" t="s">
        <v>2572</v>
      </c>
      <c r="H367" s="212" t="s">
        <v>2573</v>
      </c>
      <c r="I367" s="212" t="s">
        <v>210</v>
      </c>
      <c r="J367" s="475">
        <v>16353468</v>
      </c>
      <c r="K367" s="212" t="s">
        <v>138</v>
      </c>
      <c r="L367" s="212" t="s">
        <v>139</v>
      </c>
      <c r="M367" s="212" t="s">
        <v>44</v>
      </c>
      <c r="N367" s="212" t="s">
        <v>45</v>
      </c>
      <c r="O367" s="212" t="s">
        <v>142</v>
      </c>
      <c r="P367" s="212" t="s">
        <v>43</v>
      </c>
      <c r="R367" s="212">
        <v>403</v>
      </c>
      <c r="S367" s="490">
        <v>44266</v>
      </c>
      <c r="T367" s="486" t="s">
        <v>3635</v>
      </c>
      <c r="U367" s="475">
        <v>16353468</v>
      </c>
      <c r="V367" s="406"/>
      <c r="W367" s="362"/>
      <c r="X367" s="483" t="s">
        <v>3636</v>
      </c>
      <c r="Y367" s="484">
        <v>44305</v>
      </c>
      <c r="Z367" s="484">
        <v>44305</v>
      </c>
      <c r="AA367" s="484">
        <v>44426</v>
      </c>
      <c r="AB367" s="485" t="s">
        <v>2575</v>
      </c>
      <c r="AC367" s="483" t="s">
        <v>3637</v>
      </c>
      <c r="AD367" s="485" t="s">
        <v>3638</v>
      </c>
      <c r="AE367" s="486" t="s">
        <v>2644</v>
      </c>
      <c r="AF367" s="473">
        <v>16353468</v>
      </c>
      <c r="AG367" s="474">
        <f t="shared" si="6"/>
        <v>0</v>
      </c>
      <c r="AM367" s="306">
        <v>5587435</v>
      </c>
    </row>
    <row r="368" spans="1:50" ht="15" hidden="1" customHeight="1" x14ac:dyDescent="0.25">
      <c r="A368" s="476" t="s">
        <v>1931</v>
      </c>
      <c r="B368" s="477">
        <v>29981358</v>
      </c>
      <c r="C368" s="212" t="s">
        <v>2571</v>
      </c>
      <c r="D368" s="478">
        <v>363</v>
      </c>
      <c r="E368" s="309">
        <v>20217000011343</v>
      </c>
      <c r="F368" s="479">
        <v>44256</v>
      </c>
      <c r="G368" s="478" t="s">
        <v>2572</v>
      </c>
      <c r="H368" s="212" t="s">
        <v>2573</v>
      </c>
      <c r="I368" s="212" t="s">
        <v>164</v>
      </c>
      <c r="J368" s="475">
        <v>16353468</v>
      </c>
      <c r="K368" s="212" t="s">
        <v>138</v>
      </c>
      <c r="L368" s="212" t="s">
        <v>139</v>
      </c>
      <c r="M368" s="212" t="s">
        <v>44</v>
      </c>
      <c r="N368" s="212" t="s">
        <v>45</v>
      </c>
      <c r="O368" s="212" t="s">
        <v>142</v>
      </c>
      <c r="P368" s="212" t="s">
        <v>43</v>
      </c>
      <c r="R368" s="212">
        <v>319</v>
      </c>
      <c r="S368" s="490">
        <v>44256</v>
      </c>
      <c r="T368" s="486" t="s">
        <v>3639</v>
      </c>
      <c r="U368" s="475">
        <v>16353468</v>
      </c>
      <c r="V368" s="406"/>
      <c r="W368" s="362"/>
      <c r="X368" s="483" t="s">
        <v>3640</v>
      </c>
      <c r="Y368" s="484">
        <v>44279</v>
      </c>
      <c r="Z368" s="484">
        <v>44279</v>
      </c>
      <c r="AA368" s="484">
        <v>44463</v>
      </c>
      <c r="AB368" s="485" t="s">
        <v>2575</v>
      </c>
      <c r="AC368" s="483" t="s">
        <v>3641</v>
      </c>
      <c r="AD368" s="485" t="s">
        <v>3642</v>
      </c>
      <c r="AE368" s="486" t="s">
        <v>2622</v>
      </c>
      <c r="AF368" s="473">
        <v>16353468</v>
      </c>
      <c r="AG368" s="474">
        <f t="shared" si="6"/>
        <v>0</v>
      </c>
      <c r="AL368" s="475">
        <v>3270693</v>
      </c>
      <c r="AM368" s="306">
        <v>2725578</v>
      </c>
    </row>
    <row r="369" spans="1:50" ht="15" hidden="1" customHeight="1" x14ac:dyDescent="0.25">
      <c r="A369" s="476" t="s">
        <v>1882</v>
      </c>
      <c r="B369" s="477">
        <v>43380000</v>
      </c>
      <c r="C369" s="212" t="s">
        <v>2571</v>
      </c>
      <c r="D369" s="478">
        <v>364</v>
      </c>
      <c r="E369" s="478">
        <v>20216000014473</v>
      </c>
      <c r="F369" s="479">
        <v>44267</v>
      </c>
      <c r="G369" s="478" t="s">
        <v>2572</v>
      </c>
      <c r="H369" s="212" t="s">
        <v>2573</v>
      </c>
      <c r="I369" s="212" t="s">
        <v>214</v>
      </c>
      <c r="J369" s="475">
        <v>43380000</v>
      </c>
      <c r="K369" s="212" t="s">
        <v>138</v>
      </c>
      <c r="L369" s="212" t="s">
        <v>139</v>
      </c>
      <c r="M369" s="212" t="s">
        <v>44</v>
      </c>
      <c r="N369" s="212" t="s">
        <v>45</v>
      </c>
      <c r="O369" s="212" t="s">
        <v>142</v>
      </c>
      <c r="P369" s="212" t="s">
        <v>43</v>
      </c>
      <c r="R369" s="212">
        <v>427</v>
      </c>
      <c r="S369" s="490">
        <v>44267</v>
      </c>
      <c r="T369" s="486" t="s">
        <v>3643</v>
      </c>
      <c r="U369" s="475">
        <v>43380000</v>
      </c>
      <c r="V369" s="406"/>
      <c r="W369" s="362"/>
      <c r="X369" s="483" t="s">
        <v>3545</v>
      </c>
      <c r="Y369" s="484">
        <v>44279</v>
      </c>
      <c r="Z369" s="484">
        <v>44279</v>
      </c>
      <c r="AA369" s="484">
        <v>44554</v>
      </c>
      <c r="AB369" s="485" t="s">
        <v>2575</v>
      </c>
      <c r="AC369" s="483" t="s">
        <v>3644</v>
      </c>
      <c r="AD369" s="485" t="s">
        <v>3645</v>
      </c>
      <c r="AE369" s="486" t="s">
        <v>3646</v>
      </c>
      <c r="AF369" s="473">
        <v>43380000</v>
      </c>
      <c r="AG369" s="474">
        <f t="shared" si="6"/>
        <v>0</v>
      </c>
      <c r="AK369" s="475">
        <v>964000</v>
      </c>
      <c r="AL369" s="475">
        <v>4820000</v>
      </c>
      <c r="AM369" s="306">
        <v>4820000</v>
      </c>
    </row>
    <row r="370" spans="1:50" ht="15" hidden="1" customHeight="1" x14ac:dyDescent="0.25">
      <c r="A370" s="476" t="s">
        <v>2140</v>
      </c>
      <c r="B370" s="477">
        <v>41337934</v>
      </c>
      <c r="C370" s="212" t="s">
        <v>2571</v>
      </c>
      <c r="D370" s="478">
        <v>365</v>
      </c>
      <c r="E370" s="478">
        <v>20211300013933</v>
      </c>
      <c r="F370" s="310">
        <v>44265</v>
      </c>
      <c r="G370" s="478" t="s">
        <v>2572</v>
      </c>
      <c r="H370" s="212" t="s">
        <v>2573</v>
      </c>
      <c r="I370" s="212" t="s">
        <v>210</v>
      </c>
      <c r="J370" s="475">
        <v>23621677</v>
      </c>
      <c r="K370" s="212" t="s">
        <v>138</v>
      </c>
      <c r="L370" s="212" t="s">
        <v>139</v>
      </c>
      <c r="M370" s="212" t="s">
        <v>44</v>
      </c>
      <c r="N370" s="212" t="s">
        <v>45</v>
      </c>
      <c r="O370" s="212" t="s">
        <v>142</v>
      </c>
      <c r="P370" s="212" t="s">
        <v>43</v>
      </c>
      <c r="R370" s="212">
        <v>402</v>
      </c>
      <c r="S370" s="490">
        <v>44266</v>
      </c>
      <c r="T370" s="486" t="s">
        <v>3647</v>
      </c>
      <c r="U370" s="475">
        <v>23621677</v>
      </c>
      <c r="V370" s="406"/>
      <c r="W370" s="362"/>
      <c r="X370" s="483" t="s">
        <v>3648</v>
      </c>
      <c r="Y370" s="484">
        <v>44294</v>
      </c>
      <c r="Z370" s="484">
        <v>44294</v>
      </c>
      <c r="AA370" s="484">
        <v>44416</v>
      </c>
      <c r="AB370" s="485" t="s">
        <v>2575</v>
      </c>
      <c r="AC370" s="483" t="s">
        <v>3649</v>
      </c>
      <c r="AD370" s="485" t="s">
        <v>3650</v>
      </c>
      <c r="AE370" s="486" t="s">
        <v>3651</v>
      </c>
      <c r="AF370" s="473">
        <v>23621676</v>
      </c>
      <c r="AG370" s="474">
        <f t="shared" si="6"/>
        <v>1</v>
      </c>
      <c r="AL370" s="475">
        <v>4527488</v>
      </c>
      <c r="AM370" s="306">
        <v>5905419</v>
      </c>
    </row>
    <row r="371" spans="1:50" ht="15" hidden="1" customHeight="1" x14ac:dyDescent="0.25">
      <c r="B371" s="477" t="s">
        <v>2721</v>
      </c>
      <c r="C371" s="212" t="s">
        <v>3652</v>
      </c>
      <c r="D371" s="478">
        <v>366</v>
      </c>
      <c r="E371" s="478">
        <v>20211300014103</v>
      </c>
      <c r="F371" s="310">
        <v>44265</v>
      </c>
      <c r="G371" s="478" t="s">
        <v>2572</v>
      </c>
      <c r="H371" s="212" t="s">
        <v>2573</v>
      </c>
      <c r="I371" s="212" t="s">
        <v>210</v>
      </c>
      <c r="J371" s="475">
        <v>11411438</v>
      </c>
      <c r="K371" s="212" t="s">
        <v>138</v>
      </c>
      <c r="L371" s="212" t="s">
        <v>139</v>
      </c>
      <c r="M371" s="212" t="s">
        <v>44</v>
      </c>
      <c r="N371" s="212" t="s">
        <v>45</v>
      </c>
      <c r="O371" s="212" t="s">
        <v>142</v>
      </c>
      <c r="P371" s="212" t="s">
        <v>43</v>
      </c>
      <c r="R371" s="212">
        <v>404</v>
      </c>
      <c r="S371" s="490">
        <v>44266</v>
      </c>
      <c r="T371" s="486" t="s">
        <v>3653</v>
      </c>
      <c r="U371" s="475">
        <v>11411438</v>
      </c>
      <c r="V371" s="406"/>
      <c r="W371" s="362"/>
      <c r="X371" s="483" t="s">
        <v>3654</v>
      </c>
      <c r="Y371" s="484">
        <v>44285</v>
      </c>
      <c r="Z371" s="484">
        <v>44287</v>
      </c>
      <c r="AA371" s="484">
        <v>44346</v>
      </c>
      <c r="AB371" s="485" t="s">
        <v>2575</v>
      </c>
      <c r="AC371" s="483" t="s">
        <v>3655</v>
      </c>
      <c r="AD371" s="485" t="s">
        <v>3656</v>
      </c>
      <c r="AE371" s="486" t="s">
        <v>3657</v>
      </c>
      <c r="AF371" s="473">
        <v>11411438</v>
      </c>
      <c r="AG371" s="474">
        <f t="shared" si="6"/>
        <v>0</v>
      </c>
      <c r="AM371" s="306">
        <v>4564574</v>
      </c>
    </row>
    <row r="372" spans="1:50" s="210" customFormat="1" ht="15" hidden="1" customHeight="1" x14ac:dyDescent="0.25">
      <c r="A372" s="476" t="s">
        <v>1879</v>
      </c>
      <c r="B372" s="477">
        <v>69750000</v>
      </c>
      <c r="C372" s="212" t="s">
        <v>2571</v>
      </c>
      <c r="D372" s="309">
        <v>367</v>
      </c>
      <c r="E372" s="309">
        <v>20216000013633</v>
      </c>
      <c r="F372" s="310">
        <v>44265</v>
      </c>
      <c r="G372" s="309" t="s">
        <v>2572</v>
      </c>
      <c r="H372" s="210" t="s">
        <v>2573</v>
      </c>
      <c r="I372" s="210" t="s">
        <v>214</v>
      </c>
      <c r="J372" s="407">
        <v>69750000</v>
      </c>
      <c r="K372" s="210" t="s">
        <v>138</v>
      </c>
      <c r="L372" s="210" t="s">
        <v>139</v>
      </c>
      <c r="M372" s="210" t="s">
        <v>44</v>
      </c>
      <c r="N372" s="210" t="s">
        <v>45</v>
      </c>
      <c r="O372" s="210" t="s">
        <v>142</v>
      </c>
      <c r="P372" s="210" t="s">
        <v>43</v>
      </c>
      <c r="R372" s="210">
        <v>381</v>
      </c>
      <c r="S372" s="320">
        <v>44266</v>
      </c>
      <c r="T372" s="321" t="s">
        <v>3658</v>
      </c>
      <c r="U372" s="475">
        <v>69750000</v>
      </c>
      <c r="V372" s="415"/>
      <c r="W372" s="401"/>
      <c r="X372" s="328" t="s">
        <v>3555</v>
      </c>
      <c r="Y372" s="359">
        <v>44280</v>
      </c>
      <c r="Z372" s="359">
        <v>44280</v>
      </c>
      <c r="AA372" s="359">
        <v>44555</v>
      </c>
      <c r="AB372" s="323" t="s">
        <v>2575</v>
      </c>
      <c r="AC372" s="328" t="s">
        <v>3659</v>
      </c>
      <c r="AD372" s="323" t="s">
        <v>3660</v>
      </c>
      <c r="AE372" s="321" t="s">
        <v>3661</v>
      </c>
      <c r="AF372" s="473">
        <v>69750000</v>
      </c>
      <c r="AG372" s="474">
        <f t="shared" si="6"/>
        <v>0</v>
      </c>
      <c r="AH372" s="407"/>
      <c r="AI372" s="407"/>
      <c r="AJ372" s="475"/>
      <c r="AK372" s="475">
        <v>1550000</v>
      </c>
      <c r="AL372" s="475">
        <v>7750000</v>
      </c>
      <c r="AM372" s="306">
        <v>7750000</v>
      </c>
    </row>
    <row r="373" spans="1:50" ht="15" hidden="1" customHeight="1" x14ac:dyDescent="0.25">
      <c r="A373" s="476" t="s">
        <v>1889</v>
      </c>
      <c r="B373" s="477">
        <v>63000000</v>
      </c>
      <c r="C373" s="212" t="s">
        <v>2571</v>
      </c>
      <c r="D373" s="478">
        <v>368</v>
      </c>
      <c r="E373" s="478">
        <v>20216000013673</v>
      </c>
      <c r="F373" s="310">
        <v>44265</v>
      </c>
      <c r="G373" s="478" t="s">
        <v>2572</v>
      </c>
      <c r="H373" s="212" t="s">
        <v>2573</v>
      </c>
      <c r="I373" s="212" t="s">
        <v>214</v>
      </c>
      <c r="J373" s="475">
        <v>63000000</v>
      </c>
      <c r="K373" s="212" t="s">
        <v>138</v>
      </c>
      <c r="L373" s="212" t="s">
        <v>139</v>
      </c>
      <c r="M373" s="212" t="s">
        <v>44</v>
      </c>
      <c r="N373" s="212" t="s">
        <v>45</v>
      </c>
      <c r="O373" s="212" t="s">
        <v>142</v>
      </c>
      <c r="P373" s="212" t="s">
        <v>43</v>
      </c>
      <c r="R373" s="212">
        <v>389</v>
      </c>
      <c r="S373" s="490">
        <v>44266</v>
      </c>
      <c r="T373" s="486" t="s">
        <v>3662</v>
      </c>
      <c r="U373" s="475">
        <v>63000000</v>
      </c>
      <c r="V373" s="406"/>
      <c r="W373" s="362"/>
      <c r="X373" s="483" t="s">
        <v>3560</v>
      </c>
      <c r="Y373" s="484">
        <v>44280</v>
      </c>
      <c r="Z373" s="484">
        <v>44280</v>
      </c>
      <c r="AA373" s="484">
        <v>44555</v>
      </c>
      <c r="AB373" s="485" t="s">
        <v>2575</v>
      </c>
      <c r="AC373" s="483" t="s">
        <v>3663</v>
      </c>
      <c r="AD373" s="485" t="s">
        <v>3664</v>
      </c>
      <c r="AE373" s="486" t="s">
        <v>3665</v>
      </c>
      <c r="AF373" s="473">
        <v>63000000</v>
      </c>
      <c r="AG373" s="474">
        <f t="shared" si="6"/>
        <v>0</v>
      </c>
      <c r="AK373" s="475">
        <v>1400000</v>
      </c>
      <c r="AL373" s="475">
        <v>7000000</v>
      </c>
      <c r="AM373" s="306">
        <v>7000000</v>
      </c>
    </row>
    <row r="374" spans="1:50" ht="15" hidden="1" customHeight="1" x14ac:dyDescent="0.25">
      <c r="A374" s="476" t="s">
        <v>2260</v>
      </c>
      <c r="B374" s="477">
        <v>55000000</v>
      </c>
      <c r="C374" s="212" t="s">
        <v>2571</v>
      </c>
      <c r="D374" s="478">
        <v>369</v>
      </c>
      <c r="E374" s="478">
        <v>20216000013803</v>
      </c>
      <c r="F374" s="310">
        <v>44265</v>
      </c>
      <c r="G374" s="478" t="s">
        <v>2572</v>
      </c>
      <c r="H374" s="212" t="s">
        <v>2573</v>
      </c>
      <c r="I374" s="212" t="s">
        <v>214</v>
      </c>
      <c r="J374" s="475">
        <v>45000000</v>
      </c>
      <c r="K374" s="212" t="s">
        <v>138</v>
      </c>
      <c r="L374" s="212" t="s">
        <v>139</v>
      </c>
      <c r="M374" s="212" t="s">
        <v>44</v>
      </c>
      <c r="N374" s="212" t="s">
        <v>45</v>
      </c>
      <c r="O374" s="212" t="s">
        <v>142</v>
      </c>
      <c r="P374" s="212" t="s">
        <v>43</v>
      </c>
      <c r="R374" s="212">
        <v>395</v>
      </c>
      <c r="S374" s="490">
        <v>44266</v>
      </c>
      <c r="T374" s="486" t="s">
        <v>3666</v>
      </c>
      <c r="U374" s="475">
        <v>45000000</v>
      </c>
      <c r="V374" s="406"/>
      <c r="W374" s="362"/>
      <c r="X374" s="483" t="s">
        <v>3667</v>
      </c>
      <c r="Y374" s="484">
        <v>44280</v>
      </c>
      <c r="Z374" s="484">
        <v>44280</v>
      </c>
      <c r="AA374" s="484">
        <v>44555</v>
      </c>
      <c r="AB374" s="485" t="s">
        <v>2575</v>
      </c>
      <c r="AC374" s="483" t="s">
        <v>3668</v>
      </c>
      <c r="AD374" s="485" t="s">
        <v>3669</v>
      </c>
      <c r="AE374" s="486" t="s">
        <v>3670</v>
      </c>
      <c r="AF374" s="473">
        <v>45000000</v>
      </c>
      <c r="AG374" s="474">
        <f t="shared" si="6"/>
        <v>0</v>
      </c>
      <c r="AM374" s="212"/>
    </row>
    <row r="375" spans="1:50" s="329" customFormat="1" ht="15" hidden="1" customHeight="1" x14ac:dyDescent="0.25">
      <c r="A375" s="476" t="s">
        <v>2299</v>
      </c>
      <c r="B375" s="477">
        <v>81767340</v>
      </c>
      <c r="C375" s="212" t="s">
        <v>2571</v>
      </c>
      <c r="D375" s="309">
        <v>370</v>
      </c>
      <c r="E375" s="478">
        <v>20217000014643</v>
      </c>
      <c r="F375" s="479">
        <v>44274</v>
      </c>
      <c r="G375" s="478" t="s">
        <v>2572</v>
      </c>
      <c r="H375" s="212" t="s">
        <v>2573</v>
      </c>
      <c r="I375" s="212" t="s">
        <v>164</v>
      </c>
      <c r="J375" s="475">
        <v>73590606</v>
      </c>
      <c r="K375" s="212" t="s">
        <v>138</v>
      </c>
      <c r="L375" s="212" t="s">
        <v>139</v>
      </c>
      <c r="M375" s="212" t="s">
        <v>44</v>
      </c>
      <c r="N375" s="212" t="s">
        <v>45</v>
      </c>
      <c r="O375" s="212" t="s">
        <v>142</v>
      </c>
      <c r="P375" s="212" t="s">
        <v>43</v>
      </c>
      <c r="Q375" s="212"/>
      <c r="R375" s="486">
        <v>466</v>
      </c>
      <c r="S375" s="490">
        <v>44274</v>
      </c>
      <c r="T375" s="486" t="s">
        <v>3671</v>
      </c>
      <c r="U375" s="475">
        <v>73590606</v>
      </c>
      <c r="V375" s="406"/>
      <c r="W375" s="362"/>
      <c r="X375" s="483" t="s">
        <v>3023</v>
      </c>
      <c r="Y375" s="484">
        <v>44280</v>
      </c>
      <c r="Z375" s="484">
        <v>44280</v>
      </c>
      <c r="AA375" s="484">
        <v>44555</v>
      </c>
      <c r="AB375" s="485" t="s">
        <v>2575</v>
      </c>
      <c r="AC375" s="483" t="s">
        <v>3672</v>
      </c>
      <c r="AD375" s="485" t="s">
        <v>3673</v>
      </c>
      <c r="AE375" s="486" t="s">
        <v>3674</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x14ac:dyDescent="0.25">
      <c r="A376" s="476" t="s">
        <v>1880</v>
      </c>
      <c r="B376" s="477">
        <v>69750000</v>
      </c>
      <c r="C376" s="212" t="s">
        <v>2571</v>
      </c>
      <c r="D376" s="309">
        <v>371</v>
      </c>
      <c r="E376" s="309">
        <v>20216000013643</v>
      </c>
      <c r="F376" s="310">
        <v>44265</v>
      </c>
      <c r="G376" s="309" t="s">
        <v>2572</v>
      </c>
      <c r="H376" s="210" t="s">
        <v>2573</v>
      </c>
      <c r="I376" s="210" t="s">
        <v>214</v>
      </c>
      <c r="J376" s="407">
        <v>69750000</v>
      </c>
      <c r="K376" s="210" t="s">
        <v>138</v>
      </c>
      <c r="L376" s="210" t="s">
        <v>139</v>
      </c>
      <c r="M376" s="210" t="s">
        <v>44</v>
      </c>
      <c r="N376" s="210" t="s">
        <v>45</v>
      </c>
      <c r="O376" s="210" t="s">
        <v>142</v>
      </c>
      <c r="P376" s="210" t="s">
        <v>43</v>
      </c>
      <c r="R376" s="210">
        <v>382</v>
      </c>
      <c r="S376" s="320">
        <v>44266</v>
      </c>
      <c r="T376" s="493" t="s">
        <v>3675</v>
      </c>
      <c r="U376" s="475">
        <v>69750000</v>
      </c>
      <c r="V376" s="415"/>
      <c r="W376" s="401"/>
      <c r="X376" s="319">
        <v>356</v>
      </c>
      <c r="Y376" s="491">
        <v>44285</v>
      </c>
      <c r="Z376" s="491">
        <v>44256</v>
      </c>
      <c r="AA376" s="491">
        <v>44286</v>
      </c>
      <c r="AB376" s="485" t="s">
        <v>2575</v>
      </c>
      <c r="AC376" s="322">
        <v>259</v>
      </c>
      <c r="AD376" s="492" t="s">
        <v>3676</v>
      </c>
      <c r="AE376" s="493" t="s">
        <v>3677</v>
      </c>
      <c r="AF376" s="473">
        <v>69750000</v>
      </c>
      <c r="AG376" s="474">
        <f t="shared" si="6"/>
        <v>0</v>
      </c>
      <c r="AH376" s="407"/>
      <c r="AI376" s="407"/>
      <c r="AJ376" s="475"/>
      <c r="AK376" s="475"/>
      <c r="AL376" s="475">
        <v>7750000</v>
      </c>
      <c r="AM376" s="306">
        <v>7750000</v>
      </c>
    </row>
    <row r="377" spans="1:50" ht="15" hidden="1" customHeight="1" x14ac:dyDescent="0.25">
      <c r="A377" s="476" t="s">
        <v>1881</v>
      </c>
      <c r="B377" s="477">
        <v>69750000</v>
      </c>
      <c r="C377" s="212" t="s">
        <v>2571</v>
      </c>
      <c r="D377" s="478">
        <v>372</v>
      </c>
      <c r="E377" s="478">
        <v>20216000013653</v>
      </c>
      <c r="F377" s="310">
        <v>44265</v>
      </c>
      <c r="G377" s="478" t="s">
        <v>2572</v>
      </c>
      <c r="H377" s="212" t="s">
        <v>2573</v>
      </c>
      <c r="I377" s="212" t="s">
        <v>214</v>
      </c>
      <c r="J377" s="475">
        <v>69750000</v>
      </c>
      <c r="K377" s="212" t="s">
        <v>138</v>
      </c>
      <c r="L377" s="212" t="s">
        <v>139</v>
      </c>
      <c r="M377" s="212" t="s">
        <v>44</v>
      </c>
      <c r="N377" s="212" t="s">
        <v>45</v>
      </c>
      <c r="O377" s="212" t="s">
        <v>142</v>
      </c>
      <c r="P377" s="212" t="s">
        <v>43</v>
      </c>
      <c r="R377" s="212">
        <v>383</v>
      </c>
      <c r="S377" s="490">
        <v>44266</v>
      </c>
      <c r="T377" s="486" t="s">
        <v>3678</v>
      </c>
      <c r="U377" s="475">
        <v>69750000</v>
      </c>
      <c r="V377" s="406"/>
      <c r="W377" s="362"/>
      <c r="X377" s="483" t="s">
        <v>3679</v>
      </c>
      <c r="Y377" s="484">
        <v>44286</v>
      </c>
      <c r="Z377" s="484">
        <v>44286</v>
      </c>
      <c r="AA377" s="484">
        <v>44561</v>
      </c>
      <c r="AB377" s="485" t="s">
        <v>2575</v>
      </c>
      <c r="AC377" s="483" t="s">
        <v>3680</v>
      </c>
      <c r="AD377" s="485" t="s">
        <v>3681</v>
      </c>
      <c r="AE377" s="486" t="s">
        <v>3682</v>
      </c>
      <c r="AF377" s="473">
        <v>69750000</v>
      </c>
      <c r="AG377" s="474">
        <f t="shared" si="6"/>
        <v>0</v>
      </c>
      <c r="AL377" s="475">
        <v>7750000</v>
      </c>
      <c r="AM377" s="306">
        <v>7750000</v>
      </c>
    </row>
    <row r="378" spans="1:50" ht="15" hidden="1" customHeight="1" x14ac:dyDescent="0.25">
      <c r="A378" s="476" t="s">
        <v>1883</v>
      </c>
      <c r="B378" s="477">
        <v>69750000</v>
      </c>
      <c r="C378" s="212" t="s">
        <v>2571</v>
      </c>
      <c r="D378" s="478">
        <v>373</v>
      </c>
      <c r="E378" s="478">
        <v>20216000013663</v>
      </c>
      <c r="F378" s="310">
        <v>44265</v>
      </c>
      <c r="G378" s="478" t="s">
        <v>2572</v>
      </c>
      <c r="H378" s="212" t="s">
        <v>2573</v>
      </c>
      <c r="I378" s="212" t="s">
        <v>214</v>
      </c>
      <c r="J378" s="475">
        <v>69750000</v>
      </c>
      <c r="K378" s="212" t="s">
        <v>138</v>
      </c>
      <c r="L378" s="212" t="s">
        <v>139</v>
      </c>
      <c r="M378" s="212" t="s">
        <v>44</v>
      </c>
      <c r="N378" s="212" t="s">
        <v>45</v>
      </c>
      <c r="O378" s="212" t="s">
        <v>142</v>
      </c>
      <c r="P378" s="212" t="s">
        <v>43</v>
      </c>
      <c r="R378" s="212">
        <v>388</v>
      </c>
      <c r="S378" s="490">
        <v>44266</v>
      </c>
      <c r="T378" s="486" t="s">
        <v>3683</v>
      </c>
      <c r="U378" s="475">
        <v>69750000</v>
      </c>
      <c r="V378" s="406"/>
      <c r="W378" s="362"/>
      <c r="X378" s="483" t="s">
        <v>3684</v>
      </c>
      <c r="Y378" s="484">
        <v>44340</v>
      </c>
      <c r="Z378" s="484">
        <v>44340</v>
      </c>
      <c r="AA378" s="484">
        <v>44553</v>
      </c>
      <c r="AB378" s="486" t="s">
        <v>2575</v>
      </c>
      <c r="AC378" s="483" t="s">
        <v>3544</v>
      </c>
      <c r="AD378" s="486" t="s">
        <v>3685</v>
      </c>
      <c r="AE378" s="486" t="s">
        <v>3686</v>
      </c>
      <c r="AF378" s="473">
        <v>54250000</v>
      </c>
      <c r="AG378" s="474">
        <f t="shared" si="6"/>
        <v>15500000</v>
      </c>
      <c r="AM378" s="212"/>
    </row>
    <row r="379" spans="1:50" ht="15" hidden="1" customHeight="1" x14ac:dyDescent="0.25">
      <c r="A379" s="466" t="s">
        <v>1943</v>
      </c>
      <c r="B379" s="467">
        <v>32706936</v>
      </c>
      <c r="C379" s="212" t="s">
        <v>2571</v>
      </c>
      <c r="D379" s="469">
        <v>374</v>
      </c>
      <c r="E379" s="469">
        <v>20217000015253</v>
      </c>
      <c r="F379" s="470">
        <v>44271</v>
      </c>
      <c r="G379" s="469" t="s">
        <v>2572</v>
      </c>
      <c r="H379" s="468" t="s">
        <v>2573</v>
      </c>
      <c r="I379" s="468" t="s">
        <v>164</v>
      </c>
      <c r="J379" s="471">
        <v>13809592</v>
      </c>
      <c r="K379" s="468" t="s">
        <v>138</v>
      </c>
      <c r="L379" s="468" t="s">
        <v>139</v>
      </c>
      <c r="M379" s="468" t="s">
        <v>44</v>
      </c>
      <c r="N379" s="468" t="s">
        <v>45</v>
      </c>
      <c r="O379" s="468" t="s">
        <v>142</v>
      </c>
      <c r="P379" s="468" t="s">
        <v>43</v>
      </c>
      <c r="Q379" s="468"/>
      <c r="R379" s="529">
        <v>446</v>
      </c>
      <c r="S379" s="528">
        <v>44272</v>
      </c>
      <c r="T379" s="529" t="s">
        <v>3687</v>
      </c>
      <c r="U379" s="471">
        <v>13809592</v>
      </c>
      <c r="V379" s="414"/>
      <c r="W379" s="379"/>
      <c r="X379" s="483" t="s">
        <v>3688</v>
      </c>
      <c r="Y379" s="484">
        <v>44280</v>
      </c>
      <c r="Z379" s="484">
        <v>44280</v>
      </c>
      <c r="AA379" s="484">
        <v>44402</v>
      </c>
      <c r="AB379" s="485" t="s">
        <v>2575</v>
      </c>
      <c r="AC379" s="483" t="s">
        <v>3689</v>
      </c>
      <c r="AD379" s="485" t="s">
        <v>3690</v>
      </c>
      <c r="AE379" s="486" t="s">
        <v>3691</v>
      </c>
      <c r="AF379" s="473">
        <v>13809592</v>
      </c>
      <c r="AG379" s="474">
        <f t="shared" si="6"/>
        <v>0</v>
      </c>
      <c r="AI379" s="471"/>
      <c r="AJ379" s="471"/>
      <c r="AK379" s="471"/>
      <c r="AL379" s="471">
        <v>4027798</v>
      </c>
      <c r="AM379" s="306">
        <v>3452398</v>
      </c>
    </row>
    <row r="380" spans="1:50" ht="15" hidden="1" customHeight="1" x14ac:dyDescent="0.25">
      <c r="A380" s="476" t="s">
        <v>2393</v>
      </c>
      <c r="B380" s="477">
        <v>26100000</v>
      </c>
      <c r="C380" s="212" t="s">
        <v>2571</v>
      </c>
      <c r="D380" s="478">
        <v>375</v>
      </c>
      <c r="E380" s="478">
        <v>20216000013693</v>
      </c>
      <c r="F380" s="310">
        <v>44265</v>
      </c>
      <c r="G380" s="478" t="s">
        <v>2572</v>
      </c>
      <c r="H380" s="212" t="s">
        <v>2573</v>
      </c>
      <c r="I380" s="212" t="s">
        <v>214</v>
      </c>
      <c r="J380" s="475">
        <v>26100000</v>
      </c>
      <c r="K380" s="212" t="s">
        <v>138</v>
      </c>
      <c r="L380" s="212" t="s">
        <v>139</v>
      </c>
      <c r="M380" s="212" t="s">
        <v>44</v>
      </c>
      <c r="N380" s="212" t="s">
        <v>45</v>
      </c>
      <c r="O380" s="212" t="s">
        <v>142</v>
      </c>
      <c r="P380" s="212" t="s">
        <v>43</v>
      </c>
      <c r="R380" s="212">
        <v>390</v>
      </c>
      <c r="S380" s="490">
        <v>44266</v>
      </c>
      <c r="T380" s="486" t="s">
        <v>3692</v>
      </c>
      <c r="U380" s="475">
        <v>26100000</v>
      </c>
      <c r="V380" s="406"/>
      <c r="W380" s="362"/>
      <c r="X380" s="483" t="s">
        <v>3693</v>
      </c>
      <c r="Y380" s="484">
        <v>44295</v>
      </c>
      <c r="Z380" s="484">
        <v>44295</v>
      </c>
      <c r="AA380" s="484">
        <v>44550</v>
      </c>
      <c r="AB380" s="485" t="s">
        <v>2575</v>
      </c>
      <c r="AC380" s="483" t="s">
        <v>3490</v>
      </c>
      <c r="AD380" s="485" t="s">
        <v>3694</v>
      </c>
      <c r="AE380" s="486" t="s">
        <v>3695</v>
      </c>
      <c r="AF380" s="473">
        <v>23167413</v>
      </c>
      <c r="AG380" s="474">
        <f t="shared" si="6"/>
        <v>2932587</v>
      </c>
      <c r="AL380" s="475">
        <v>1998757</v>
      </c>
      <c r="AM380" s="306">
        <v>2725578</v>
      </c>
    </row>
    <row r="381" spans="1:50" ht="15" hidden="1" customHeight="1" x14ac:dyDescent="0.25">
      <c r="A381" s="476" t="s">
        <v>1892</v>
      </c>
      <c r="B381" s="477">
        <v>55800000</v>
      </c>
      <c r="C381" s="212" t="s">
        <v>2571</v>
      </c>
      <c r="D381" s="478">
        <v>376</v>
      </c>
      <c r="E381" s="478">
        <v>20216000013703</v>
      </c>
      <c r="F381" s="310">
        <v>44265</v>
      </c>
      <c r="G381" s="478" t="s">
        <v>2572</v>
      </c>
      <c r="H381" s="212" t="s">
        <v>2573</v>
      </c>
      <c r="I381" s="212" t="s">
        <v>214</v>
      </c>
      <c r="J381" s="475">
        <v>55800000</v>
      </c>
      <c r="K381" s="212" t="s">
        <v>138</v>
      </c>
      <c r="L381" s="212" t="s">
        <v>139</v>
      </c>
      <c r="M381" s="212" t="s">
        <v>44</v>
      </c>
      <c r="N381" s="212" t="s">
        <v>45</v>
      </c>
      <c r="O381" s="212" t="s">
        <v>142</v>
      </c>
      <c r="P381" s="212" t="s">
        <v>43</v>
      </c>
      <c r="R381" s="212">
        <v>391</v>
      </c>
      <c r="S381" s="490">
        <v>44266</v>
      </c>
      <c r="T381" s="486" t="s">
        <v>3696</v>
      </c>
      <c r="U381" s="475">
        <v>55800000</v>
      </c>
      <c r="V381" s="406"/>
      <c r="W381" s="362"/>
      <c r="X381" s="211" t="s">
        <v>3697</v>
      </c>
      <c r="Y381" s="472">
        <v>44300</v>
      </c>
      <c r="Z381" s="472">
        <v>44300</v>
      </c>
      <c r="AA381" s="472">
        <v>44561</v>
      </c>
      <c r="AB381" s="2" t="s">
        <v>2575</v>
      </c>
      <c r="AC381" s="211" t="s">
        <v>3698</v>
      </c>
      <c r="AD381" s="2" t="s">
        <v>3699</v>
      </c>
      <c r="AE381" s="212" t="s">
        <v>3700</v>
      </c>
      <c r="AF381" s="473">
        <v>42466000</v>
      </c>
      <c r="AG381" s="474">
        <f t="shared" si="6"/>
        <v>13334000</v>
      </c>
      <c r="AL381" s="475">
        <v>2831067</v>
      </c>
      <c r="AM381" s="306">
        <v>4996000</v>
      </c>
    </row>
    <row r="382" spans="1:50" ht="15" hidden="1" customHeight="1" x14ac:dyDescent="0.25">
      <c r="A382" s="476" t="s">
        <v>1893</v>
      </c>
      <c r="B382" s="477">
        <v>60300000</v>
      </c>
      <c r="C382" s="212" t="s">
        <v>2571</v>
      </c>
      <c r="D382" s="478">
        <v>377</v>
      </c>
      <c r="E382" s="478">
        <v>20216000013713</v>
      </c>
      <c r="F382" s="310">
        <v>44265</v>
      </c>
      <c r="G382" s="478" t="s">
        <v>2572</v>
      </c>
      <c r="H382" s="212" t="s">
        <v>2573</v>
      </c>
      <c r="I382" s="212" t="s">
        <v>214</v>
      </c>
      <c r="J382" s="475">
        <v>60300000</v>
      </c>
      <c r="K382" s="212" t="s">
        <v>138</v>
      </c>
      <c r="L382" s="212" t="s">
        <v>139</v>
      </c>
      <c r="M382" s="212" t="s">
        <v>44</v>
      </c>
      <c r="N382" s="212" t="s">
        <v>45</v>
      </c>
      <c r="O382" s="212" t="s">
        <v>142</v>
      </c>
      <c r="P382" s="212" t="s">
        <v>43</v>
      </c>
      <c r="R382" s="212">
        <v>384</v>
      </c>
      <c r="S382" s="490">
        <v>44266</v>
      </c>
      <c r="T382" s="486" t="s">
        <v>3701</v>
      </c>
      <c r="U382" s="475">
        <v>60300000</v>
      </c>
      <c r="V382" s="406"/>
      <c r="W382" s="362"/>
      <c r="X382" s="483" t="s">
        <v>3702</v>
      </c>
      <c r="Y382" s="484">
        <v>44299</v>
      </c>
      <c r="Z382" s="484">
        <v>44299</v>
      </c>
      <c r="AA382" s="484">
        <v>44561</v>
      </c>
      <c r="AB382" s="485" t="s">
        <v>2575</v>
      </c>
      <c r="AC382" s="483" t="s">
        <v>3703</v>
      </c>
      <c r="AD382" s="485" t="s">
        <v>3704</v>
      </c>
      <c r="AE382" s="486" t="s">
        <v>3705</v>
      </c>
      <c r="AF382" s="473">
        <v>58045650</v>
      </c>
      <c r="AG382" s="474">
        <f t="shared" si="6"/>
        <v>2254350</v>
      </c>
      <c r="AL382" s="475">
        <v>4097340</v>
      </c>
      <c r="AM382" s="306">
        <v>6828900</v>
      </c>
    </row>
    <row r="383" spans="1:50" ht="15" hidden="1" customHeight="1" x14ac:dyDescent="0.25">
      <c r="A383" s="476" t="s">
        <v>2094</v>
      </c>
      <c r="B383" s="477">
        <v>40700000</v>
      </c>
      <c r="C383" s="212" t="s">
        <v>2571</v>
      </c>
      <c r="D383" s="478">
        <v>378</v>
      </c>
      <c r="E383" s="478">
        <v>20215000002843</v>
      </c>
      <c r="F383" s="479">
        <v>44225</v>
      </c>
      <c r="G383" s="478" t="s">
        <v>2565</v>
      </c>
      <c r="H383" s="212" t="s">
        <v>2566</v>
      </c>
      <c r="I383" s="212" t="s">
        <v>228</v>
      </c>
      <c r="J383" s="475">
        <v>40700000</v>
      </c>
      <c r="K383" s="212" t="s">
        <v>223</v>
      </c>
      <c r="L383" s="212" t="s">
        <v>236</v>
      </c>
      <c r="M383" s="212" t="s">
        <v>44</v>
      </c>
      <c r="N383" s="212" t="s">
        <v>45</v>
      </c>
      <c r="O383" s="212" t="s">
        <v>63</v>
      </c>
      <c r="P383" s="212" t="s">
        <v>676</v>
      </c>
      <c r="R383" s="212">
        <v>126</v>
      </c>
      <c r="S383" s="479">
        <v>44225</v>
      </c>
      <c r="T383" s="212" t="s">
        <v>3706</v>
      </c>
      <c r="U383" s="475">
        <f>40700000-13700000</f>
        <v>27000000</v>
      </c>
      <c r="V383" s="406">
        <v>13700000</v>
      </c>
      <c r="W383" s="362"/>
      <c r="X383" s="483" t="s">
        <v>3707</v>
      </c>
      <c r="Y383" s="484">
        <v>44280</v>
      </c>
      <c r="Z383" s="484">
        <v>44280</v>
      </c>
      <c r="AA383" s="484">
        <v>44555</v>
      </c>
      <c r="AB383" s="485" t="s">
        <v>2575</v>
      </c>
      <c r="AC383" s="483" t="s">
        <v>3708</v>
      </c>
      <c r="AD383" s="485" t="s">
        <v>3709</v>
      </c>
      <c r="AE383" s="486" t="s">
        <v>3710</v>
      </c>
      <c r="AF383" s="473">
        <v>27000000</v>
      </c>
      <c r="AG383" s="474">
        <f t="shared" si="6"/>
        <v>0</v>
      </c>
      <c r="AL383" s="475">
        <v>3600000</v>
      </c>
      <c r="AM383" s="306">
        <v>3000000</v>
      </c>
    </row>
    <row r="384" spans="1:50" ht="15" hidden="1" customHeight="1" x14ac:dyDescent="0.25">
      <c r="A384" s="476" t="s">
        <v>2257</v>
      </c>
      <c r="B384" s="477">
        <v>36000000</v>
      </c>
      <c r="C384" s="212" t="s">
        <v>2571</v>
      </c>
      <c r="D384" s="478">
        <v>379</v>
      </c>
      <c r="E384" s="478">
        <v>20216000013753</v>
      </c>
      <c r="F384" s="310">
        <v>44265</v>
      </c>
      <c r="G384" s="478" t="s">
        <v>2572</v>
      </c>
      <c r="H384" s="212" t="s">
        <v>2573</v>
      </c>
      <c r="I384" s="212" t="s">
        <v>214</v>
      </c>
      <c r="J384" s="475">
        <v>36000000</v>
      </c>
      <c r="K384" s="212" t="s">
        <v>138</v>
      </c>
      <c r="L384" s="212" t="s">
        <v>139</v>
      </c>
      <c r="M384" s="212" t="s">
        <v>44</v>
      </c>
      <c r="N384" s="212" t="s">
        <v>45</v>
      </c>
      <c r="O384" s="212" t="s">
        <v>142</v>
      </c>
      <c r="P384" s="212" t="s">
        <v>43</v>
      </c>
      <c r="R384" s="212">
        <v>387</v>
      </c>
      <c r="S384" s="490">
        <v>44266</v>
      </c>
      <c r="T384" s="486" t="s">
        <v>3711</v>
      </c>
      <c r="U384" s="475">
        <v>36000000</v>
      </c>
      <c r="V384" s="406"/>
      <c r="W384" s="362"/>
      <c r="X384" s="483" t="s">
        <v>3712</v>
      </c>
      <c r="Y384" s="484">
        <v>44286</v>
      </c>
      <c r="Z384" s="484">
        <v>44286</v>
      </c>
      <c r="AA384" s="484">
        <v>44555</v>
      </c>
      <c r="AB384" s="485" t="s">
        <v>2575</v>
      </c>
      <c r="AC384" s="483" t="s">
        <v>3311</v>
      </c>
      <c r="AD384" s="485" t="s">
        <v>3713</v>
      </c>
      <c r="AE384" s="486" t="s">
        <v>3714</v>
      </c>
      <c r="AF384" s="473">
        <v>35333333</v>
      </c>
      <c r="AG384" s="474">
        <f t="shared" si="6"/>
        <v>666667</v>
      </c>
      <c r="AL384" s="475">
        <v>3466667</v>
      </c>
      <c r="AM384" s="306">
        <v>4000000</v>
      </c>
    </row>
    <row r="385" spans="1:39" hidden="1" x14ac:dyDescent="0.25">
      <c r="A385" s="476" t="s">
        <v>2360</v>
      </c>
      <c r="B385" s="477">
        <v>36000000</v>
      </c>
      <c r="C385" s="212" t="s">
        <v>2571</v>
      </c>
      <c r="D385" s="478">
        <v>380</v>
      </c>
      <c r="E385" s="478">
        <v>20215000012063</v>
      </c>
      <c r="F385" s="479">
        <v>44264</v>
      </c>
      <c r="G385" s="478" t="s">
        <v>2565</v>
      </c>
      <c r="H385" s="212" t="s">
        <v>2566</v>
      </c>
      <c r="I385" s="212" t="s">
        <v>228</v>
      </c>
      <c r="J385" s="475">
        <v>36000000</v>
      </c>
      <c r="K385" s="212" t="s">
        <v>223</v>
      </c>
      <c r="L385" s="212" t="s">
        <v>2683</v>
      </c>
      <c r="M385" s="212" t="s">
        <v>44</v>
      </c>
      <c r="N385" s="212" t="s">
        <v>45</v>
      </c>
      <c r="O385" s="212" t="s">
        <v>63</v>
      </c>
      <c r="P385" s="212" t="s">
        <v>676</v>
      </c>
      <c r="R385" s="212">
        <v>350</v>
      </c>
      <c r="S385" s="490">
        <v>44264</v>
      </c>
      <c r="T385" s="486" t="s">
        <v>3715</v>
      </c>
      <c r="U385" s="475">
        <f>36000000-9000000</f>
        <v>27000000</v>
      </c>
      <c r="V385" s="406">
        <v>9000000</v>
      </c>
      <c r="W385" s="362"/>
      <c r="X385" s="483" t="s">
        <v>3487</v>
      </c>
      <c r="Y385" s="484">
        <v>44280</v>
      </c>
      <c r="Z385" s="484">
        <v>44280</v>
      </c>
      <c r="AA385" s="484">
        <v>44555</v>
      </c>
      <c r="AB385" s="485" t="s">
        <v>2575</v>
      </c>
      <c r="AC385" s="483" t="s">
        <v>3716</v>
      </c>
      <c r="AD385" s="485" t="s">
        <v>3717</v>
      </c>
      <c r="AE385" s="486" t="s">
        <v>3718</v>
      </c>
      <c r="AF385" s="473">
        <v>27000000</v>
      </c>
      <c r="AG385" s="474">
        <f t="shared" si="6"/>
        <v>0</v>
      </c>
      <c r="AL385" s="475">
        <v>3600000</v>
      </c>
      <c r="AM385" s="306">
        <v>3000000</v>
      </c>
    </row>
    <row r="386" spans="1:39" hidden="1" x14ac:dyDescent="0.25">
      <c r="A386" s="476" t="s">
        <v>2259</v>
      </c>
      <c r="B386" s="477">
        <v>45000000</v>
      </c>
      <c r="C386" s="212" t="s">
        <v>2571</v>
      </c>
      <c r="D386" s="478">
        <v>381</v>
      </c>
      <c r="E386" s="478">
        <v>20216000013773</v>
      </c>
      <c r="F386" s="310">
        <v>44265</v>
      </c>
      <c r="G386" s="478" t="s">
        <v>2572</v>
      </c>
      <c r="H386" s="212" t="s">
        <v>2573</v>
      </c>
      <c r="I386" s="212" t="s">
        <v>214</v>
      </c>
      <c r="J386" s="475">
        <v>45000000</v>
      </c>
      <c r="K386" s="212" t="s">
        <v>138</v>
      </c>
      <c r="L386" s="212" t="s">
        <v>139</v>
      </c>
      <c r="M386" s="212" t="s">
        <v>44</v>
      </c>
      <c r="N386" s="212" t="s">
        <v>45</v>
      </c>
      <c r="O386" s="212" t="s">
        <v>142</v>
      </c>
      <c r="P386" s="212" t="s">
        <v>43</v>
      </c>
      <c r="R386" s="212">
        <v>393</v>
      </c>
      <c r="S386" s="490">
        <v>44266</v>
      </c>
      <c r="T386" s="486" t="s">
        <v>3719</v>
      </c>
      <c r="U386" s="475">
        <v>45000000</v>
      </c>
      <c r="V386" s="406"/>
      <c r="W386" s="362"/>
      <c r="X386" s="483" t="s">
        <v>3472</v>
      </c>
      <c r="Y386" s="484">
        <v>44294</v>
      </c>
      <c r="Z386" s="484">
        <v>44294</v>
      </c>
      <c r="AA386" s="484">
        <v>44550</v>
      </c>
      <c r="AB386" s="485" t="s">
        <v>2575</v>
      </c>
      <c r="AC386" s="483" t="s">
        <v>3467</v>
      </c>
      <c r="AD386" s="485" t="s">
        <v>3720</v>
      </c>
      <c r="AE386" s="486" t="s">
        <v>3721</v>
      </c>
      <c r="AF386" s="473">
        <v>42473590</v>
      </c>
      <c r="AG386" s="474">
        <f t="shared" si="6"/>
        <v>2526410</v>
      </c>
      <c r="AL386" s="475">
        <v>3830951</v>
      </c>
      <c r="AM386" s="306">
        <v>4996893</v>
      </c>
    </row>
    <row r="387" spans="1:39" hidden="1" x14ac:dyDescent="0.25">
      <c r="A387" s="476" t="s">
        <v>1754</v>
      </c>
      <c r="B387" s="477">
        <v>69600000</v>
      </c>
      <c r="C387" s="212" t="s">
        <v>2571</v>
      </c>
      <c r="D387" s="478">
        <v>382</v>
      </c>
      <c r="E387" s="478">
        <v>20213000014923</v>
      </c>
      <c r="F387" s="479">
        <v>44272</v>
      </c>
      <c r="G387" s="478" t="s">
        <v>2565</v>
      </c>
      <c r="H387" s="212" t="s">
        <v>2566</v>
      </c>
      <c r="I387" s="212" t="s">
        <v>432</v>
      </c>
      <c r="J387" s="475">
        <v>62400000</v>
      </c>
      <c r="K387" s="212" t="s">
        <v>342</v>
      </c>
      <c r="L387" s="212" t="s">
        <v>351</v>
      </c>
      <c r="M387" s="212" t="s">
        <v>44</v>
      </c>
      <c r="N387" s="212" t="s">
        <v>45</v>
      </c>
      <c r="O387" s="212" t="s">
        <v>63</v>
      </c>
      <c r="P387" s="212" t="s">
        <v>676</v>
      </c>
      <c r="R387" s="486">
        <v>451</v>
      </c>
      <c r="S387" s="490">
        <v>44272</v>
      </c>
      <c r="T387" s="486" t="s">
        <v>3722</v>
      </c>
      <c r="U387" s="475">
        <v>62400000</v>
      </c>
      <c r="V387" s="406"/>
      <c r="W387" s="362"/>
      <c r="X387" s="483" t="s">
        <v>3520</v>
      </c>
      <c r="Y387" s="484">
        <v>44280</v>
      </c>
      <c r="Z387" s="484">
        <v>44280</v>
      </c>
      <c r="AA387" s="484">
        <v>44464</v>
      </c>
      <c r="AB387" s="485" t="s">
        <v>2575</v>
      </c>
      <c r="AC387" s="483" t="s">
        <v>3723</v>
      </c>
      <c r="AD387" s="485" t="s">
        <v>3724</v>
      </c>
      <c r="AE387" s="486" t="s">
        <v>2718</v>
      </c>
      <c r="AF387" s="473">
        <v>62400000</v>
      </c>
      <c r="AG387" s="474">
        <f t="shared" si="6"/>
        <v>0</v>
      </c>
      <c r="AK387" s="475">
        <v>1733333</v>
      </c>
      <c r="AL387" s="475">
        <v>10400000</v>
      </c>
      <c r="AM387" s="306">
        <v>10400000</v>
      </c>
    </row>
    <row r="388" spans="1:39" hidden="1" x14ac:dyDescent="0.25">
      <c r="A388" s="476" t="s">
        <v>2261</v>
      </c>
      <c r="B388" s="477">
        <v>36000000</v>
      </c>
      <c r="C388" s="212" t="s">
        <v>2571</v>
      </c>
      <c r="D388" s="478">
        <v>383</v>
      </c>
      <c r="E388" s="478">
        <v>20216000013783</v>
      </c>
      <c r="F388" s="310">
        <v>44265</v>
      </c>
      <c r="G388" s="478" t="s">
        <v>2572</v>
      </c>
      <c r="H388" s="212" t="s">
        <v>2573</v>
      </c>
      <c r="I388" s="212" t="s">
        <v>214</v>
      </c>
      <c r="J388" s="475">
        <v>36000000</v>
      </c>
      <c r="K388" s="212" t="s">
        <v>138</v>
      </c>
      <c r="L388" s="212" t="s">
        <v>139</v>
      </c>
      <c r="M388" s="212" t="s">
        <v>44</v>
      </c>
      <c r="N388" s="212" t="s">
        <v>45</v>
      </c>
      <c r="O388" s="212" t="s">
        <v>142</v>
      </c>
      <c r="P388" s="212" t="s">
        <v>43</v>
      </c>
      <c r="R388" s="212">
        <v>394</v>
      </c>
      <c r="S388" s="490">
        <v>44266</v>
      </c>
      <c r="T388" s="486" t="s">
        <v>3725</v>
      </c>
      <c r="U388" s="475">
        <v>36000000</v>
      </c>
      <c r="V388" s="406"/>
      <c r="W388" s="362"/>
      <c r="X388" s="308">
        <v>302</v>
      </c>
      <c r="Y388" s="491">
        <v>44279</v>
      </c>
      <c r="Z388" s="491">
        <v>44256</v>
      </c>
      <c r="AA388" s="491">
        <v>44286</v>
      </c>
      <c r="AB388" s="485" t="s">
        <v>2575</v>
      </c>
      <c r="AC388" s="211">
        <v>213</v>
      </c>
      <c r="AD388" s="492" t="s">
        <v>3726</v>
      </c>
      <c r="AE388" s="493" t="s">
        <v>3727</v>
      </c>
      <c r="AF388" s="473">
        <v>36000000</v>
      </c>
      <c r="AG388" s="474">
        <f t="shared" si="6"/>
        <v>0</v>
      </c>
      <c r="AK388" s="475">
        <v>933333</v>
      </c>
      <c r="AL388" s="475">
        <v>4000000</v>
      </c>
      <c r="AM388" s="306">
        <v>4000000</v>
      </c>
    </row>
    <row r="389" spans="1:39" hidden="1" x14ac:dyDescent="0.25">
      <c r="A389" s="476" t="s">
        <v>2265</v>
      </c>
      <c r="B389" s="477">
        <v>24300000</v>
      </c>
      <c r="C389" s="212" t="s">
        <v>2571</v>
      </c>
      <c r="D389" s="478">
        <v>384</v>
      </c>
      <c r="E389" s="478">
        <v>20216000013823</v>
      </c>
      <c r="F389" s="310">
        <v>44265</v>
      </c>
      <c r="G389" s="478" t="s">
        <v>2572</v>
      </c>
      <c r="H389" s="212" t="s">
        <v>2573</v>
      </c>
      <c r="I389" s="212" t="s">
        <v>214</v>
      </c>
      <c r="J389" s="475">
        <v>24300000</v>
      </c>
      <c r="K389" s="212" t="s">
        <v>138</v>
      </c>
      <c r="L389" s="212" t="s">
        <v>139</v>
      </c>
      <c r="M389" s="212" t="s">
        <v>44</v>
      </c>
      <c r="N389" s="212" t="s">
        <v>45</v>
      </c>
      <c r="O389" s="212" t="s">
        <v>142</v>
      </c>
      <c r="P389" s="212" t="s">
        <v>43</v>
      </c>
      <c r="R389" s="212">
        <v>396</v>
      </c>
      <c r="S389" s="490">
        <v>44266</v>
      </c>
      <c r="T389" s="486" t="s">
        <v>3728</v>
      </c>
      <c r="U389" s="475">
        <v>24300000</v>
      </c>
      <c r="V389" s="406"/>
      <c r="W389" s="362"/>
      <c r="X389" s="483" t="s">
        <v>3729</v>
      </c>
      <c r="Y389" s="484">
        <v>44285</v>
      </c>
      <c r="Z389" s="484">
        <v>44285</v>
      </c>
      <c r="AA389" s="484">
        <v>44560</v>
      </c>
      <c r="AB389" s="485" t="s">
        <v>2575</v>
      </c>
      <c r="AC389" s="483" t="s">
        <v>3730</v>
      </c>
      <c r="AD389" s="485" t="s">
        <v>3731</v>
      </c>
      <c r="AE389" s="486" t="s">
        <v>3732</v>
      </c>
      <c r="AF389" s="473">
        <v>24300000</v>
      </c>
      <c r="AG389" s="474">
        <f t="shared" si="6"/>
        <v>0</v>
      </c>
      <c r="AL389" s="475">
        <v>2790000</v>
      </c>
      <c r="AM389" s="306">
        <v>2700000</v>
      </c>
    </row>
    <row r="390" spans="1:39" hidden="1" x14ac:dyDescent="0.25">
      <c r="A390" s="476" t="s">
        <v>2269</v>
      </c>
      <c r="B390" s="477">
        <v>46350000</v>
      </c>
      <c r="C390" s="212" t="s">
        <v>2571</v>
      </c>
      <c r="D390" s="478">
        <v>385</v>
      </c>
      <c r="E390" s="478">
        <v>20216000013843</v>
      </c>
      <c r="F390" s="310">
        <v>44265</v>
      </c>
      <c r="G390" s="478" t="s">
        <v>2572</v>
      </c>
      <c r="H390" s="212" t="s">
        <v>2573</v>
      </c>
      <c r="I390" s="212" t="s">
        <v>214</v>
      </c>
      <c r="J390" s="475">
        <v>46350000</v>
      </c>
      <c r="K390" s="212" t="s">
        <v>138</v>
      </c>
      <c r="L390" s="212" t="s">
        <v>139</v>
      </c>
      <c r="M390" s="212" t="s">
        <v>44</v>
      </c>
      <c r="N390" s="212" t="s">
        <v>45</v>
      </c>
      <c r="O390" s="212" t="s">
        <v>142</v>
      </c>
      <c r="P390" s="212" t="s">
        <v>43</v>
      </c>
      <c r="R390" s="212">
        <v>397</v>
      </c>
      <c r="S390" s="490">
        <v>44266</v>
      </c>
      <c r="T390" s="486" t="s">
        <v>3733</v>
      </c>
      <c r="U390" s="475">
        <v>46350000</v>
      </c>
      <c r="V390" s="406"/>
      <c r="W390" s="362"/>
      <c r="X390" s="483" t="s">
        <v>3734</v>
      </c>
      <c r="Y390" s="484">
        <v>44285</v>
      </c>
      <c r="Z390" s="484">
        <v>44285</v>
      </c>
      <c r="AA390" s="484">
        <v>44560</v>
      </c>
      <c r="AB390" s="485" t="s">
        <v>2575</v>
      </c>
      <c r="AC390" s="483" t="s">
        <v>3735</v>
      </c>
      <c r="AD390" s="485" t="s">
        <v>3736</v>
      </c>
      <c r="AE390" s="486" t="s">
        <v>3737</v>
      </c>
      <c r="AF390" s="473">
        <v>46350000</v>
      </c>
      <c r="AG390" s="474">
        <f t="shared" si="6"/>
        <v>0</v>
      </c>
      <c r="AM390" s="306">
        <f>6351667+4120000</f>
        <v>10471667</v>
      </c>
    </row>
    <row r="391" spans="1:39" hidden="1" x14ac:dyDescent="0.25">
      <c r="A391" s="476" t="s">
        <v>2270</v>
      </c>
      <c r="B391" s="477">
        <v>64800000</v>
      </c>
      <c r="C391" s="212" t="s">
        <v>2571</v>
      </c>
      <c r="D391" s="478">
        <v>386</v>
      </c>
      <c r="E391" s="478">
        <v>20216000013853</v>
      </c>
      <c r="F391" s="310">
        <v>44265</v>
      </c>
      <c r="G391" s="478" t="s">
        <v>2572</v>
      </c>
      <c r="H391" s="212" t="s">
        <v>2573</v>
      </c>
      <c r="I391" s="212" t="s">
        <v>214</v>
      </c>
      <c r="J391" s="475">
        <v>64800000</v>
      </c>
      <c r="K391" s="212" t="s">
        <v>138</v>
      </c>
      <c r="L391" s="212" t="s">
        <v>139</v>
      </c>
      <c r="M391" s="212" t="s">
        <v>44</v>
      </c>
      <c r="N391" s="212" t="s">
        <v>45</v>
      </c>
      <c r="O391" s="212" t="s">
        <v>142</v>
      </c>
      <c r="P391" s="212" t="s">
        <v>43</v>
      </c>
      <c r="R391" s="212">
        <v>398</v>
      </c>
      <c r="S391" s="490">
        <v>44266</v>
      </c>
      <c r="T391" s="486" t="s">
        <v>3738</v>
      </c>
      <c r="U391" s="475">
        <v>64800000</v>
      </c>
      <c r="V391" s="406"/>
      <c r="W391" s="362"/>
      <c r="X391" s="530" t="s">
        <v>3739</v>
      </c>
      <c r="Y391" s="491">
        <v>44278</v>
      </c>
      <c r="Z391" s="491">
        <v>44256</v>
      </c>
      <c r="AA391" s="491">
        <v>44286</v>
      </c>
      <c r="AB391" s="485" t="s">
        <v>2575</v>
      </c>
      <c r="AC391" s="211" t="s">
        <v>3740</v>
      </c>
      <c r="AD391" s="492" t="s">
        <v>3741</v>
      </c>
      <c r="AE391" s="493" t="s">
        <v>3742</v>
      </c>
      <c r="AF391" s="473">
        <v>64800000</v>
      </c>
      <c r="AG391" s="474">
        <f t="shared" si="6"/>
        <v>0</v>
      </c>
      <c r="AL391" s="475">
        <v>8880000</v>
      </c>
      <c r="AM391" s="306">
        <v>7200000</v>
      </c>
    </row>
    <row r="392" spans="1:39" hidden="1" x14ac:dyDescent="0.25">
      <c r="A392" s="476" t="s">
        <v>2272</v>
      </c>
      <c r="B392" s="477">
        <v>36000000</v>
      </c>
      <c r="C392" s="212" t="s">
        <v>2571</v>
      </c>
      <c r="D392" s="478">
        <v>387</v>
      </c>
      <c r="E392" s="478">
        <v>20216000013883</v>
      </c>
      <c r="F392" s="310">
        <v>44265</v>
      </c>
      <c r="G392" s="478" t="s">
        <v>2572</v>
      </c>
      <c r="H392" s="212" t="s">
        <v>2573</v>
      </c>
      <c r="I392" s="212" t="s">
        <v>214</v>
      </c>
      <c r="J392" s="475">
        <v>36000000</v>
      </c>
      <c r="K392" s="212" t="s">
        <v>138</v>
      </c>
      <c r="L392" s="212" t="s">
        <v>139</v>
      </c>
      <c r="M392" s="212" t="s">
        <v>44</v>
      </c>
      <c r="N392" s="212" t="s">
        <v>45</v>
      </c>
      <c r="O392" s="212" t="s">
        <v>142</v>
      </c>
      <c r="P392" s="212" t="s">
        <v>43</v>
      </c>
      <c r="R392" s="212">
        <v>399</v>
      </c>
      <c r="S392" s="490">
        <v>44266</v>
      </c>
      <c r="T392" s="486" t="s">
        <v>3743</v>
      </c>
      <c r="U392" s="475">
        <v>36000000</v>
      </c>
      <c r="V392" s="406"/>
      <c r="W392" s="362"/>
      <c r="X392" s="483" t="s">
        <v>3744</v>
      </c>
      <c r="Y392" s="484">
        <v>44292</v>
      </c>
      <c r="Z392" s="484">
        <v>44292</v>
      </c>
      <c r="AA392" s="484">
        <v>44561</v>
      </c>
      <c r="AB392" s="485" t="s">
        <v>2575</v>
      </c>
      <c r="AC392" s="483" t="s">
        <v>3406</v>
      </c>
      <c r="AD392" s="485" t="s">
        <v>3745</v>
      </c>
      <c r="AE392" s="486" t="s">
        <v>3746</v>
      </c>
      <c r="AF392" s="473">
        <v>35333333</v>
      </c>
      <c r="AG392" s="474">
        <f t="shared" si="6"/>
        <v>666667</v>
      </c>
      <c r="AL392" s="475">
        <v>3333333</v>
      </c>
      <c r="AM392" s="306">
        <v>4000000</v>
      </c>
    </row>
    <row r="393" spans="1:39" hidden="1" x14ac:dyDescent="0.25">
      <c r="B393" s="501" t="s">
        <v>2941</v>
      </c>
      <c r="C393" s="212" t="s">
        <v>3747</v>
      </c>
      <c r="D393" s="478">
        <v>388</v>
      </c>
      <c r="E393" s="478">
        <v>20217000014063</v>
      </c>
      <c r="F393" s="479">
        <v>44267</v>
      </c>
      <c r="G393" s="478" t="s">
        <v>2572</v>
      </c>
      <c r="H393" s="212" t="s">
        <v>2573</v>
      </c>
      <c r="I393" s="212" t="s">
        <v>164</v>
      </c>
      <c r="J393" s="475">
        <v>10533636</v>
      </c>
      <c r="K393" s="212" t="s">
        <v>138</v>
      </c>
      <c r="L393" s="212" t="s">
        <v>139</v>
      </c>
      <c r="M393" s="212" t="s">
        <v>44</v>
      </c>
      <c r="N393" s="212" t="s">
        <v>45</v>
      </c>
      <c r="O393" s="212" t="s">
        <v>142</v>
      </c>
      <c r="P393" s="212" t="s">
        <v>43</v>
      </c>
      <c r="R393" s="212">
        <v>423</v>
      </c>
      <c r="S393" s="490">
        <v>44267</v>
      </c>
      <c r="T393" s="486" t="s">
        <v>3748</v>
      </c>
      <c r="U393" s="475">
        <v>10533636</v>
      </c>
      <c r="V393" s="406"/>
      <c r="W393" s="362"/>
      <c r="X393" s="483" t="s">
        <v>3749</v>
      </c>
      <c r="Y393" s="484">
        <v>44285</v>
      </c>
      <c r="Z393" s="484">
        <v>44286</v>
      </c>
      <c r="AA393" s="484">
        <v>44331</v>
      </c>
      <c r="AB393" s="485" t="s">
        <v>2575</v>
      </c>
      <c r="AC393" s="483" t="s">
        <v>3750</v>
      </c>
      <c r="AD393" s="485" t="s">
        <v>3751</v>
      </c>
      <c r="AE393" s="486" t="s">
        <v>3752</v>
      </c>
      <c r="AF393" s="473">
        <v>10533636</v>
      </c>
      <c r="AG393" s="474">
        <f t="shared" si="6"/>
        <v>0</v>
      </c>
      <c r="AK393" s="475">
        <v>7022424</v>
      </c>
      <c r="AL393" s="475">
        <v>234081</v>
      </c>
      <c r="AM393" s="306">
        <v>3277131</v>
      </c>
    </row>
    <row r="394" spans="1:39" hidden="1" x14ac:dyDescent="0.25">
      <c r="A394" s="476" t="s">
        <v>2332</v>
      </c>
      <c r="B394" s="477">
        <v>22725578</v>
      </c>
      <c r="C394" s="212" t="s">
        <v>2571</v>
      </c>
      <c r="D394" s="478">
        <v>389</v>
      </c>
      <c r="E394" s="478">
        <v>20217000014443</v>
      </c>
      <c r="F394" s="479">
        <v>44267</v>
      </c>
      <c r="G394" s="478" t="s">
        <v>2572</v>
      </c>
      <c r="H394" s="212" t="s">
        <v>2573</v>
      </c>
      <c r="I394" s="212" t="s">
        <v>164</v>
      </c>
      <c r="J394" s="475">
        <v>7268208</v>
      </c>
      <c r="K394" s="212" t="s">
        <v>138</v>
      </c>
      <c r="L394" s="212" t="s">
        <v>139</v>
      </c>
      <c r="M394" s="212" t="s">
        <v>44</v>
      </c>
      <c r="N394" s="212" t="s">
        <v>45</v>
      </c>
      <c r="O394" s="212" t="s">
        <v>142</v>
      </c>
      <c r="P394" s="212" t="s">
        <v>43</v>
      </c>
      <c r="R394" s="212">
        <v>425</v>
      </c>
      <c r="S394" s="490">
        <v>44267</v>
      </c>
      <c r="T394" s="486" t="s">
        <v>3753</v>
      </c>
      <c r="U394" s="475">
        <v>7268208</v>
      </c>
      <c r="V394" s="406"/>
      <c r="W394" s="362"/>
      <c r="X394" s="483" t="s">
        <v>3754</v>
      </c>
      <c r="Y394" s="484">
        <v>44285</v>
      </c>
      <c r="Z394" s="484">
        <v>44285</v>
      </c>
      <c r="AA394" s="484">
        <v>44407</v>
      </c>
      <c r="AB394" s="485" t="s">
        <v>2575</v>
      </c>
      <c r="AC394" s="483" t="s">
        <v>3755</v>
      </c>
      <c r="AD394" s="485" t="s">
        <v>3756</v>
      </c>
      <c r="AE394" s="486" t="s">
        <v>2987</v>
      </c>
      <c r="AF394" s="473">
        <v>7268208</v>
      </c>
      <c r="AG394" s="474">
        <f t="shared" si="6"/>
        <v>0</v>
      </c>
      <c r="AL394" s="475">
        <v>1817052</v>
      </c>
      <c r="AM394" s="306">
        <v>1817052</v>
      </c>
    </row>
    <row r="395" spans="1:39" hidden="1" x14ac:dyDescent="0.25">
      <c r="A395" s="476" t="s">
        <v>2512</v>
      </c>
      <c r="B395" s="477">
        <v>90000000</v>
      </c>
      <c r="C395" s="212" t="s">
        <v>2571</v>
      </c>
      <c r="D395" s="478">
        <v>390</v>
      </c>
      <c r="E395" s="478">
        <v>20213000014583</v>
      </c>
      <c r="F395" s="479">
        <v>44272</v>
      </c>
      <c r="G395" s="478" t="s">
        <v>2565</v>
      </c>
      <c r="H395" s="212" t="s">
        <v>2566</v>
      </c>
      <c r="I395" s="212" t="s">
        <v>432</v>
      </c>
      <c r="J395" s="475">
        <v>81000000</v>
      </c>
      <c r="K395" s="212" t="s">
        <v>342</v>
      </c>
      <c r="L395" s="212" t="s">
        <v>351</v>
      </c>
      <c r="M395" s="212" t="s">
        <v>44</v>
      </c>
      <c r="N395" s="212" t="s">
        <v>45</v>
      </c>
      <c r="O395" s="212" t="s">
        <v>63</v>
      </c>
      <c r="P395" s="212" t="s">
        <v>676</v>
      </c>
      <c r="R395" s="486">
        <v>447</v>
      </c>
      <c r="S395" s="490">
        <v>44272</v>
      </c>
      <c r="T395" s="486" t="s">
        <v>3757</v>
      </c>
      <c r="U395" s="475">
        <v>81000000</v>
      </c>
      <c r="V395" s="406"/>
      <c r="W395" s="362"/>
      <c r="X395" s="483" t="s">
        <v>3703</v>
      </c>
      <c r="Y395" s="484">
        <v>44280</v>
      </c>
      <c r="Z395" s="484">
        <v>44280</v>
      </c>
      <c r="AA395" s="484">
        <v>44555</v>
      </c>
      <c r="AB395" s="485" t="s">
        <v>2575</v>
      </c>
      <c r="AC395" s="483" t="s">
        <v>3758</v>
      </c>
      <c r="AD395" s="485" t="s">
        <v>3759</v>
      </c>
      <c r="AE395" s="486" t="s">
        <v>3760</v>
      </c>
      <c r="AF395" s="473">
        <v>81000000</v>
      </c>
      <c r="AG395" s="474">
        <f t="shared" si="6"/>
        <v>0</v>
      </c>
      <c r="AL395" s="475">
        <v>10500000</v>
      </c>
      <c r="AM395" s="212"/>
    </row>
    <row r="396" spans="1:39" hidden="1" x14ac:dyDescent="0.25">
      <c r="A396" s="476" t="s">
        <v>1887</v>
      </c>
      <c r="B396" s="477">
        <v>53100000</v>
      </c>
      <c r="C396" s="212" t="s">
        <v>2571</v>
      </c>
      <c r="D396" s="478">
        <v>391</v>
      </c>
      <c r="E396" s="478">
        <v>20216000014463</v>
      </c>
      <c r="F396" s="479">
        <v>44267</v>
      </c>
      <c r="G396" s="478" t="s">
        <v>2572</v>
      </c>
      <c r="H396" s="212" t="s">
        <v>2573</v>
      </c>
      <c r="I396" s="212" t="s">
        <v>214</v>
      </c>
      <c r="J396" s="475">
        <v>53100000</v>
      </c>
      <c r="K396" s="212" t="s">
        <v>138</v>
      </c>
      <c r="L396" s="212" t="s">
        <v>139</v>
      </c>
      <c r="M396" s="212" t="s">
        <v>44</v>
      </c>
      <c r="N396" s="212" t="s">
        <v>45</v>
      </c>
      <c r="O396" s="212" t="s">
        <v>142</v>
      </c>
      <c r="P396" s="212" t="s">
        <v>43</v>
      </c>
      <c r="R396" s="212">
        <v>426</v>
      </c>
      <c r="S396" s="490">
        <v>44267</v>
      </c>
      <c r="T396" s="486" t="s">
        <v>3761</v>
      </c>
      <c r="U396" s="475">
        <v>53100000</v>
      </c>
      <c r="V396" s="406"/>
      <c r="W396" s="362"/>
      <c r="X396" s="483" t="s">
        <v>3762</v>
      </c>
      <c r="Y396" s="484">
        <v>44295</v>
      </c>
      <c r="Z396" s="484">
        <v>44295</v>
      </c>
      <c r="AA396" s="484">
        <v>44550</v>
      </c>
      <c r="AB396" s="485" t="s">
        <v>2575</v>
      </c>
      <c r="AC396" s="483" t="s">
        <v>3499</v>
      </c>
      <c r="AD396" s="485" t="s">
        <v>3763</v>
      </c>
      <c r="AE396" s="486" t="s">
        <v>3764</v>
      </c>
      <c r="AF396" s="473">
        <v>50150000</v>
      </c>
      <c r="AG396" s="474">
        <f t="shared" si="6"/>
        <v>2950000</v>
      </c>
      <c r="AL396" s="475">
        <v>4326667</v>
      </c>
      <c r="AM396" s="306">
        <v>5900000</v>
      </c>
    </row>
    <row r="397" spans="1:39" hidden="1" x14ac:dyDescent="0.25">
      <c r="B397" s="501" t="s">
        <v>2941</v>
      </c>
      <c r="C397" s="212" t="s">
        <v>3765</v>
      </c>
      <c r="D397" s="478">
        <v>392</v>
      </c>
      <c r="E397" s="478">
        <v>20217000014533</v>
      </c>
      <c r="F397" s="479">
        <v>44267</v>
      </c>
      <c r="G397" s="478" t="s">
        <v>2572</v>
      </c>
      <c r="H397" s="212" t="s">
        <v>2573</v>
      </c>
      <c r="I397" s="212" t="s">
        <v>164</v>
      </c>
      <c r="J397" s="475">
        <v>7800000</v>
      </c>
      <c r="K397" s="212" t="s">
        <v>138</v>
      </c>
      <c r="L397" s="212" t="s">
        <v>139</v>
      </c>
      <c r="M397" s="212" t="s">
        <v>44</v>
      </c>
      <c r="N397" s="212" t="s">
        <v>45</v>
      </c>
      <c r="O397" s="212" t="s">
        <v>142</v>
      </c>
      <c r="P397" s="212" t="s">
        <v>43</v>
      </c>
      <c r="R397" s="212">
        <v>428</v>
      </c>
      <c r="S397" s="490">
        <v>44267</v>
      </c>
      <c r="T397" s="486" t="s">
        <v>3766</v>
      </c>
      <c r="U397" s="475">
        <v>7800000</v>
      </c>
      <c r="V397" s="406"/>
      <c r="W397" s="362"/>
      <c r="X397" s="483" t="s">
        <v>3767</v>
      </c>
      <c r="Y397" s="484">
        <v>44285</v>
      </c>
      <c r="Z397" s="484">
        <v>44288</v>
      </c>
      <c r="AA397" s="484">
        <v>44347</v>
      </c>
      <c r="AB397" s="485" t="s">
        <v>2575</v>
      </c>
      <c r="AC397" s="483" t="s">
        <v>3768</v>
      </c>
      <c r="AD397" s="485" t="s">
        <v>3769</v>
      </c>
      <c r="AE397" s="486" t="s">
        <v>3770</v>
      </c>
      <c r="AF397" s="473">
        <v>7800000</v>
      </c>
      <c r="AG397" s="474">
        <f t="shared" si="6"/>
        <v>0</v>
      </c>
      <c r="AM397" s="306">
        <v>3900000</v>
      </c>
    </row>
    <row r="398" spans="1:39" s="312" customFormat="1" hidden="1" x14ac:dyDescent="0.25">
      <c r="A398" s="476"/>
      <c r="B398" s="501" t="s">
        <v>2608</v>
      </c>
      <c r="C398" s="312" t="s">
        <v>3771</v>
      </c>
      <c r="D398" s="325">
        <v>393</v>
      </c>
      <c r="E398" s="325">
        <v>20217000014543</v>
      </c>
      <c r="F398" s="315">
        <v>44267</v>
      </c>
      <c r="G398" s="325" t="s">
        <v>2572</v>
      </c>
      <c r="H398" s="312" t="s">
        <v>2573</v>
      </c>
      <c r="I398" s="312" t="s">
        <v>164</v>
      </c>
      <c r="J398" s="405"/>
      <c r="K398" s="312" t="s">
        <v>138</v>
      </c>
      <c r="L398" s="312" t="s">
        <v>139</v>
      </c>
      <c r="M398" s="312" t="s">
        <v>44</v>
      </c>
      <c r="N398" s="312" t="s">
        <v>45</v>
      </c>
      <c r="O398" s="312" t="s">
        <v>142</v>
      </c>
      <c r="P398" s="312" t="s">
        <v>43</v>
      </c>
      <c r="Q398" s="312" t="s">
        <v>3225</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x14ac:dyDescent="0.25">
      <c r="A399" s="476" t="s">
        <v>2127</v>
      </c>
      <c r="B399" s="477">
        <v>54000000</v>
      </c>
      <c r="C399" s="212" t="s">
        <v>2571</v>
      </c>
      <c r="D399" s="478">
        <v>394</v>
      </c>
      <c r="E399" s="478">
        <v>20211200014573</v>
      </c>
      <c r="F399" s="310">
        <v>44267</v>
      </c>
      <c r="G399" s="309" t="s">
        <v>2572</v>
      </c>
      <c r="H399" s="210" t="s">
        <v>2573</v>
      </c>
      <c r="I399" s="212" t="s">
        <v>143</v>
      </c>
      <c r="J399" s="407">
        <v>54000000</v>
      </c>
      <c r="K399" s="210" t="s">
        <v>138</v>
      </c>
      <c r="L399" s="210" t="s">
        <v>139</v>
      </c>
      <c r="M399" s="210" t="s">
        <v>44</v>
      </c>
      <c r="N399" s="210" t="s">
        <v>45</v>
      </c>
      <c r="O399" s="210" t="s">
        <v>142</v>
      </c>
      <c r="P399" s="210" t="s">
        <v>43</v>
      </c>
      <c r="R399" s="212">
        <v>429</v>
      </c>
      <c r="S399" s="490">
        <v>44267</v>
      </c>
      <c r="T399" s="486" t="s">
        <v>3772</v>
      </c>
      <c r="U399" s="475">
        <v>54000000</v>
      </c>
      <c r="V399" s="406"/>
      <c r="W399" s="362"/>
      <c r="X399" s="483" t="s">
        <v>3773</v>
      </c>
      <c r="Y399" s="484">
        <v>44286</v>
      </c>
      <c r="Z399" s="484">
        <v>44286</v>
      </c>
      <c r="AA399" s="484">
        <v>44555</v>
      </c>
      <c r="AB399" s="485" t="s">
        <v>2575</v>
      </c>
      <c r="AC399" s="483" t="s">
        <v>3774</v>
      </c>
      <c r="AD399" s="485" t="s">
        <v>3775</v>
      </c>
      <c r="AE399" s="486" t="s">
        <v>3776</v>
      </c>
      <c r="AF399" s="473">
        <v>53200000</v>
      </c>
      <c r="AG399" s="474">
        <f t="shared" si="6"/>
        <v>800000</v>
      </c>
      <c r="AL399" s="475">
        <v>6200000</v>
      </c>
      <c r="AM399" s="306">
        <v>6000000</v>
      </c>
    </row>
    <row r="400" spans="1:39" s="312" customFormat="1" hidden="1" x14ac:dyDescent="0.25">
      <c r="A400" s="361" t="s">
        <v>3777</v>
      </c>
      <c r="B400" s="417">
        <v>44972037</v>
      </c>
      <c r="C400" s="312" t="s">
        <v>2687</v>
      </c>
      <c r="D400" s="325">
        <v>395</v>
      </c>
      <c r="E400" s="325">
        <v>20216000014153</v>
      </c>
      <c r="F400" s="315">
        <v>44267</v>
      </c>
      <c r="G400" s="325" t="s">
        <v>2572</v>
      </c>
      <c r="H400" s="312" t="s">
        <v>2573</v>
      </c>
      <c r="I400" s="312" t="s">
        <v>214</v>
      </c>
      <c r="J400" s="405">
        <v>44972037</v>
      </c>
      <c r="K400" s="312" t="s">
        <v>138</v>
      </c>
      <c r="L400" s="312" t="s">
        <v>139</v>
      </c>
      <c r="M400" s="312" t="s">
        <v>44</v>
      </c>
      <c r="N400" s="312" t="s">
        <v>45</v>
      </c>
      <c r="O400" s="312" t="s">
        <v>142</v>
      </c>
      <c r="P400" s="312" t="s">
        <v>43</v>
      </c>
      <c r="R400" s="312">
        <v>424</v>
      </c>
      <c r="S400" s="363">
        <v>44267</v>
      </c>
      <c r="T400" s="360" t="s">
        <v>3778</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x14ac:dyDescent="0.25">
      <c r="B401" s="501" t="s">
        <v>2608</v>
      </c>
      <c r="C401" s="212" t="s">
        <v>3779</v>
      </c>
      <c r="D401" s="478">
        <v>396</v>
      </c>
      <c r="E401" s="478">
        <v>20217000014653</v>
      </c>
      <c r="F401" s="479">
        <v>44267</v>
      </c>
      <c r="G401" s="478" t="s">
        <v>2572</v>
      </c>
      <c r="H401" s="212" t="s">
        <v>2573</v>
      </c>
      <c r="I401" s="212" t="s">
        <v>214</v>
      </c>
      <c r="J401" s="475">
        <v>6320181</v>
      </c>
      <c r="K401" s="212" t="s">
        <v>138</v>
      </c>
      <c r="L401" s="212" t="s">
        <v>139</v>
      </c>
      <c r="M401" s="212" t="s">
        <v>44</v>
      </c>
      <c r="N401" s="212" t="s">
        <v>45</v>
      </c>
      <c r="O401" s="212" t="s">
        <v>142</v>
      </c>
      <c r="P401" s="212" t="s">
        <v>43</v>
      </c>
      <c r="R401" s="212">
        <v>430</v>
      </c>
      <c r="S401" s="490">
        <v>44267</v>
      </c>
      <c r="T401" s="486" t="s">
        <v>3780</v>
      </c>
      <c r="U401" s="475">
        <v>6320181</v>
      </c>
      <c r="V401" s="406"/>
      <c r="W401" s="362"/>
      <c r="X401" s="483" t="s">
        <v>3781</v>
      </c>
      <c r="Y401" s="484">
        <v>44285</v>
      </c>
      <c r="Z401" s="484">
        <v>44285</v>
      </c>
      <c r="AA401" s="484">
        <v>44338</v>
      </c>
      <c r="AB401" s="485" t="s">
        <v>2575</v>
      </c>
      <c r="AC401" s="483" t="s">
        <v>3782</v>
      </c>
      <c r="AD401" s="485" t="s">
        <v>3783</v>
      </c>
      <c r="AE401" s="486" t="s">
        <v>3784</v>
      </c>
      <c r="AF401" s="473">
        <v>6320181</v>
      </c>
      <c r="AG401" s="474">
        <f t="shared" si="6"/>
        <v>0</v>
      </c>
      <c r="AK401" s="475">
        <v>117040</v>
      </c>
      <c r="AL401" s="475">
        <v>3511212</v>
      </c>
      <c r="AM401" s="306">
        <v>2574889</v>
      </c>
    </row>
    <row r="402" spans="1:39" hidden="1" x14ac:dyDescent="0.25">
      <c r="A402" s="476" t="s">
        <v>2129</v>
      </c>
      <c r="B402" s="477">
        <v>58500000</v>
      </c>
      <c r="C402" s="212" t="s">
        <v>2571</v>
      </c>
      <c r="D402" s="478">
        <v>397</v>
      </c>
      <c r="E402" s="478">
        <v>20211200014703</v>
      </c>
      <c r="F402" s="479">
        <v>44270</v>
      </c>
      <c r="G402" s="309" t="s">
        <v>2572</v>
      </c>
      <c r="H402" s="210" t="s">
        <v>2573</v>
      </c>
      <c r="I402" s="212" t="s">
        <v>143</v>
      </c>
      <c r="J402" s="407">
        <v>56000000</v>
      </c>
      <c r="K402" s="210" t="s">
        <v>138</v>
      </c>
      <c r="L402" s="210" t="s">
        <v>139</v>
      </c>
      <c r="M402" s="210" t="s">
        <v>44</v>
      </c>
      <c r="N402" s="210" t="s">
        <v>45</v>
      </c>
      <c r="O402" s="210" t="s">
        <v>142</v>
      </c>
      <c r="P402" s="210" t="s">
        <v>43</v>
      </c>
      <c r="R402" s="486">
        <v>434</v>
      </c>
      <c r="S402" s="490">
        <v>44271</v>
      </c>
      <c r="T402" s="486" t="s">
        <v>3785</v>
      </c>
      <c r="U402" s="475">
        <v>56000000</v>
      </c>
      <c r="V402" s="406"/>
      <c r="W402" s="362"/>
      <c r="X402" s="483" t="s">
        <v>3786</v>
      </c>
      <c r="Y402" s="484">
        <v>44286</v>
      </c>
      <c r="Z402" s="484">
        <v>44286</v>
      </c>
      <c r="AA402" s="484">
        <v>44530</v>
      </c>
      <c r="AB402" s="485" t="s">
        <v>2575</v>
      </c>
      <c r="AC402" s="483" t="s">
        <v>3787</v>
      </c>
      <c r="AD402" s="485" t="s">
        <v>3788</v>
      </c>
      <c r="AE402" s="486" t="s">
        <v>3789</v>
      </c>
      <c r="AF402" s="473">
        <v>56000000</v>
      </c>
      <c r="AG402" s="474">
        <f t="shared" si="6"/>
        <v>0</v>
      </c>
      <c r="AL402" s="475">
        <v>7000000</v>
      </c>
      <c r="AM402" s="306">
        <v>7000000</v>
      </c>
    </row>
    <row r="403" spans="1:39" hidden="1" x14ac:dyDescent="0.25">
      <c r="A403" s="476" t="s">
        <v>2123</v>
      </c>
      <c r="B403" s="477">
        <v>12000000</v>
      </c>
      <c r="C403" s="212" t="s">
        <v>2571</v>
      </c>
      <c r="D403" s="478">
        <v>398</v>
      </c>
      <c r="E403" s="478">
        <v>20211200014793</v>
      </c>
      <c r="F403" s="479">
        <v>44270</v>
      </c>
      <c r="G403" s="309" t="s">
        <v>2572</v>
      </c>
      <c r="H403" s="210" t="s">
        <v>2573</v>
      </c>
      <c r="I403" s="212" t="s">
        <v>143</v>
      </c>
      <c r="J403" s="407">
        <v>12000000</v>
      </c>
      <c r="K403" s="210" t="s">
        <v>138</v>
      </c>
      <c r="L403" s="210" t="s">
        <v>139</v>
      </c>
      <c r="M403" s="210" t="s">
        <v>44</v>
      </c>
      <c r="N403" s="210" t="s">
        <v>45</v>
      </c>
      <c r="O403" s="210" t="s">
        <v>142</v>
      </c>
      <c r="P403" s="210" t="s">
        <v>43</v>
      </c>
      <c r="R403" s="486">
        <v>435</v>
      </c>
      <c r="S403" s="490">
        <v>44271</v>
      </c>
      <c r="T403" s="486" t="s">
        <v>3790</v>
      </c>
      <c r="U403" s="475">
        <v>12000000</v>
      </c>
      <c r="V403" s="406"/>
      <c r="W403" s="362"/>
      <c r="X403" s="483" t="s">
        <v>3791</v>
      </c>
      <c r="Y403" s="484">
        <v>44285</v>
      </c>
      <c r="Z403" s="484">
        <v>44285</v>
      </c>
      <c r="AA403" s="484">
        <v>44407</v>
      </c>
      <c r="AB403" s="485" t="s">
        <v>2575</v>
      </c>
      <c r="AC403" s="483" t="s">
        <v>3792</v>
      </c>
      <c r="AD403" s="485" t="s">
        <v>3793</v>
      </c>
      <c r="AE403" s="486" t="s">
        <v>3794</v>
      </c>
      <c r="AF403" s="473">
        <v>12000000</v>
      </c>
      <c r="AG403" s="474">
        <f t="shared" si="6"/>
        <v>0</v>
      </c>
      <c r="AM403" s="306">
        <f>3000000+3000000</f>
        <v>6000000</v>
      </c>
    </row>
    <row r="404" spans="1:39" hidden="1" x14ac:dyDescent="0.25">
      <c r="B404" s="501" t="s">
        <v>2608</v>
      </c>
      <c r="C404" s="212" t="s">
        <v>3771</v>
      </c>
      <c r="D404" s="478">
        <v>399</v>
      </c>
      <c r="E404" s="478">
        <v>20217000014543</v>
      </c>
      <c r="F404" s="479">
        <v>44270</v>
      </c>
      <c r="G404" s="478" t="s">
        <v>2572</v>
      </c>
      <c r="H404" s="212" t="s">
        <v>2573</v>
      </c>
      <c r="I404" s="212" t="s">
        <v>164</v>
      </c>
      <c r="J404" s="475">
        <v>5478400</v>
      </c>
      <c r="K404" s="212" t="s">
        <v>138</v>
      </c>
      <c r="L404" s="212" t="s">
        <v>139</v>
      </c>
      <c r="M404" s="212" t="s">
        <v>44</v>
      </c>
      <c r="N404" s="212" t="s">
        <v>45</v>
      </c>
      <c r="O404" s="212" t="s">
        <v>142</v>
      </c>
      <c r="P404" s="212" t="s">
        <v>43</v>
      </c>
      <c r="R404" s="486">
        <v>433</v>
      </c>
      <c r="S404" s="490">
        <v>44271</v>
      </c>
      <c r="T404" s="486" t="s">
        <v>3795</v>
      </c>
      <c r="U404" s="475">
        <v>5478400</v>
      </c>
      <c r="V404" s="406"/>
      <c r="W404" s="362"/>
      <c r="X404" s="483" t="s">
        <v>3796</v>
      </c>
      <c r="Y404" s="484">
        <v>44285</v>
      </c>
      <c r="Z404" s="484">
        <v>44287</v>
      </c>
      <c r="AA404" s="484">
        <v>44339</v>
      </c>
      <c r="AB404" s="485" t="s">
        <v>2575</v>
      </c>
      <c r="AC404" s="483" t="s">
        <v>3797</v>
      </c>
      <c r="AD404" s="485" t="s">
        <v>3798</v>
      </c>
      <c r="AE404" s="486" t="s">
        <v>3799</v>
      </c>
      <c r="AF404" s="473">
        <v>5427200</v>
      </c>
      <c r="AG404" s="474">
        <f t="shared" si="6"/>
        <v>51200</v>
      </c>
      <c r="AL404" s="475">
        <v>3072000</v>
      </c>
      <c r="AM404" s="212"/>
    </row>
    <row r="405" spans="1:39" hidden="1" x14ac:dyDescent="0.25">
      <c r="B405" s="501" t="s">
        <v>2608</v>
      </c>
      <c r="C405" s="212" t="s">
        <v>3800</v>
      </c>
      <c r="D405" s="478">
        <v>400</v>
      </c>
      <c r="E405" s="478">
        <v>20217000014983</v>
      </c>
      <c r="F405" s="479">
        <v>44270</v>
      </c>
      <c r="G405" s="478" t="s">
        <v>2572</v>
      </c>
      <c r="H405" s="212" t="s">
        <v>2573</v>
      </c>
      <c r="I405" s="212" t="s">
        <v>164</v>
      </c>
      <c r="J405" s="475">
        <v>7241874</v>
      </c>
      <c r="K405" s="212" t="s">
        <v>138</v>
      </c>
      <c r="L405" s="212" t="s">
        <v>139</v>
      </c>
      <c r="M405" s="212" t="s">
        <v>44</v>
      </c>
      <c r="N405" s="212" t="s">
        <v>45</v>
      </c>
      <c r="O405" s="212" t="s">
        <v>142</v>
      </c>
      <c r="P405" s="212" t="s">
        <v>43</v>
      </c>
      <c r="R405" s="486">
        <v>436</v>
      </c>
      <c r="S405" s="490">
        <v>44271</v>
      </c>
      <c r="T405" s="486" t="s">
        <v>3801</v>
      </c>
      <c r="U405" s="475">
        <v>7241874</v>
      </c>
      <c r="V405" s="406"/>
      <c r="W405" s="362"/>
      <c r="X405" s="483" t="s">
        <v>3802</v>
      </c>
      <c r="Y405" s="484">
        <v>44285</v>
      </c>
      <c r="Z405" s="484">
        <v>44285</v>
      </c>
      <c r="AA405" s="484">
        <v>44341</v>
      </c>
      <c r="AB405" s="485" t="s">
        <v>2575</v>
      </c>
      <c r="AC405" s="483" t="s">
        <v>3803</v>
      </c>
      <c r="AD405" s="485" t="s">
        <v>3804</v>
      </c>
      <c r="AE405" s="486" t="s">
        <v>3805</v>
      </c>
      <c r="AF405" s="473">
        <v>7241874</v>
      </c>
      <c r="AG405" s="474">
        <f t="shared" si="6"/>
        <v>0</v>
      </c>
      <c r="AL405" s="475">
        <v>4061785</v>
      </c>
      <c r="AM405" s="306">
        <v>20000</v>
      </c>
    </row>
    <row r="406" spans="1:39" hidden="1" x14ac:dyDescent="0.25">
      <c r="A406" s="476" t="s">
        <v>2337</v>
      </c>
      <c r="B406" s="477">
        <v>65413872</v>
      </c>
      <c r="C406" s="212" t="s">
        <v>2571</v>
      </c>
      <c r="D406" s="478">
        <v>401</v>
      </c>
      <c r="E406" s="478">
        <v>20217000014993</v>
      </c>
      <c r="F406" s="479">
        <v>44270</v>
      </c>
      <c r="G406" s="478" t="s">
        <v>2572</v>
      </c>
      <c r="H406" s="212" t="s">
        <v>2573</v>
      </c>
      <c r="I406" s="212" t="s">
        <v>164</v>
      </c>
      <c r="J406" s="475">
        <v>54600000</v>
      </c>
      <c r="K406" s="212" t="s">
        <v>138</v>
      </c>
      <c r="L406" s="212" t="s">
        <v>139</v>
      </c>
      <c r="M406" s="212" t="s">
        <v>44</v>
      </c>
      <c r="N406" s="212" t="s">
        <v>45</v>
      </c>
      <c r="O406" s="212" t="s">
        <v>142</v>
      </c>
      <c r="P406" s="212" t="s">
        <v>43</v>
      </c>
      <c r="R406" s="486">
        <v>437</v>
      </c>
      <c r="S406" s="490">
        <v>44271</v>
      </c>
      <c r="T406" s="486" t="s">
        <v>3806</v>
      </c>
      <c r="U406" s="475">
        <v>54600000</v>
      </c>
      <c r="V406" s="406"/>
      <c r="W406" s="362"/>
      <c r="X406" s="211" t="s">
        <v>3807</v>
      </c>
      <c r="Y406" s="472">
        <v>44301</v>
      </c>
      <c r="Z406" s="472">
        <v>44301</v>
      </c>
      <c r="AA406" s="472">
        <v>44515</v>
      </c>
      <c r="AB406" s="2" t="s">
        <v>2575</v>
      </c>
      <c r="AC406" s="211" t="s">
        <v>3337</v>
      </c>
      <c r="AD406" s="2" t="s">
        <v>3808</v>
      </c>
      <c r="AE406" s="212" t="s">
        <v>2740</v>
      </c>
      <c r="AF406" s="473">
        <v>54600000</v>
      </c>
      <c r="AG406" s="474">
        <f t="shared" si="6"/>
        <v>0</v>
      </c>
      <c r="AL406" s="475">
        <v>4160000</v>
      </c>
      <c r="AM406" s="306">
        <v>7800000</v>
      </c>
    </row>
    <row r="407" spans="1:39" hidden="1" x14ac:dyDescent="0.25">
      <c r="B407" s="501" t="s">
        <v>2608</v>
      </c>
      <c r="C407" s="212" t="s">
        <v>3809</v>
      </c>
      <c r="D407" s="478">
        <v>402</v>
      </c>
      <c r="E407" s="478">
        <v>20217000015093</v>
      </c>
      <c r="F407" s="479">
        <v>44271</v>
      </c>
      <c r="G407" s="478" t="s">
        <v>2572</v>
      </c>
      <c r="H407" s="212" t="s">
        <v>2573</v>
      </c>
      <c r="I407" s="212" t="s">
        <v>164</v>
      </c>
      <c r="J407" s="475">
        <v>6086100</v>
      </c>
      <c r="K407" s="212" t="s">
        <v>138</v>
      </c>
      <c r="L407" s="212" t="s">
        <v>139</v>
      </c>
      <c r="M407" s="212" t="s">
        <v>44</v>
      </c>
      <c r="N407" s="212" t="s">
        <v>45</v>
      </c>
      <c r="O407" s="212" t="s">
        <v>142</v>
      </c>
      <c r="P407" s="212" t="s">
        <v>43</v>
      </c>
      <c r="R407" s="486">
        <v>445</v>
      </c>
      <c r="S407" s="490">
        <v>44272</v>
      </c>
      <c r="T407" s="486" t="s">
        <v>3810</v>
      </c>
      <c r="U407" s="475">
        <v>6086100</v>
      </c>
      <c r="V407" s="406"/>
      <c r="W407" s="362"/>
      <c r="X407" s="483" t="s">
        <v>3529</v>
      </c>
      <c r="Y407" s="484">
        <v>44285</v>
      </c>
      <c r="Z407" s="484">
        <v>44291</v>
      </c>
      <c r="AA407" s="484">
        <v>44342</v>
      </c>
      <c r="AB407" s="485" t="s">
        <v>2575</v>
      </c>
      <c r="AC407" s="483" t="s">
        <v>3811</v>
      </c>
      <c r="AD407" s="485" t="s">
        <v>3812</v>
      </c>
      <c r="AE407" s="486" t="s">
        <v>3813</v>
      </c>
      <c r="AF407" s="473">
        <v>6086100</v>
      </c>
      <c r="AG407" s="474">
        <f t="shared" si="6"/>
        <v>0</v>
      </c>
      <c r="AL407" s="475">
        <v>3511212</v>
      </c>
      <c r="AM407" s="306">
        <v>2574888</v>
      </c>
    </row>
    <row r="408" spans="1:39" hidden="1" x14ac:dyDescent="0.25">
      <c r="A408" s="476" t="s">
        <v>2212</v>
      </c>
      <c r="B408" s="477">
        <v>29981361</v>
      </c>
      <c r="C408" s="212" t="s">
        <v>2571</v>
      </c>
      <c r="D408" s="478">
        <v>403</v>
      </c>
      <c r="E408" s="478">
        <v>20211300013893</v>
      </c>
      <c r="F408" s="310">
        <v>44265</v>
      </c>
      <c r="G408" s="478" t="s">
        <v>2572</v>
      </c>
      <c r="H408" s="212" t="s">
        <v>2573</v>
      </c>
      <c r="I408" s="212" t="s">
        <v>210</v>
      </c>
      <c r="J408" s="475">
        <v>19987572</v>
      </c>
      <c r="K408" s="212" t="s">
        <v>138</v>
      </c>
      <c r="L408" s="212" t="s">
        <v>139</v>
      </c>
      <c r="M408" s="212" t="s">
        <v>44</v>
      </c>
      <c r="N408" s="212" t="s">
        <v>45</v>
      </c>
      <c r="O408" s="212" t="s">
        <v>142</v>
      </c>
      <c r="P408" s="212" t="s">
        <v>43</v>
      </c>
      <c r="R408" s="212">
        <v>400</v>
      </c>
      <c r="S408" s="490">
        <v>44266</v>
      </c>
      <c r="T408" s="486" t="s">
        <v>3814</v>
      </c>
      <c r="U408" s="475">
        <v>19987572</v>
      </c>
      <c r="V408" s="406"/>
      <c r="W408" s="362"/>
      <c r="X408" s="483" t="s">
        <v>3815</v>
      </c>
      <c r="Y408" s="484">
        <v>44280</v>
      </c>
      <c r="Z408" s="484">
        <v>44280</v>
      </c>
      <c r="AA408" s="484">
        <v>44402</v>
      </c>
      <c r="AB408" s="485" t="s">
        <v>2575</v>
      </c>
      <c r="AC408" s="483" t="s">
        <v>3816</v>
      </c>
      <c r="AD408" s="485" t="s">
        <v>3817</v>
      </c>
      <c r="AE408" s="486" t="s">
        <v>3818</v>
      </c>
      <c r="AF408" s="473">
        <v>19987572</v>
      </c>
      <c r="AG408" s="474">
        <f t="shared" si="6"/>
        <v>0</v>
      </c>
      <c r="AM408" s="306">
        <v>5829708</v>
      </c>
    </row>
    <row r="409" spans="1:39" hidden="1" x14ac:dyDescent="0.25">
      <c r="A409" s="476" t="s">
        <v>2342</v>
      </c>
      <c r="B409" s="477">
        <v>44311860</v>
      </c>
      <c r="C409" s="212" t="s">
        <v>2571</v>
      </c>
      <c r="D409" s="478">
        <v>404</v>
      </c>
      <c r="E409" s="478">
        <v>20212000014733</v>
      </c>
      <c r="F409" s="479">
        <v>44271</v>
      </c>
      <c r="G409" s="478" t="s">
        <v>2565</v>
      </c>
      <c r="H409" s="212" t="s">
        <v>2566</v>
      </c>
      <c r="I409" s="212" t="s">
        <v>391</v>
      </c>
      <c r="J409" s="475">
        <v>44311860</v>
      </c>
      <c r="K409" s="210" t="s">
        <v>2636</v>
      </c>
      <c r="L409" s="212" t="s">
        <v>2637</v>
      </c>
      <c r="M409" s="212" t="s">
        <v>44</v>
      </c>
      <c r="N409" s="212" t="s">
        <v>45</v>
      </c>
      <c r="O409" s="212" t="s">
        <v>63</v>
      </c>
      <c r="P409" s="212" t="s">
        <v>676</v>
      </c>
      <c r="R409" s="486">
        <v>439</v>
      </c>
      <c r="S409" s="490">
        <v>44272</v>
      </c>
      <c r="T409" s="486" t="s">
        <v>3819</v>
      </c>
      <c r="U409" s="475">
        <f>44311860-2461770</f>
        <v>41850090</v>
      </c>
      <c r="V409" s="411">
        <v>2461770</v>
      </c>
      <c r="W409" s="397"/>
      <c r="X409" s="483" t="s">
        <v>3820</v>
      </c>
      <c r="Y409" s="484">
        <v>44292</v>
      </c>
      <c r="Z409" s="484">
        <v>44292</v>
      </c>
      <c r="AA409" s="484">
        <v>44550</v>
      </c>
      <c r="AB409" s="485" t="s">
        <v>2575</v>
      </c>
      <c r="AC409" s="483" t="s">
        <v>3412</v>
      </c>
      <c r="AD409" s="485" t="s">
        <v>3821</v>
      </c>
      <c r="AE409" s="486" t="s">
        <v>3822</v>
      </c>
      <c r="AF409" s="473">
        <v>41850090</v>
      </c>
      <c r="AG409" s="474">
        <f t="shared" si="6"/>
        <v>0</v>
      </c>
      <c r="AL409" s="475">
        <v>4102950</v>
      </c>
      <c r="AM409" s="306">
        <v>4923540</v>
      </c>
    </row>
    <row r="410" spans="1:39" hidden="1" x14ac:dyDescent="0.25">
      <c r="A410" s="476" t="s">
        <v>2324</v>
      </c>
      <c r="B410" s="477">
        <v>36720000</v>
      </c>
      <c r="C410" s="212" t="s">
        <v>2571</v>
      </c>
      <c r="D410" s="478">
        <v>405</v>
      </c>
      <c r="E410" s="478">
        <v>20212000014743</v>
      </c>
      <c r="F410" s="479">
        <v>44271</v>
      </c>
      <c r="G410" s="478" t="s">
        <v>2565</v>
      </c>
      <c r="H410" s="212" t="s">
        <v>2566</v>
      </c>
      <c r="I410" s="212" t="s">
        <v>391</v>
      </c>
      <c r="J410" s="475">
        <v>34850000</v>
      </c>
      <c r="K410" s="210" t="s">
        <v>2636</v>
      </c>
      <c r="L410" s="212" t="s">
        <v>2637</v>
      </c>
      <c r="M410" s="212" t="s">
        <v>44</v>
      </c>
      <c r="N410" s="212" t="s">
        <v>45</v>
      </c>
      <c r="O410" s="212" t="s">
        <v>63</v>
      </c>
      <c r="P410" s="212" t="s">
        <v>676</v>
      </c>
      <c r="R410" s="486">
        <v>440</v>
      </c>
      <c r="S410" s="490">
        <v>44272</v>
      </c>
      <c r="T410" s="486" t="s">
        <v>3823</v>
      </c>
      <c r="U410" s="475">
        <v>34850000</v>
      </c>
      <c r="V410" s="406"/>
      <c r="W410" s="362"/>
      <c r="X410" s="483" t="s">
        <v>3824</v>
      </c>
      <c r="Y410" s="484">
        <v>44298</v>
      </c>
      <c r="Z410" s="484">
        <v>44298</v>
      </c>
      <c r="AA410" s="484">
        <v>44561</v>
      </c>
      <c r="AB410" s="485" t="s">
        <v>2575</v>
      </c>
      <c r="AC410" s="483" t="s">
        <v>3631</v>
      </c>
      <c r="AD410" s="485" t="s">
        <v>3825</v>
      </c>
      <c r="AE410" s="486" t="s">
        <v>3826</v>
      </c>
      <c r="AF410" s="473">
        <v>34850000</v>
      </c>
      <c r="AG410" s="474">
        <f t="shared" si="6"/>
        <v>0</v>
      </c>
      <c r="AL410" s="475">
        <v>2596666</v>
      </c>
      <c r="AM410" s="306">
        <v>4100000</v>
      </c>
    </row>
    <row r="411" spans="1:39" hidden="1" x14ac:dyDescent="0.25">
      <c r="A411" s="476" t="s">
        <v>2325</v>
      </c>
      <c r="B411" s="477">
        <v>51754800</v>
      </c>
      <c r="C411" s="212" t="s">
        <v>2571</v>
      </c>
      <c r="D411" s="478">
        <v>406</v>
      </c>
      <c r="E411" s="478">
        <v>20212000014753</v>
      </c>
      <c r="F411" s="479">
        <v>44271</v>
      </c>
      <c r="G411" s="478" t="s">
        <v>2565</v>
      </c>
      <c r="H411" s="212" t="s">
        <v>2566</v>
      </c>
      <c r="I411" s="212" t="s">
        <v>391</v>
      </c>
      <c r="J411" s="475">
        <v>39474000</v>
      </c>
      <c r="K411" s="210" t="s">
        <v>2636</v>
      </c>
      <c r="L411" s="212" t="s">
        <v>2637</v>
      </c>
      <c r="M411" s="212" t="s">
        <v>44</v>
      </c>
      <c r="N411" s="212" t="s">
        <v>45</v>
      </c>
      <c r="O411" s="212" t="s">
        <v>63</v>
      </c>
      <c r="P411" s="212" t="s">
        <v>676</v>
      </c>
      <c r="R411" s="486">
        <v>441</v>
      </c>
      <c r="S411" s="490">
        <v>44272</v>
      </c>
      <c r="T411" s="486" t="s">
        <v>3827</v>
      </c>
      <c r="U411" s="475">
        <v>39474000</v>
      </c>
      <c r="V411" s="406"/>
      <c r="W411" s="362"/>
      <c r="X411" s="483" t="s">
        <v>3270</v>
      </c>
      <c r="Y411" s="484">
        <v>44285</v>
      </c>
      <c r="Z411" s="484">
        <v>44285</v>
      </c>
      <c r="AA411" s="484">
        <v>44560</v>
      </c>
      <c r="AB411" s="485" t="s">
        <v>2575</v>
      </c>
      <c r="AC411" s="483" t="s">
        <v>3828</v>
      </c>
      <c r="AD411" s="485" t="s">
        <v>3829</v>
      </c>
      <c r="AE411" s="486" t="s">
        <v>3830</v>
      </c>
      <c r="AF411" s="473">
        <v>39474000</v>
      </c>
      <c r="AG411" s="474">
        <f t="shared" si="6"/>
        <v>0</v>
      </c>
      <c r="AL411" s="475">
        <v>4532200</v>
      </c>
      <c r="AM411" s="306">
        <v>4386000</v>
      </c>
    </row>
    <row r="412" spans="1:39" hidden="1" x14ac:dyDescent="0.25">
      <c r="A412" s="476" t="s">
        <v>2326</v>
      </c>
      <c r="B412" s="477">
        <v>48144000</v>
      </c>
      <c r="C412" s="212" t="s">
        <v>2571</v>
      </c>
      <c r="D412" s="478">
        <v>407</v>
      </c>
      <c r="E412" s="478">
        <v>20212000014763</v>
      </c>
      <c r="F412" s="479">
        <v>44271</v>
      </c>
      <c r="G412" s="478" t="s">
        <v>2565</v>
      </c>
      <c r="H412" s="212" t="s">
        <v>2566</v>
      </c>
      <c r="I412" s="212" t="s">
        <v>391</v>
      </c>
      <c r="J412" s="475">
        <v>36900000</v>
      </c>
      <c r="K412" s="210" t="s">
        <v>2636</v>
      </c>
      <c r="L412" s="212" t="s">
        <v>2637</v>
      </c>
      <c r="M412" s="212" t="s">
        <v>44</v>
      </c>
      <c r="N412" s="212" t="s">
        <v>45</v>
      </c>
      <c r="O412" s="212" t="s">
        <v>63</v>
      </c>
      <c r="P412" s="212" t="s">
        <v>676</v>
      </c>
      <c r="R412" s="486">
        <v>442</v>
      </c>
      <c r="S412" s="490">
        <v>44272</v>
      </c>
      <c r="T412" s="486" t="s">
        <v>3831</v>
      </c>
      <c r="U412" s="475">
        <v>36900000</v>
      </c>
      <c r="V412" s="406"/>
      <c r="W412" s="362"/>
      <c r="X412" s="483" t="s">
        <v>3832</v>
      </c>
      <c r="Y412" s="484">
        <v>44305</v>
      </c>
      <c r="Z412" s="484">
        <v>44305</v>
      </c>
      <c r="AA412" s="484">
        <v>44548</v>
      </c>
      <c r="AB412" s="485" t="s">
        <v>2575</v>
      </c>
      <c r="AC412" s="483" t="s">
        <v>3833</v>
      </c>
      <c r="AD412" s="485" t="s">
        <v>3834</v>
      </c>
      <c r="AE412" s="486" t="s">
        <v>3835</v>
      </c>
      <c r="AF412" s="473">
        <v>32800000</v>
      </c>
      <c r="AG412" s="474">
        <f t="shared" si="6"/>
        <v>4100000</v>
      </c>
      <c r="AL412" s="475">
        <v>1503333</v>
      </c>
      <c r="AM412" s="306">
        <v>4100000</v>
      </c>
    </row>
    <row r="413" spans="1:39" hidden="1" x14ac:dyDescent="0.25">
      <c r="A413" s="476" t="s">
        <v>1819</v>
      </c>
      <c r="B413" s="477">
        <v>57888060</v>
      </c>
      <c r="C413" s="212" t="s">
        <v>2571</v>
      </c>
      <c r="D413" s="478">
        <v>408</v>
      </c>
      <c r="E413" s="478">
        <v>20212000014773</v>
      </c>
      <c r="F413" s="479">
        <v>44271</v>
      </c>
      <c r="G413" s="478" t="s">
        <v>2565</v>
      </c>
      <c r="H413" s="212" t="s">
        <v>2566</v>
      </c>
      <c r="I413" s="212" t="s">
        <v>391</v>
      </c>
      <c r="J413" s="475">
        <v>54846000</v>
      </c>
      <c r="K413" s="210" t="s">
        <v>2636</v>
      </c>
      <c r="L413" s="212" t="s">
        <v>2637</v>
      </c>
      <c r="M413" s="212" t="s">
        <v>44</v>
      </c>
      <c r="N413" s="212" t="s">
        <v>45</v>
      </c>
      <c r="O413" s="212" t="s">
        <v>63</v>
      </c>
      <c r="P413" s="212" t="s">
        <v>676</v>
      </c>
      <c r="R413" s="486">
        <v>443</v>
      </c>
      <c r="S413" s="490">
        <v>44272</v>
      </c>
      <c r="T413" s="486" t="s">
        <v>3836</v>
      </c>
      <c r="U413" s="475">
        <v>54846000</v>
      </c>
      <c r="V413" s="406"/>
      <c r="W413" s="362"/>
      <c r="AG413" s="474">
        <f t="shared" si="6"/>
        <v>54846000</v>
      </c>
      <c r="AM413" s="212"/>
    </row>
    <row r="414" spans="1:39" hidden="1" x14ac:dyDescent="0.25">
      <c r="A414" s="476" t="s">
        <v>2447</v>
      </c>
      <c r="B414" s="477">
        <v>63000000</v>
      </c>
      <c r="C414" s="212" t="s">
        <v>2571</v>
      </c>
      <c r="D414" s="478">
        <v>409</v>
      </c>
      <c r="E414" s="478">
        <v>20213000014933</v>
      </c>
      <c r="F414" s="479">
        <v>44271</v>
      </c>
      <c r="G414" s="478" t="s">
        <v>2565</v>
      </c>
      <c r="H414" s="212" t="s">
        <v>2566</v>
      </c>
      <c r="I414" s="212" t="s">
        <v>432</v>
      </c>
      <c r="J414" s="475">
        <v>42000000</v>
      </c>
      <c r="K414" s="212" t="s">
        <v>342</v>
      </c>
      <c r="L414" s="212" t="s">
        <v>351</v>
      </c>
      <c r="M414" s="212" t="s">
        <v>44</v>
      </c>
      <c r="N414" s="212" t="s">
        <v>45</v>
      </c>
      <c r="O414" s="212" t="s">
        <v>63</v>
      </c>
      <c r="P414" s="212" t="s">
        <v>676</v>
      </c>
      <c r="R414" s="486">
        <v>444</v>
      </c>
      <c r="S414" s="490">
        <v>44272</v>
      </c>
      <c r="T414" s="486" t="s">
        <v>3837</v>
      </c>
      <c r="U414" s="475">
        <v>42000000</v>
      </c>
      <c r="V414" s="406"/>
      <c r="W414" s="362"/>
      <c r="X414" s="483" t="s">
        <v>3838</v>
      </c>
      <c r="Y414" s="484">
        <v>44305</v>
      </c>
      <c r="Z414" s="484">
        <v>44305</v>
      </c>
      <c r="AA414" s="484">
        <v>44487</v>
      </c>
      <c r="AB414" s="485" t="s">
        <v>2575</v>
      </c>
      <c r="AC414" s="483" t="s">
        <v>3839</v>
      </c>
      <c r="AD414" s="485" t="s">
        <v>3840</v>
      </c>
      <c r="AE414" s="486" t="s">
        <v>3841</v>
      </c>
      <c r="AF414" s="473">
        <v>42000000</v>
      </c>
      <c r="AG414" s="474">
        <f t="shared" si="6"/>
        <v>0</v>
      </c>
      <c r="AL414" s="475">
        <v>2333333</v>
      </c>
      <c r="AM414" s="306">
        <v>7000000</v>
      </c>
    </row>
    <row r="415" spans="1:39" hidden="1" x14ac:dyDescent="0.25">
      <c r="A415" s="476" t="s">
        <v>2143</v>
      </c>
      <c r="B415" s="477">
        <v>24530202</v>
      </c>
      <c r="C415" s="212" t="s">
        <v>2571</v>
      </c>
      <c r="D415" s="478">
        <v>410</v>
      </c>
      <c r="E415" s="478">
        <v>20211300013903</v>
      </c>
      <c r="F415" s="310">
        <v>44265</v>
      </c>
      <c r="G415" s="478" t="s">
        <v>2572</v>
      </c>
      <c r="H415" s="212" t="s">
        <v>2573</v>
      </c>
      <c r="I415" s="212" t="s">
        <v>210</v>
      </c>
      <c r="J415" s="475">
        <v>16353468</v>
      </c>
      <c r="K415" s="212" t="s">
        <v>138</v>
      </c>
      <c r="L415" s="212" t="s">
        <v>139</v>
      </c>
      <c r="M415" s="212" t="s">
        <v>44</v>
      </c>
      <c r="N415" s="212" t="s">
        <v>45</v>
      </c>
      <c r="O415" s="212" t="s">
        <v>142</v>
      </c>
      <c r="P415" s="212" t="s">
        <v>43</v>
      </c>
      <c r="R415" s="212">
        <v>401</v>
      </c>
      <c r="S415" s="490">
        <v>44266</v>
      </c>
      <c r="T415" s="486" t="s">
        <v>3842</v>
      </c>
      <c r="U415" s="475">
        <v>16353468</v>
      </c>
      <c r="V415" s="406"/>
      <c r="W415" s="362"/>
      <c r="X415" s="483" t="s">
        <v>3843</v>
      </c>
      <c r="Y415" s="484">
        <v>44280</v>
      </c>
      <c r="Z415" s="484">
        <v>44280</v>
      </c>
      <c r="AA415" s="484">
        <v>44402</v>
      </c>
      <c r="AB415" s="485" t="s">
        <v>2575</v>
      </c>
      <c r="AC415" s="483" t="s">
        <v>3844</v>
      </c>
      <c r="AD415" s="485" t="s">
        <v>3845</v>
      </c>
      <c r="AE415" s="486" t="s">
        <v>3846</v>
      </c>
      <c r="AF415" s="473">
        <v>16353468</v>
      </c>
      <c r="AG415" s="474">
        <f t="shared" si="6"/>
        <v>0</v>
      </c>
      <c r="AL415" s="475">
        <v>4769761</v>
      </c>
      <c r="AM415" s="306">
        <v>4088367</v>
      </c>
    </row>
    <row r="416" spans="1:39" hidden="1" x14ac:dyDescent="0.25">
      <c r="A416" s="476" t="s">
        <v>2258</v>
      </c>
      <c r="B416" s="477">
        <v>31706748</v>
      </c>
      <c r="C416" s="212" t="s">
        <v>2571</v>
      </c>
      <c r="D416" s="478">
        <v>411</v>
      </c>
      <c r="E416" s="478">
        <v>20216000013763</v>
      </c>
      <c r="F416" s="310">
        <v>44265</v>
      </c>
      <c r="G416" s="478" t="s">
        <v>2572</v>
      </c>
      <c r="H416" s="212" t="s">
        <v>2573</v>
      </c>
      <c r="I416" s="212" t="s">
        <v>214</v>
      </c>
      <c r="J416" s="475">
        <v>31706748</v>
      </c>
      <c r="K416" s="212" t="s">
        <v>138</v>
      </c>
      <c r="L416" s="212" t="s">
        <v>139</v>
      </c>
      <c r="M416" s="212" t="s">
        <v>44</v>
      </c>
      <c r="N416" s="212" t="s">
        <v>45</v>
      </c>
      <c r="O416" s="212" t="s">
        <v>142</v>
      </c>
      <c r="P416" s="212" t="s">
        <v>43</v>
      </c>
      <c r="R416" s="212">
        <v>392</v>
      </c>
      <c r="S416" s="490">
        <v>44266</v>
      </c>
      <c r="T416" s="486" t="s">
        <v>3847</v>
      </c>
      <c r="U416" s="475">
        <v>31706748</v>
      </c>
      <c r="V416" s="406"/>
      <c r="W416" s="362"/>
      <c r="X416" s="483" t="s">
        <v>3592</v>
      </c>
      <c r="Y416" s="484">
        <v>44280</v>
      </c>
      <c r="Z416" s="484">
        <v>44280</v>
      </c>
      <c r="AA416" s="484">
        <v>44555</v>
      </c>
      <c r="AB416" s="485" t="s">
        <v>2575</v>
      </c>
      <c r="AC416" s="483" t="s">
        <v>3848</v>
      </c>
      <c r="AD416" s="485" t="s">
        <v>3849</v>
      </c>
      <c r="AE416" s="486" t="s">
        <v>3850</v>
      </c>
      <c r="AF416" s="473">
        <v>31706748</v>
      </c>
      <c r="AG416" s="474">
        <f t="shared" si="6"/>
        <v>0</v>
      </c>
      <c r="AL416" s="475">
        <v>3640404</v>
      </c>
      <c r="AM416" s="306">
        <v>3522972</v>
      </c>
    </row>
    <row r="417" spans="1:39" hidden="1" x14ac:dyDescent="0.25">
      <c r="A417" s="476" t="s">
        <v>2390</v>
      </c>
      <c r="B417" s="477">
        <v>42000000</v>
      </c>
      <c r="C417" s="212" t="s">
        <v>2571</v>
      </c>
      <c r="D417" s="478">
        <v>412</v>
      </c>
      <c r="E417" s="478">
        <v>20213000014943</v>
      </c>
      <c r="F417" s="479">
        <v>44272</v>
      </c>
      <c r="G417" s="478" t="s">
        <v>2565</v>
      </c>
      <c r="H417" s="212" t="s">
        <v>2566</v>
      </c>
      <c r="I417" s="212" t="s">
        <v>432</v>
      </c>
      <c r="J417" s="475">
        <v>37500000</v>
      </c>
      <c r="K417" s="212" t="s">
        <v>342</v>
      </c>
      <c r="L417" s="212" t="s">
        <v>351</v>
      </c>
      <c r="M417" s="212" t="s">
        <v>44</v>
      </c>
      <c r="N417" s="212" t="s">
        <v>45</v>
      </c>
      <c r="O417" s="212" t="s">
        <v>63</v>
      </c>
      <c r="P417" s="212" t="s">
        <v>676</v>
      </c>
      <c r="R417" s="486">
        <v>452</v>
      </c>
      <c r="S417" s="490">
        <v>44272</v>
      </c>
      <c r="T417" s="486" t="s">
        <v>3851</v>
      </c>
      <c r="U417" s="475">
        <v>37500000</v>
      </c>
      <c r="V417" s="406"/>
      <c r="W417" s="362"/>
      <c r="X417" s="211" t="s">
        <v>3852</v>
      </c>
      <c r="Y417" s="472">
        <v>44300</v>
      </c>
      <c r="Z417" s="472">
        <v>44300</v>
      </c>
      <c r="AA417" s="472">
        <v>44453</v>
      </c>
      <c r="AB417" s="2" t="s">
        <v>2575</v>
      </c>
      <c r="AC417" s="211" t="s">
        <v>3802</v>
      </c>
      <c r="AD417" s="2" t="s">
        <v>3853</v>
      </c>
      <c r="AE417" s="212" t="s">
        <v>3854</v>
      </c>
      <c r="AF417" s="473">
        <v>37500000</v>
      </c>
      <c r="AG417" s="474">
        <f t="shared" ref="AG417:AG480" si="7">+U417-AF417</f>
        <v>0</v>
      </c>
      <c r="AL417" s="475">
        <v>4250000</v>
      </c>
      <c r="AM417" s="306">
        <v>7500000</v>
      </c>
    </row>
    <row r="418" spans="1:39" hidden="1" x14ac:dyDescent="0.25">
      <c r="A418" s="476" t="s">
        <v>1930</v>
      </c>
      <c r="B418" s="477">
        <v>29981358</v>
      </c>
      <c r="C418" s="212" t="s">
        <v>2571</v>
      </c>
      <c r="D418" s="478">
        <v>413</v>
      </c>
      <c r="E418" s="309">
        <v>20217000011163</v>
      </c>
      <c r="F418" s="479">
        <v>44256</v>
      </c>
      <c r="G418" s="478" t="s">
        <v>2572</v>
      </c>
      <c r="H418" s="212" t="s">
        <v>2573</v>
      </c>
      <c r="I418" s="212" t="s">
        <v>164</v>
      </c>
      <c r="J418" s="475">
        <v>17000000</v>
      </c>
      <c r="K418" s="212" t="s">
        <v>138</v>
      </c>
      <c r="L418" s="212" t="s">
        <v>139</v>
      </c>
      <c r="M418" s="212" t="s">
        <v>44</v>
      </c>
      <c r="N418" s="212" t="s">
        <v>45</v>
      </c>
      <c r="O418" s="212" t="s">
        <v>142</v>
      </c>
      <c r="P418" s="212" t="s">
        <v>43</v>
      </c>
      <c r="R418" s="212">
        <v>317</v>
      </c>
      <c r="S418" s="490">
        <v>44256</v>
      </c>
      <c r="T418" s="486" t="s">
        <v>3855</v>
      </c>
      <c r="U418" s="475">
        <v>17000000</v>
      </c>
      <c r="V418" s="406"/>
      <c r="W418" s="362"/>
      <c r="X418" s="483" t="s">
        <v>3856</v>
      </c>
      <c r="Y418" s="484">
        <v>44281</v>
      </c>
      <c r="Z418" s="484">
        <v>44281</v>
      </c>
      <c r="AA418" s="484">
        <v>44465</v>
      </c>
      <c r="AB418" s="485" t="s">
        <v>2575</v>
      </c>
      <c r="AC418" s="483" t="s">
        <v>3857</v>
      </c>
      <c r="AD418" s="485" t="s">
        <v>3858</v>
      </c>
      <c r="AE418" s="486" t="s">
        <v>2624</v>
      </c>
      <c r="AF418" s="473">
        <v>16353468</v>
      </c>
      <c r="AG418" s="474">
        <f t="shared" si="7"/>
        <v>646532</v>
      </c>
      <c r="AL418" s="475">
        <v>2907283</v>
      </c>
      <c r="AM418" s="306">
        <v>2725578</v>
      </c>
    </row>
    <row r="419" spans="1:39" hidden="1" x14ac:dyDescent="0.25">
      <c r="A419" s="476" t="s">
        <v>2442</v>
      </c>
      <c r="B419" s="477">
        <v>72000000</v>
      </c>
      <c r="C419" s="212" t="s">
        <v>2571</v>
      </c>
      <c r="D419" s="478">
        <v>414</v>
      </c>
      <c r="E419" s="478">
        <v>20213000014593</v>
      </c>
      <c r="F419" s="479">
        <v>44272</v>
      </c>
      <c r="G419" s="478" t="s">
        <v>2565</v>
      </c>
      <c r="H419" s="212" t="s">
        <v>2566</v>
      </c>
      <c r="I419" s="212" t="s">
        <v>432</v>
      </c>
      <c r="J419" s="475">
        <v>72000000</v>
      </c>
      <c r="K419" s="212" t="s">
        <v>342</v>
      </c>
      <c r="L419" s="212" t="s">
        <v>351</v>
      </c>
      <c r="M419" s="212" t="s">
        <v>44</v>
      </c>
      <c r="N419" s="212" t="s">
        <v>45</v>
      </c>
      <c r="O419" s="212" t="s">
        <v>63</v>
      </c>
      <c r="P419" s="212" t="s">
        <v>676</v>
      </c>
      <c r="R419" s="486">
        <v>448</v>
      </c>
      <c r="S419" s="490">
        <v>44272</v>
      </c>
      <c r="T419" s="486" t="s">
        <v>3859</v>
      </c>
      <c r="U419" s="475">
        <v>72000000</v>
      </c>
      <c r="V419" s="406"/>
      <c r="W419" s="362"/>
      <c r="X419" s="483" t="s">
        <v>3860</v>
      </c>
      <c r="Y419" s="484">
        <v>44299</v>
      </c>
      <c r="Z419" s="484">
        <v>44299</v>
      </c>
      <c r="AA419" s="484">
        <v>44543</v>
      </c>
      <c r="AB419" s="485" t="s">
        <v>2575</v>
      </c>
      <c r="AC419" s="483" t="s">
        <v>3861</v>
      </c>
      <c r="AD419" s="485" t="s">
        <v>3862</v>
      </c>
      <c r="AE419" s="486" t="s">
        <v>2756</v>
      </c>
      <c r="AF419" s="473">
        <v>72000000</v>
      </c>
      <c r="AG419" s="474">
        <f t="shared" si="7"/>
        <v>0</v>
      </c>
      <c r="AL419" s="475">
        <v>5400000</v>
      </c>
      <c r="AM419" s="306">
        <v>9000000</v>
      </c>
    </row>
    <row r="420" spans="1:39" hidden="1" x14ac:dyDescent="0.25">
      <c r="A420" s="476" t="s">
        <v>2382</v>
      </c>
      <c r="B420" s="477">
        <v>56000000</v>
      </c>
      <c r="C420" s="212" t="s">
        <v>2571</v>
      </c>
      <c r="D420" s="478">
        <v>415</v>
      </c>
      <c r="E420" s="478">
        <v>20213000014603</v>
      </c>
      <c r="F420" s="479">
        <v>44272</v>
      </c>
      <c r="G420" s="478" t="s">
        <v>2565</v>
      </c>
      <c r="H420" s="212" t="s">
        <v>2566</v>
      </c>
      <c r="I420" s="212" t="s">
        <v>432</v>
      </c>
      <c r="J420" s="475">
        <v>56000000</v>
      </c>
      <c r="K420" s="212" t="s">
        <v>342</v>
      </c>
      <c r="L420" s="212" t="s">
        <v>351</v>
      </c>
      <c r="M420" s="212" t="s">
        <v>44</v>
      </c>
      <c r="N420" s="212" t="s">
        <v>45</v>
      </c>
      <c r="O420" s="212" t="s">
        <v>63</v>
      </c>
      <c r="P420" s="212" t="s">
        <v>676</v>
      </c>
      <c r="R420" s="486">
        <v>449</v>
      </c>
      <c r="S420" s="490">
        <v>44272</v>
      </c>
      <c r="T420" s="486" t="s">
        <v>3863</v>
      </c>
      <c r="U420" s="475">
        <v>56000000</v>
      </c>
      <c r="V420" s="406"/>
      <c r="W420" s="362"/>
      <c r="X420" s="483" t="s">
        <v>3375</v>
      </c>
      <c r="Y420" s="484">
        <v>44285</v>
      </c>
      <c r="Z420" s="484">
        <v>44285</v>
      </c>
      <c r="AA420" s="484">
        <v>44530</v>
      </c>
      <c r="AB420" s="485" t="s">
        <v>2575</v>
      </c>
      <c r="AC420" s="483" t="s">
        <v>3864</v>
      </c>
      <c r="AD420" s="485" t="s">
        <v>3865</v>
      </c>
      <c r="AE420" s="486" t="s">
        <v>3866</v>
      </c>
      <c r="AF420" s="473">
        <v>56000000</v>
      </c>
      <c r="AG420" s="474">
        <f t="shared" si="7"/>
        <v>0</v>
      </c>
      <c r="AL420" s="475">
        <v>7233333</v>
      </c>
      <c r="AM420" s="306">
        <v>7000000</v>
      </c>
    </row>
    <row r="421" spans="1:39" hidden="1" x14ac:dyDescent="0.25">
      <c r="A421" s="476" t="s">
        <v>2385</v>
      </c>
      <c r="B421" s="477">
        <v>25200000</v>
      </c>
      <c r="C421" s="212" t="s">
        <v>2571</v>
      </c>
      <c r="D421" s="478">
        <v>416</v>
      </c>
      <c r="E421" s="478">
        <v>20213000014613</v>
      </c>
      <c r="F421" s="479">
        <v>44272</v>
      </c>
      <c r="G421" s="478" t="s">
        <v>2565</v>
      </c>
      <c r="H421" s="212" t="s">
        <v>2566</v>
      </c>
      <c r="I421" s="212" t="s">
        <v>432</v>
      </c>
      <c r="J421" s="475">
        <v>24530206</v>
      </c>
      <c r="K421" s="212" t="s">
        <v>342</v>
      </c>
      <c r="L421" s="212" t="s">
        <v>351</v>
      </c>
      <c r="M421" s="212" t="s">
        <v>44</v>
      </c>
      <c r="N421" s="212" t="s">
        <v>45</v>
      </c>
      <c r="O421" s="212" t="s">
        <v>63</v>
      </c>
      <c r="P421" s="212" t="s">
        <v>676</v>
      </c>
      <c r="R421" s="486">
        <v>450</v>
      </c>
      <c r="S421" s="490">
        <v>44272</v>
      </c>
      <c r="T421" s="486" t="s">
        <v>3867</v>
      </c>
      <c r="U421" s="475">
        <f>24530206-4</f>
        <v>24530202</v>
      </c>
      <c r="V421" s="406">
        <v>4</v>
      </c>
      <c r="W421" s="362"/>
      <c r="X421" s="211" t="s">
        <v>3868</v>
      </c>
      <c r="Y421" s="472">
        <v>44300</v>
      </c>
      <c r="Z421" s="472">
        <v>44300</v>
      </c>
      <c r="AA421" s="472">
        <v>44483</v>
      </c>
      <c r="AB421" s="2" t="s">
        <v>2575</v>
      </c>
      <c r="AC421" s="211" t="s">
        <v>3869</v>
      </c>
      <c r="AD421" s="2" t="s">
        <v>3870</v>
      </c>
      <c r="AE421" s="212" t="s">
        <v>3871</v>
      </c>
      <c r="AF421" s="473">
        <v>24530202</v>
      </c>
      <c r="AG421" s="474">
        <f t="shared" si="7"/>
        <v>0</v>
      </c>
      <c r="AL421" s="475">
        <v>2180462</v>
      </c>
      <c r="AM421" s="306">
        <v>4088367</v>
      </c>
    </row>
    <row r="422" spans="1:39" hidden="1" x14ac:dyDescent="0.25">
      <c r="A422" s="476" t="s">
        <v>2340</v>
      </c>
      <c r="B422" s="477">
        <v>34978251</v>
      </c>
      <c r="C422" s="212" t="s">
        <v>2571</v>
      </c>
      <c r="D422" s="478">
        <v>417</v>
      </c>
      <c r="E422" s="478">
        <v>20217000015403</v>
      </c>
      <c r="F422" s="479">
        <v>44272</v>
      </c>
      <c r="G422" s="478" t="s">
        <v>2572</v>
      </c>
      <c r="H422" s="212" t="s">
        <v>2573</v>
      </c>
      <c r="I422" s="212" t="s">
        <v>164</v>
      </c>
      <c r="J422" s="475">
        <v>12719364</v>
      </c>
      <c r="K422" s="212" t="s">
        <v>138</v>
      </c>
      <c r="L422" s="212" t="s">
        <v>139</v>
      </c>
      <c r="M422" s="212" t="s">
        <v>44</v>
      </c>
      <c r="N422" s="212" t="s">
        <v>45</v>
      </c>
      <c r="O422" s="212" t="s">
        <v>142</v>
      </c>
      <c r="P422" s="212" t="s">
        <v>43</v>
      </c>
      <c r="R422" s="486">
        <v>453</v>
      </c>
      <c r="S422" s="490">
        <v>44272</v>
      </c>
      <c r="T422" s="486" t="s">
        <v>3872</v>
      </c>
      <c r="U422" s="475">
        <v>12719364</v>
      </c>
      <c r="V422" s="406"/>
      <c r="W422" s="362"/>
      <c r="X422" s="483" t="s">
        <v>3873</v>
      </c>
      <c r="Y422" s="484">
        <v>44307</v>
      </c>
      <c r="Z422" s="484">
        <v>44307</v>
      </c>
      <c r="AA422" s="484">
        <v>44428</v>
      </c>
      <c r="AB422" s="485" t="s">
        <v>2575</v>
      </c>
      <c r="AC422" s="483" t="s">
        <v>3874</v>
      </c>
      <c r="AD422" s="485" t="s">
        <v>3875</v>
      </c>
      <c r="AE422" s="486" t="s">
        <v>2748</v>
      </c>
      <c r="AF422" s="473">
        <v>12719364</v>
      </c>
      <c r="AG422" s="474">
        <f t="shared" si="7"/>
        <v>0</v>
      </c>
      <c r="AL422" s="475">
        <v>1059947</v>
      </c>
      <c r="AM422" s="306">
        <v>3179841</v>
      </c>
    </row>
    <row r="423" spans="1:39" hidden="1" x14ac:dyDescent="0.25">
      <c r="A423" s="476" t="s">
        <v>1940</v>
      </c>
      <c r="B423" s="477">
        <v>53148771</v>
      </c>
      <c r="C423" s="212" t="s">
        <v>2571</v>
      </c>
      <c r="D423" s="478">
        <v>418</v>
      </c>
      <c r="E423" s="478">
        <v>20217000015423</v>
      </c>
      <c r="F423" s="479">
        <v>44272</v>
      </c>
      <c r="G423" s="478" t="s">
        <v>2572</v>
      </c>
      <c r="H423" s="212" t="s">
        <v>2573</v>
      </c>
      <c r="I423" s="212" t="s">
        <v>164</v>
      </c>
      <c r="J423" s="475">
        <v>41337933</v>
      </c>
      <c r="K423" s="212" t="s">
        <v>138</v>
      </c>
      <c r="L423" s="212" t="s">
        <v>139</v>
      </c>
      <c r="M423" s="212" t="s">
        <v>44</v>
      </c>
      <c r="N423" s="212" t="s">
        <v>45</v>
      </c>
      <c r="O423" s="212" t="s">
        <v>142</v>
      </c>
      <c r="P423" s="212" t="s">
        <v>43</v>
      </c>
      <c r="R423" s="486">
        <v>454</v>
      </c>
      <c r="S423" s="490">
        <v>44272</v>
      </c>
      <c r="T423" s="486" t="s">
        <v>3876</v>
      </c>
      <c r="U423" s="475">
        <v>41337933</v>
      </c>
      <c r="V423" s="406"/>
      <c r="W423" s="362"/>
      <c r="X423" s="483" t="s">
        <v>3877</v>
      </c>
      <c r="Y423" s="484">
        <v>44306</v>
      </c>
      <c r="Z423" s="484">
        <v>44306</v>
      </c>
      <c r="AA423" s="484">
        <v>44519</v>
      </c>
      <c r="AB423" s="485" t="s">
        <v>2575</v>
      </c>
      <c r="AC423" s="483" t="s">
        <v>3654</v>
      </c>
      <c r="AD423" s="485" t="s">
        <v>3878</v>
      </c>
      <c r="AE423" s="486" t="s">
        <v>3879</v>
      </c>
      <c r="AF423" s="473">
        <v>41337933</v>
      </c>
      <c r="AG423" s="474">
        <f t="shared" si="7"/>
        <v>0</v>
      </c>
      <c r="AL423" s="475">
        <v>1968473</v>
      </c>
      <c r="AM423" s="306">
        <v>5905419</v>
      </c>
    </row>
    <row r="424" spans="1:39" hidden="1" x14ac:dyDescent="0.25">
      <c r="A424" s="476" t="s">
        <v>1933</v>
      </c>
      <c r="B424" s="477">
        <v>34978251</v>
      </c>
      <c r="C424" s="212" t="s">
        <v>2571</v>
      </c>
      <c r="D424" s="478">
        <v>419</v>
      </c>
      <c r="E424" s="478">
        <v>20217000015353</v>
      </c>
      <c r="F424" s="479">
        <v>44273</v>
      </c>
      <c r="G424" s="478" t="s">
        <v>2572</v>
      </c>
      <c r="H424" s="212" t="s">
        <v>2573</v>
      </c>
      <c r="I424" s="212" t="s">
        <v>164</v>
      </c>
      <c r="J424" s="475">
        <v>12719364</v>
      </c>
      <c r="K424" s="212" t="s">
        <v>138</v>
      </c>
      <c r="L424" s="212" t="s">
        <v>139</v>
      </c>
      <c r="M424" s="212" t="s">
        <v>44</v>
      </c>
      <c r="N424" s="212" t="s">
        <v>45</v>
      </c>
      <c r="O424" s="212" t="s">
        <v>142</v>
      </c>
      <c r="P424" s="212" t="s">
        <v>43</v>
      </c>
      <c r="R424" s="486">
        <v>455</v>
      </c>
      <c r="S424" s="490">
        <v>44274</v>
      </c>
      <c r="T424" s="486" t="s">
        <v>3880</v>
      </c>
      <c r="U424" s="475">
        <v>12719364</v>
      </c>
      <c r="V424" s="406"/>
      <c r="W424" s="362"/>
      <c r="X424" s="483" t="s">
        <v>3881</v>
      </c>
      <c r="Y424" s="484">
        <v>44286</v>
      </c>
      <c r="Z424" s="484">
        <v>44286</v>
      </c>
      <c r="AA424" s="484">
        <v>44408</v>
      </c>
      <c r="AB424" s="485" t="s">
        <v>2575</v>
      </c>
      <c r="AC424" s="483" t="s">
        <v>3882</v>
      </c>
      <c r="AD424" s="485" t="s">
        <v>3883</v>
      </c>
      <c r="AE424" s="486" t="s">
        <v>2720</v>
      </c>
      <c r="AF424" s="473">
        <v>12719364</v>
      </c>
      <c r="AG424" s="474">
        <f t="shared" si="7"/>
        <v>0</v>
      </c>
      <c r="AL424" s="475">
        <v>2755862</v>
      </c>
      <c r="AM424" s="306">
        <v>3179841</v>
      </c>
    </row>
    <row r="425" spans="1:39" hidden="1" x14ac:dyDescent="0.25">
      <c r="B425" s="501" t="s">
        <v>2608</v>
      </c>
      <c r="C425" s="212" t="s">
        <v>3884</v>
      </c>
      <c r="D425" s="478">
        <v>420</v>
      </c>
      <c r="E425" s="478">
        <v>20217000015503</v>
      </c>
      <c r="F425" s="479">
        <v>44273</v>
      </c>
      <c r="G425" s="478" t="s">
        <v>2572</v>
      </c>
      <c r="H425" s="212" t="s">
        <v>2573</v>
      </c>
      <c r="I425" s="212" t="s">
        <v>164</v>
      </c>
      <c r="J425" s="475">
        <v>5299818</v>
      </c>
      <c r="K425" s="212" t="s">
        <v>138</v>
      </c>
      <c r="L425" s="212" t="s">
        <v>139</v>
      </c>
      <c r="M425" s="212" t="s">
        <v>44</v>
      </c>
      <c r="N425" s="212" t="s">
        <v>45</v>
      </c>
      <c r="O425" s="212" t="s">
        <v>142</v>
      </c>
      <c r="P425" s="212" t="s">
        <v>43</v>
      </c>
      <c r="R425" s="486">
        <v>456</v>
      </c>
      <c r="S425" s="490">
        <v>44274</v>
      </c>
      <c r="T425" s="486" t="s">
        <v>3885</v>
      </c>
      <c r="U425" s="475">
        <v>5299818</v>
      </c>
      <c r="V425" s="406"/>
      <c r="W425" s="362"/>
      <c r="X425" s="483" t="s">
        <v>3886</v>
      </c>
      <c r="Y425" s="484">
        <v>44285</v>
      </c>
      <c r="Z425" s="484">
        <v>44285</v>
      </c>
      <c r="AA425" s="484">
        <v>44329</v>
      </c>
      <c r="AB425" s="485" t="s">
        <v>2575</v>
      </c>
      <c r="AC425" s="483" t="s">
        <v>3887</v>
      </c>
      <c r="AD425" s="485" t="s">
        <v>3888</v>
      </c>
      <c r="AE425" s="486" t="s">
        <v>3889</v>
      </c>
      <c r="AF425" s="473">
        <v>5266818</v>
      </c>
      <c r="AG425" s="474">
        <f t="shared" si="7"/>
        <v>33000</v>
      </c>
      <c r="AK425" s="475">
        <v>117040</v>
      </c>
      <c r="AL425" s="475">
        <v>3511212</v>
      </c>
      <c r="AM425" s="306">
        <v>1521525</v>
      </c>
    </row>
    <row r="426" spans="1:39" hidden="1" x14ac:dyDescent="0.25">
      <c r="A426" s="476" t="s">
        <v>2343</v>
      </c>
      <c r="B426" s="477">
        <v>64260000</v>
      </c>
      <c r="C426" s="212" t="s">
        <v>2571</v>
      </c>
      <c r="D426" s="478">
        <v>421</v>
      </c>
      <c r="E426" s="478">
        <v>20212000015563</v>
      </c>
      <c r="F426" s="479">
        <v>44273</v>
      </c>
      <c r="G426" s="478" t="s">
        <v>2565</v>
      </c>
      <c r="H426" s="212" t="s">
        <v>2566</v>
      </c>
      <c r="I426" s="212" t="s">
        <v>391</v>
      </c>
      <c r="J426" s="475">
        <v>60690000</v>
      </c>
      <c r="K426" s="210" t="s">
        <v>2636</v>
      </c>
      <c r="L426" s="212" t="s">
        <v>2637</v>
      </c>
      <c r="M426" s="212" t="s">
        <v>44</v>
      </c>
      <c r="N426" s="212" t="s">
        <v>45</v>
      </c>
      <c r="O426" s="212" t="s">
        <v>63</v>
      </c>
      <c r="P426" s="212" t="s">
        <v>676</v>
      </c>
      <c r="R426" s="486">
        <v>457</v>
      </c>
      <c r="S426" s="490">
        <v>44274</v>
      </c>
      <c r="T426" s="486" t="s">
        <v>3890</v>
      </c>
      <c r="U426" s="475">
        <v>60690000</v>
      </c>
      <c r="V426" s="406"/>
      <c r="W426" s="362"/>
      <c r="X426" s="483" t="s">
        <v>3891</v>
      </c>
      <c r="Y426" s="484">
        <v>44307</v>
      </c>
      <c r="Z426" s="484">
        <v>44307</v>
      </c>
      <c r="AA426" s="484">
        <v>44550</v>
      </c>
      <c r="AB426" s="485" t="s">
        <v>2575</v>
      </c>
      <c r="AC426" s="483" t="s">
        <v>3734</v>
      </c>
      <c r="AD426" s="485" t="s">
        <v>3892</v>
      </c>
      <c r="AE426" s="486" t="s">
        <v>3893</v>
      </c>
      <c r="AF426" s="473">
        <v>57120000</v>
      </c>
      <c r="AG426" s="474">
        <f t="shared" si="7"/>
        <v>3570000</v>
      </c>
      <c r="AL426" s="475">
        <v>2380000</v>
      </c>
      <c r="AM426" s="306">
        <v>7140000</v>
      </c>
    </row>
    <row r="427" spans="1:39" hidden="1" x14ac:dyDescent="0.25">
      <c r="A427" s="476" t="s">
        <v>2345</v>
      </c>
      <c r="B427" s="477">
        <v>64260000</v>
      </c>
      <c r="C427" s="212" t="s">
        <v>2571</v>
      </c>
      <c r="D427" s="478">
        <v>422</v>
      </c>
      <c r="E427" s="478">
        <v>20212000015603</v>
      </c>
      <c r="F427" s="479">
        <v>44273</v>
      </c>
      <c r="G427" s="478" t="s">
        <v>2565</v>
      </c>
      <c r="H427" s="212" t="s">
        <v>2566</v>
      </c>
      <c r="I427" s="212" t="s">
        <v>391</v>
      </c>
      <c r="J427" s="475">
        <v>64260000</v>
      </c>
      <c r="K427" s="212" t="s">
        <v>396</v>
      </c>
      <c r="L427" s="212" t="s">
        <v>397</v>
      </c>
      <c r="M427" s="212" t="s">
        <v>44</v>
      </c>
      <c r="N427" s="212" t="s">
        <v>45</v>
      </c>
      <c r="O427" s="212" t="s">
        <v>63</v>
      </c>
      <c r="P427" s="212" t="s">
        <v>676</v>
      </c>
      <c r="R427" s="486">
        <v>458</v>
      </c>
      <c r="S427" s="490">
        <v>44274</v>
      </c>
      <c r="T427" s="486" t="s">
        <v>3894</v>
      </c>
      <c r="U427" s="475">
        <v>64260000</v>
      </c>
      <c r="V427" s="406"/>
      <c r="W427" s="362"/>
      <c r="X427" s="483" t="s">
        <v>3895</v>
      </c>
      <c r="Y427" s="484">
        <v>44307</v>
      </c>
      <c r="Z427" s="484">
        <v>44307</v>
      </c>
      <c r="AA427" s="484">
        <v>44549</v>
      </c>
      <c r="AB427" s="485" t="s">
        <v>2575</v>
      </c>
      <c r="AC427" s="483" t="s">
        <v>1768</v>
      </c>
      <c r="AD427" s="485" t="s">
        <v>3896</v>
      </c>
      <c r="AE427" s="486" t="s">
        <v>3897</v>
      </c>
      <c r="AF427" s="473">
        <v>57120000</v>
      </c>
      <c r="AG427" s="474">
        <f t="shared" si="7"/>
        <v>7140000</v>
      </c>
      <c r="AL427" s="475">
        <v>2380000</v>
      </c>
      <c r="AM427" s="306">
        <v>7140000</v>
      </c>
    </row>
    <row r="428" spans="1:39" hidden="1" x14ac:dyDescent="0.25">
      <c r="A428" s="476" t="s">
        <v>2346</v>
      </c>
      <c r="B428" s="477">
        <v>64260000</v>
      </c>
      <c r="C428" s="212" t="s">
        <v>2571</v>
      </c>
      <c r="D428" s="478">
        <v>423</v>
      </c>
      <c r="E428" s="478">
        <v>20212000015633</v>
      </c>
      <c r="F428" s="479">
        <v>44273</v>
      </c>
      <c r="G428" s="478" t="s">
        <v>2565</v>
      </c>
      <c r="H428" s="212" t="s">
        <v>2566</v>
      </c>
      <c r="I428" s="212" t="s">
        <v>391</v>
      </c>
      <c r="J428" s="475">
        <v>64260000</v>
      </c>
      <c r="K428" s="210" t="s">
        <v>2636</v>
      </c>
      <c r="L428" s="212" t="s">
        <v>2637</v>
      </c>
      <c r="M428" s="212" t="s">
        <v>44</v>
      </c>
      <c r="N428" s="212" t="s">
        <v>45</v>
      </c>
      <c r="O428" s="212" t="s">
        <v>63</v>
      </c>
      <c r="P428" s="212" t="s">
        <v>676</v>
      </c>
      <c r="R428" s="486">
        <v>459</v>
      </c>
      <c r="S428" s="490">
        <v>44274</v>
      </c>
      <c r="T428" s="486" t="s">
        <v>3898</v>
      </c>
      <c r="U428" s="475">
        <v>64260000</v>
      </c>
      <c r="V428" s="406"/>
      <c r="W428" s="362"/>
      <c r="X428" s="483" t="s">
        <v>3899</v>
      </c>
      <c r="Y428" s="484">
        <v>44319</v>
      </c>
      <c r="Z428" s="484">
        <v>44319</v>
      </c>
      <c r="AA428" s="484">
        <v>44561</v>
      </c>
      <c r="AB428" s="486" t="s">
        <v>2575</v>
      </c>
      <c r="AC428" s="483" t="s">
        <v>3279</v>
      </c>
      <c r="AD428" s="486" t="s">
        <v>3900</v>
      </c>
      <c r="AE428" s="486" t="s">
        <v>3901</v>
      </c>
      <c r="AF428" s="473">
        <v>57120000</v>
      </c>
      <c r="AG428" s="474">
        <f t="shared" si="7"/>
        <v>7140000</v>
      </c>
      <c r="AM428" s="306">
        <v>6188000</v>
      </c>
    </row>
    <row r="429" spans="1:39" hidden="1" x14ac:dyDescent="0.25">
      <c r="A429" s="466" t="s">
        <v>2347</v>
      </c>
      <c r="B429" s="467">
        <v>64260000</v>
      </c>
      <c r="C429" s="212" t="s">
        <v>2571</v>
      </c>
      <c r="D429" s="469">
        <v>424</v>
      </c>
      <c r="E429" s="469">
        <v>20212000015643</v>
      </c>
      <c r="F429" s="470">
        <v>44273</v>
      </c>
      <c r="G429" s="469" t="s">
        <v>2565</v>
      </c>
      <c r="H429" s="468" t="s">
        <v>2566</v>
      </c>
      <c r="I429" s="468" t="s">
        <v>391</v>
      </c>
      <c r="J429" s="471">
        <v>64260000</v>
      </c>
      <c r="K429" s="468" t="s">
        <v>396</v>
      </c>
      <c r="L429" s="468" t="s">
        <v>397</v>
      </c>
      <c r="M429" s="468" t="s">
        <v>44</v>
      </c>
      <c r="N429" s="468" t="s">
        <v>45</v>
      </c>
      <c r="O429" s="468" t="s">
        <v>63</v>
      </c>
      <c r="P429" s="212" t="s">
        <v>676</v>
      </c>
      <c r="Q429" s="468"/>
      <c r="R429" s="529">
        <v>460</v>
      </c>
      <c r="S429" s="528">
        <v>44274</v>
      </c>
      <c r="T429" s="529" t="s">
        <v>3902</v>
      </c>
      <c r="U429" s="471">
        <v>64260000</v>
      </c>
      <c r="V429" s="414"/>
      <c r="W429" s="379"/>
      <c r="X429" s="483" t="s">
        <v>3903</v>
      </c>
      <c r="Y429" s="484">
        <v>44299</v>
      </c>
      <c r="Z429" s="484">
        <v>44299</v>
      </c>
      <c r="AA429" s="484">
        <v>44561</v>
      </c>
      <c r="AB429" s="485" t="s">
        <v>2575</v>
      </c>
      <c r="AC429" s="483" t="s">
        <v>3573</v>
      </c>
      <c r="AD429" s="485" t="s">
        <v>3904</v>
      </c>
      <c r="AE429" s="486" t="s">
        <v>3905</v>
      </c>
      <c r="AF429" s="473">
        <v>60690000</v>
      </c>
      <c r="AG429" s="474">
        <f t="shared" si="7"/>
        <v>3570000</v>
      </c>
      <c r="AI429" s="471"/>
      <c r="AJ429" s="471"/>
      <c r="AK429" s="471"/>
      <c r="AL429" s="471">
        <v>4046000</v>
      </c>
      <c r="AM429" s="306">
        <v>7140000</v>
      </c>
    </row>
    <row r="430" spans="1:39" hidden="1" x14ac:dyDescent="0.25">
      <c r="A430" s="476" t="s">
        <v>2323</v>
      </c>
      <c r="B430" s="477">
        <v>64260000</v>
      </c>
      <c r="C430" s="212" t="s">
        <v>2571</v>
      </c>
      <c r="D430" s="478">
        <v>425</v>
      </c>
      <c r="E430" s="478">
        <v>20212000015653</v>
      </c>
      <c r="F430" s="479">
        <v>44273</v>
      </c>
      <c r="G430" s="478" t="s">
        <v>2565</v>
      </c>
      <c r="H430" s="212" t="s">
        <v>2566</v>
      </c>
      <c r="I430" s="212" t="s">
        <v>391</v>
      </c>
      <c r="J430" s="475">
        <v>49470000</v>
      </c>
      <c r="K430" s="212" t="s">
        <v>396</v>
      </c>
      <c r="L430" s="212" t="s">
        <v>397</v>
      </c>
      <c r="M430" s="212" t="s">
        <v>44</v>
      </c>
      <c r="N430" s="212" t="s">
        <v>45</v>
      </c>
      <c r="O430" s="212" t="s">
        <v>63</v>
      </c>
      <c r="P430" s="212" t="s">
        <v>676</v>
      </c>
      <c r="R430" s="486">
        <v>461</v>
      </c>
      <c r="S430" s="490">
        <v>44274</v>
      </c>
      <c r="T430" s="486" t="s">
        <v>3906</v>
      </c>
      <c r="U430" s="475">
        <v>49470000</v>
      </c>
      <c r="V430" s="406"/>
      <c r="W430" s="362"/>
      <c r="X430" s="483" t="s">
        <v>3907</v>
      </c>
      <c r="Y430" s="484">
        <v>44294</v>
      </c>
      <c r="Z430" s="484">
        <v>44294</v>
      </c>
      <c r="AA430" s="484">
        <v>44550</v>
      </c>
      <c r="AB430" s="485" t="s">
        <v>2575</v>
      </c>
      <c r="AC430" s="483" t="s">
        <v>3577</v>
      </c>
      <c r="AD430" s="485" t="s">
        <v>3908</v>
      </c>
      <c r="AE430" s="486" t="s">
        <v>3909</v>
      </c>
      <c r="AF430" s="473">
        <v>49470000</v>
      </c>
      <c r="AG430" s="474">
        <f t="shared" si="7"/>
        <v>0</v>
      </c>
      <c r="AL430" s="475">
        <v>4462000</v>
      </c>
      <c r="AM430" s="306">
        <v>5820000</v>
      </c>
    </row>
    <row r="431" spans="1:39" hidden="1" x14ac:dyDescent="0.25">
      <c r="B431" s="501" t="s">
        <v>2608</v>
      </c>
      <c r="C431" s="212" t="s">
        <v>3910</v>
      </c>
      <c r="D431" s="478">
        <v>426</v>
      </c>
      <c r="E431" s="478">
        <v>20211300015853</v>
      </c>
      <c r="F431" s="479">
        <v>44274</v>
      </c>
      <c r="G431" s="478" t="s">
        <v>2572</v>
      </c>
      <c r="H431" s="212" t="s">
        <v>2573</v>
      </c>
      <c r="I431" s="212" t="s">
        <v>210</v>
      </c>
      <c r="J431" s="475">
        <v>11411438</v>
      </c>
      <c r="K431" s="212" t="s">
        <v>138</v>
      </c>
      <c r="L431" s="212" t="s">
        <v>139</v>
      </c>
      <c r="M431" s="212" t="s">
        <v>44</v>
      </c>
      <c r="N431" s="212" t="s">
        <v>45</v>
      </c>
      <c r="O431" s="212" t="s">
        <v>142</v>
      </c>
      <c r="P431" s="212" t="s">
        <v>43</v>
      </c>
      <c r="R431" s="486">
        <v>462</v>
      </c>
      <c r="S431" s="490">
        <v>44274</v>
      </c>
      <c r="T431" s="486" t="s">
        <v>3911</v>
      </c>
      <c r="U431" s="475">
        <v>11411438</v>
      </c>
      <c r="V431" s="406"/>
      <c r="W431" s="362"/>
      <c r="X431" s="483" t="s">
        <v>3637</v>
      </c>
      <c r="Y431" s="484">
        <v>44285</v>
      </c>
      <c r="Z431" s="484">
        <v>44287</v>
      </c>
      <c r="AA431" s="484">
        <v>44347</v>
      </c>
      <c r="AB431" s="485" t="s">
        <v>2575</v>
      </c>
      <c r="AC431" s="483" t="s">
        <v>3912</v>
      </c>
      <c r="AD431" s="485" t="s">
        <v>3913</v>
      </c>
      <c r="AE431" s="486" t="s">
        <v>3914</v>
      </c>
      <c r="AF431" s="473">
        <v>11411438</v>
      </c>
      <c r="AG431" s="474">
        <f t="shared" si="7"/>
        <v>0</v>
      </c>
      <c r="AL431" s="475">
        <v>5705719</v>
      </c>
      <c r="AM431" s="306">
        <v>5705719</v>
      </c>
    </row>
    <row r="432" spans="1:39" hidden="1" x14ac:dyDescent="0.25">
      <c r="B432" s="501" t="s">
        <v>2608</v>
      </c>
      <c r="C432" s="212" t="s">
        <v>3915</v>
      </c>
      <c r="D432" s="478">
        <v>427</v>
      </c>
      <c r="E432" s="478">
        <v>20211300015873</v>
      </c>
      <c r="F432" s="479">
        <v>44274</v>
      </c>
      <c r="G432" s="478" t="s">
        <v>2572</v>
      </c>
      <c r="H432" s="212" t="s">
        <v>2573</v>
      </c>
      <c r="I432" s="212" t="s">
        <v>210</v>
      </c>
      <c r="J432" s="475">
        <v>12874444</v>
      </c>
      <c r="K432" s="212" t="s">
        <v>138</v>
      </c>
      <c r="L432" s="212" t="s">
        <v>139</v>
      </c>
      <c r="M432" s="212" t="s">
        <v>44</v>
      </c>
      <c r="N432" s="212" t="s">
        <v>45</v>
      </c>
      <c r="O432" s="212" t="s">
        <v>142</v>
      </c>
      <c r="P432" s="212" t="s">
        <v>43</v>
      </c>
      <c r="R432" s="486">
        <v>464</v>
      </c>
      <c r="S432" s="490">
        <v>44274</v>
      </c>
      <c r="T432" s="486" t="s">
        <v>3916</v>
      </c>
      <c r="U432" s="475">
        <v>12874444</v>
      </c>
      <c r="V432" s="406"/>
      <c r="W432" s="362"/>
      <c r="X432" s="483" t="s">
        <v>2852</v>
      </c>
      <c r="Y432" s="484">
        <v>44285</v>
      </c>
      <c r="Z432" s="484">
        <v>44286</v>
      </c>
      <c r="AA432" s="484">
        <v>44340</v>
      </c>
      <c r="AB432" s="485" t="s">
        <v>2575</v>
      </c>
      <c r="AC432" s="483" t="s">
        <v>3917</v>
      </c>
      <c r="AD432" s="485" t="s">
        <v>3918</v>
      </c>
      <c r="AE432" s="486" t="s">
        <v>3919</v>
      </c>
      <c r="AF432" s="473">
        <v>12874444</v>
      </c>
      <c r="AG432" s="474">
        <f t="shared" si="7"/>
        <v>0</v>
      </c>
      <c r="AL432" s="475">
        <v>7022424</v>
      </c>
      <c r="AM432" s="306">
        <v>5617939</v>
      </c>
    </row>
    <row r="433" spans="1:39" hidden="1" x14ac:dyDescent="0.25">
      <c r="B433" s="501" t="s">
        <v>2608</v>
      </c>
      <c r="C433" s="212" t="s">
        <v>3920</v>
      </c>
      <c r="D433" s="478">
        <v>428</v>
      </c>
      <c r="E433" s="478">
        <v>20211300015863</v>
      </c>
      <c r="F433" s="479">
        <v>44274</v>
      </c>
      <c r="G433" s="478" t="s">
        <v>2572</v>
      </c>
      <c r="H433" s="212" t="s">
        <v>2573</v>
      </c>
      <c r="I433" s="212" t="s">
        <v>210</v>
      </c>
      <c r="J433" s="475">
        <v>11411438</v>
      </c>
      <c r="K433" s="212" t="s">
        <v>138</v>
      </c>
      <c r="L433" s="212" t="s">
        <v>139</v>
      </c>
      <c r="M433" s="212" t="s">
        <v>44</v>
      </c>
      <c r="N433" s="212" t="s">
        <v>45</v>
      </c>
      <c r="O433" s="212" t="s">
        <v>142</v>
      </c>
      <c r="P433" s="212" t="s">
        <v>43</v>
      </c>
      <c r="R433" s="486">
        <v>463</v>
      </c>
      <c r="S433" s="490">
        <v>44274</v>
      </c>
      <c r="T433" s="486" t="s">
        <v>3921</v>
      </c>
      <c r="U433" s="475">
        <v>11411438</v>
      </c>
      <c r="V433" s="406"/>
      <c r="W433" s="362"/>
      <c r="X433" s="483" t="s">
        <v>3839</v>
      </c>
      <c r="Y433" s="484">
        <v>44285</v>
      </c>
      <c r="Z433" s="484">
        <v>44287</v>
      </c>
      <c r="AA433" s="484">
        <v>44347</v>
      </c>
      <c r="AB433" s="485" t="s">
        <v>2575</v>
      </c>
      <c r="AC433" s="483" t="s">
        <v>3922</v>
      </c>
      <c r="AD433" s="485" t="s">
        <v>3923</v>
      </c>
      <c r="AE433" s="486" t="s">
        <v>3924</v>
      </c>
      <c r="AF433" s="473">
        <v>11411438</v>
      </c>
      <c r="AG433" s="474">
        <f t="shared" si="7"/>
        <v>0</v>
      </c>
      <c r="AL433" s="475">
        <v>5705719</v>
      </c>
      <c r="AM433" s="306">
        <v>5705719</v>
      </c>
    </row>
    <row r="434" spans="1:39" hidden="1" x14ac:dyDescent="0.25">
      <c r="A434" s="476" t="s">
        <v>2335</v>
      </c>
      <c r="B434" s="477">
        <v>65413872</v>
      </c>
      <c r="C434" s="212" t="s">
        <v>2571</v>
      </c>
      <c r="D434" s="478">
        <v>429</v>
      </c>
      <c r="E434" s="478">
        <v>20217000015983</v>
      </c>
      <c r="F434" s="479">
        <v>44274</v>
      </c>
      <c r="G434" s="478" t="s">
        <v>2572</v>
      </c>
      <c r="H434" s="212" t="s">
        <v>2573</v>
      </c>
      <c r="I434" s="212" t="s">
        <v>164</v>
      </c>
      <c r="J434" s="475">
        <v>62400000</v>
      </c>
      <c r="K434" s="212" t="s">
        <v>138</v>
      </c>
      <c r="L434" s="212" t="s">
        <v>139</v>
      </c>
      <c r="M434" s="212" t="s">
        <v>44</v>
      </c>
      <c r="N434" s="212" t="s">
        <v>45</v>
      </c>
      <c r="O434" s="212" t="s">
        <v>142</v>
      </c>
      <c r="P434" s="212" t="s">
        <v>43</v>
      </c>
      <c r="R434" s="486">
        <v>469</v>
      </c>
      <c r="S434" s="490">
        <v>44274</v>
      </c>
      <c r="T434" s="486" t="s">
        <v>3925</v>
      </c>
      <c r="U434" s="475">
        <v>62400000</v>
      </c>
      <c r="V434" s="406"/>
      <c r="W434" s="362"/>
      <c r="X434" s="483" t="s">
        <v>3926</v>
      </c>
      <c r="Y434" s="484">
        <v>44299</v>
      </c>
      <c r="Z434" s="484">
        <v>44299</v>
      </c>
      <c r="AA434" s="484">
        <v>44543</v>
      </c>
      <c r="AB434" s="485" t="s">
        <v>2575</v>
      </c>
      <c r="AC434" s="483" t="s">
        <v>3781</v>
      </c>
      <c r="AD434" s="485" t="s">
        <v>3927</v>
      </c>
      <c r="AE434" s="486" t="s">
        <v>2630</v>
      </c>
      <c r="AF434" s="473">
        <v>62400000</v>
      </c>
      <c r="AG434" s="474">
        <f t="shared" si="7"/>
        <v>0</v>
      </c>
      <c r="AL434" s="475">
        <v>4160000</v>
      </c>
      <c r="AM434" s="306">
        <v>7800000</v>
      </c>
    </row>
    <row r="435" spans="1:39" hidden="1" x14ac:dyDescent="0.25">
      <c r="A435" s="476" t="s">
        <v>2336</v>
      </c>
      <c r="B435" s="477">
        <v>65413872</v>
      </c>
      <c r="C435" s="212" t="s">
        <v>2571</v>
      </c>
      <c r="D435" s="478">
        <v>430</v>
      </c>
      <c r="E435" s="478">
        <v>20217000015993</v>
      </c>
      <c r="F435" s="479">
        <v>44274</v>
      </c>
      <c r="G435" s="478" t="s">
        <v>2572</v>
      </c>
      <c r="H435" s="212" t="s">
        <v>2573</v>
      </c>
      <c r="I435" s="212" t="s">
        <v>164</v>
      </c>
      <c r="J435" s="475">
        <v>54600000</v>
      </c>
      <c r="K435" s="212" t="s">
        <v>138</v>
      </c>
      <c r="L435" s="212" t="s">
        <v>139</v>
      </c>
      <c r="M435" s="212" t="s">
        <v>44</v>
      </c>
      <c r="N435" s="212" t="s">
        <v>45</v>
      </c>
      <c r="O435" s="212" t="s">
        <v>142</v>
      </c>
      <c r="P435" s="212" t="s">
        <v>43</v>
      </c>
      <c r="R435" s="486">
        <v>470</v>
      </c>
      <c r="S435" s="490">
        <v>44274</v>
      </c>
      <c r="T435" s="486" t="s">
        <v>3928</v>
      </c>
      <c r="U435" s="475">
        <v>54600000</v>
      </c>
      <c r="V435" s="406"/>
      <c r="W435" s="362"/>
      <c r="X435" s="211" t="s">
        <v>3929</v>
      </c>
      <c r="Y435" s="472">
        <v>44300</v>
      </c>
      <c r="Z435" s="472">
        <v>44300</v>
      </c>
      <c r="AA435" s="472">
        <v>44514</v>
      </c>
      <c r="AB435" s="2" t="s">
        <v>2575</v>
      </c>
      <c r="AC435" s="211" t="s">
        <v>3930</v>
      </c>
      <c r="AD435" s="2" t="s">
        <v>3931</v>
      </c>
      <c r="AE435" s="212" t="s">
        <v>2736</v>
      </c>
      <c r="AF435" s="473">
        <v>54600000</v>
      </c>
      <c r="AG435" s="474">
        <f t="shared" si="7"/>
        <v>0</v>
      </c>
      <c r="AL435" s="475">
        <v>4160000</v>
      </c>
      <c r="AM435" s="306">
        <v>7800000</v>
      </c>
    </row>
    <row r="436" spans="1:39" hidden="1" x14ac:dyDescent="0.25">
      <c r="A436" s="476" t="s">
        <v>2223</v>
      </c>
      <c r="B436" s="477">
        <v>27500000</v>
      </c>
      <c r="C436" s="212" t="s">
        <v>2571</v>
      </c>
      <c r="D436" s="478">
        <v>431</v>
      </c>
      <c r="E436" s="478">
        <v>20211100014113</v>
      </c>
      <c r="F436" s="310">
        <v>44265</v>
      </c>
      <c r="G436" s="309" t="s">
        <v>2572</v>
      </c>
      <c r="H436" s="210" t="s">
        <v>2573</v>
      </c>
      <c r="I436" s="210" t="s">
        <v>206</v>
      </c>
      <c r="J436" s="407">
        <v>27500000</v>
      </c>
      <c r="K436" s="210" t="s">
        <v>138</v>
      </c>
      <c r="L436" s="210" t="s">
        <v>139</v>
      </c>
      <c r="M436" s="210" t="s">
        <v>44</v>
      </c>
      <c r="N436" s="210" t="s">
        <v>45</v>
      </c>
      <c r="O436" s="210" t="s">
        <v>142</v>
      </c>
      <c r="P436" s="210" t="s">
        <v>43</v>
      </c>
      <c r="Q436" s="210"/>
      <c r="R436" s="212">
        <v>405</v>
      </c>
      <c r="S436" s="490">
        <v>44266</v>
      </c>
      <c r="T436" s="486" t="s">
        <v>3932</v>
      </c>
      <c r="U436" s="475">
        <v>27500000</v>
      </c>
      <c r="V436" s="406"/>
      <c r="W436" s="362"/>
      <c r="X436" s="483" t="s">
        <v>3534</v>
      </c>
      <c r="Y436" s="484">
        <v>44281</v>
      </c>
      <c r="Z436" s="484">
        <v>44281</v>
      </c>
      <c r="AA436" s="484">
        <v>44434</v>
      </c>
      <c r="AB436" s="485" t="s">
        <v>2575</v>
      </c>
      <c r="AC436" s="483" t="s">
        <v>3933</v>
      </c>
      <c r="AD436" s="485" t="s">
        <v>3934</v>
      </c>
      <c r="AE436" s="486" t="s">
        <v>3935</v>
      </c>
      <c r="AF436" s="473">
        <v>27500000</v>
      </c>
      <c r="AG436" s="474">
        <f t="shared" si="7"/>
        <v>0</v>
      </c>
      <c r="AL436" s="475">
        <v>5866666</v>
      </c>
      <c r="AM436" s="306">
        <v>5500000</v>
      </c>
    </row>
    <row r="437" spans="1:39" hidden="1" x14ac:dyDescent="0.25">
      <c r="A437" s="476" t="s">
        <v>1702</v>
      </c>
      <c r="B437" s="477">
        <v>59500000</v>
      </c>
      <c r="C437" s="212" t="s">
        <v>2571</v>
      </c>
      <c r="D437" s="478">
        <v>432</v>
      </c>
      <c r="E437" s="478">
        <v>20211400015033</v>
      </c>
      <c r="F437" s="479">
        <v>44274</v>
      </c>
      <c r="G437" s="478" t="s">
        <v>2572</v>
      </c>
      <c r="H437" s="212" t="s">
        <v>2573</v>
      </c>
      <c r="I437" s="212" t="s">
        <v>184</v>
      </c>
      <c r="J437" s="475">
        <v>59500000</v>
      </c>
      <c r="K437" s="212" t="s">
        <v>138</v>
      </c>
      <c r="L437" s="212" t="s">
        <v>2577</v>
      </c>
      <c r="M437" s="212" t="s">
        <v>44</v>
      </c>
      <c r="N437" s="212" t="s">
        <v>45</v>
      </c>
      <c r="O437" s="212" t="s">
        <v>142</v>
      </c>
      <c r="P437" s="212" t="s">
        <v>43</v>
      </c>
      <c r="R437" s="486">
        <v>467</v>
      </c>
      <c r="S437" s="490">
        <v>44274</v>
      </c>
      <c r="T437" s="486" t="s">
        <v>3936</v>
      </c>
      <c r="U437" s="475">
        <v>59500000</v>
      </c>
      <c r="V437" s="406"/>
      <c r="W437" s="362"/>
      <c r="X437" s="483" t="s">
        <v>3937</v>
      </c>
      <c r="Y437" s="484">
        <v>44299</v>
      </c>
      <c r="Z437" s="484">
        <v>44299</v>
      </c>
      <c r="AA437" s="484">
        <v>44513</v>
      </c>
      <c r="AB437" s="485" t="s">
        <v>2575</v>
      </c>
      <c r="AC437" s="483" t="s">
        <v>3856</v>
      </c>
      <c r="AD437" s="485" t="s">
        <v>3938</v>
      </c>
      <c r="AE437" s="486" t="s">
        <v>3939</v>
      </c>
      <c r="AF437" s="473">
        <v>59500000</v>
      </c>
      <c r="AG437" s="474">
        <f t="shared" si="7"/>
        <v>0</v>
      </c>
      <c r="AL437" s="475">
        <v>5100000</v>
      </c>
      <c r="AM437" s="306">
        <v>8500000</v>
      </c>
    </row>
    <row r="438" spans="1:39" hidden="1" x14ac:dyDescent="0.25">
      <c r="A438" s="476" t="s">
        <v>1697</v>
      </c>
      <c r="B438" s="477">
        <v>59500000</v>
      </c>
      <c r="C438" s="212" t="s">
        <v>2571</v>
      </c>
      <c r="D438" s="478">
        <v>433</v>
      </c>
      <c r="E438" s="478">
        <v>20211400015053</v>
      </c>
      <c r="F438" s="479">
        <v>44274</v>
      </c>
      <c r="G438" s="478" t="s">
        <v>2572</v>
      </c>
      <c r="H438" s="212" t="s">
        <v>2573</v>
      </c>
      <c r="I438" s="212" t="s">
        <v>184</v>
      </c>
      <c r="J438" s="475">
        <v>59500000</v>
      </c>
      <c r="K438" s="212" t="s">
        <v>138</v>
      </c>
      <c r="L438" s="212" t="s">
        <v>2577</v>
      </c>
      <c r="M438" s="212" t="s">
        <v>44</v>
      </c>
      <c r="N438" s="212" t="s">
        <v>45</v>
      </c>
      <c r="O438" s="212" t="s">
        <v>142</v>
      </c>
      <c r="P438" s="212" t="s">
        <v>43</v>
      </c>
      <c r="R438" s="486">
        <v>468</v>
      </c>
      <c r="S438" s="490">
        <v>44274</v>
      </c>
      <c r="T438" s="486" t="s">
        <v>3940</v>
      </c>
      <c r="U438" s="475">
        <v>59500000</v>
      </c>
      <c r="V438" s="406"/>
      <c r="W438" s="362"/>
      <c r="X438" s="483" t="s">
        <v>3941</v>
      </c>
      <c r="Y438" s="484">
        <v>44286</v>
      </c>
      <c r="Z438" s="484">
        <v>44286</v>
      </c>
      <c r="AA438" s="484">
        <v>44500</v>
      </c>
      <c r="AB438" s="485" t="s">
        <v>2575</v>
      </c>
      <c r="AC438" s="483" t="s">
        <v>3942</v>
      </c>
      <c r="AD438" s="485" t="s">
        <v>3943</v>
      </c>
      <c r="AE438" s="486" t="s">
        <v>3944</v>
      </c>
      <c r="AF438" s="473">
        <v>59500000</v>
      </c>
      <c r="AG438" s="474">
        <f t="shared" si="7"/>
        <v>0</v>
      </c>
      <c r="AL438" s="475">
        <v>8500000</v>
      </c>
      <c r="AM438" s="306">
        <v>8500000</v>
      </c>
    </row>
    <row r="439" spans="1:39" hidden="1" x14ac:dyDescent="0.25">
      <c r="A439" s="476" t="s">
        <v>2394</v>
      </c>
      <c r="B439" s="477">
        <v>44972037</v>
      </c>
      <c r="C439" s="212" t="s">
        <v>2571</v>
      </c>
      <c r="D439" s="478">
        <v>434</v>
      </c>
      <c r="E439" s="478">
        <v>20216000016103</v>
      </c>
      <c r="F439" s="479">
        <v>44274</v>
      </c>
      <c r="G439" s="478" t="s">
        <v>2572</v>
      </c>
      <c r="H439" s="212" t="s">
        <v>2573</v>
      </c>
      <c r="I439" s="212" t="s">
        <v>214</v>
      </c>
      <c r="J439" s="475">
        <v>44972037</v>
      </c>
      <c r="K439" s="212" t="s">
        <v>138</v>
      </c>
      <c r="L439" s="212" t="s">
        <v>139</v>
      </c>
      <c r="M439" s="212" t="s">
        <v>44</v>
      </c>
      <c r="N439" s="212" t="s">
        <v>45</v>
      </c>
      <c r="O439" s="212" t="s">
        <v>142</v>
      </c>
      <c r="P439" s="212" t="s">
        <v>43</v>
      </c>
      <c r="R439" s="486">
        <v>471</v>
      </c>
      <c r="S439" s="490">
        <v>44274</v>
      </c>
      <c r="T439" s="486" t="s">
        <v>3945</v>
      </c>
      <c r="U439" s="475">
        <v>44972037</v>
      </c>
      <c r="V439" s="406"/>
      <c r="W439" s="362"/>
      <c r="X439" s="483" t="s">
        <v>3946</v>
      </c>
      <c r="Y439" s="484">
        <v>44285</v>
      </c>
      <c r="Z439" s="484">
        <v>44285</v>
      </c>
      <c r="AA439" s="484">
        <v>44560</v>
      </c>
      <c r="AB439" s="485" t="s">
        <v>2575</v>
      </c>
      <c r="AC439" s="483" t="s">
        <v>3947</v>
      </c>
      <c r="AD439" s="485" t="s">
        <v>3948</v>
      </c>
      <c r="AE439" s="486" t="s">
        <v>3949</v>
      </c>
      <c r="AF439" s="473">
        <v>44972037</v>
      </c>
      <c r="AG439" s="474">
        <f t="shared" si="7"/>
        <v>0</v>
      </c>
      <c r="AL439" s="475">
        <v>4996893</v>
      </c>
      <c r="AM439" s="306">
        <v>4996893</v>
      </c>
    </row>
    <row r="440" spans="1:39" hidden="1" x14ac:dyDescent="0.25">
      <c r="A440" s="476" t="s">
        <v>1910</v>
      </c>
      <c r="B440" s="477">
        <v>28618569</v>
      </c>
      <c r="C440" s="212" t="s">
        <v>2571</v>
      </c>
      <c r="D440" s="478">
        <v>435</v>
      </c>
      <c r="E440" s="478">
        <v>20217000016153</v>
      </c>
      <c r="F440" s="479">
        <v>44274</v>
      </c>
      <c r="G440" s="478" t="s">
        <v>2572</v>
      </c>
      <c r="H440" s="212" t="s">
        <v>2573</v>
      </c>
      <c r="I440" s="212" t="s">
        <v>164</v>
      </c>
      <c r="J440" s="475">
        <v>19079046</v>
      </c>
      <c r="K440" s="212" t="s">
        <v>138</v>
      </c>
      <c r="L440" s="212" t="s">
        <v>139</v>
      </c>
      <c r="M440" s="212" t="s">
        <v>44</v>
      </c>
      <c r="N440" s="212" t="s">
        <v>45</v>
      </c>
      <c r="O440" s="212" t="s">
        <v>142</v>
      </c>
      <c r="P440" s="212" t="s">
        <v>43</v>
      </c>
      <c r="R440" s="486">
        <v>472</v>
      </c>
      <c r="S440" s="490">
        <v>44274</v>
      </c>
      <c r="T440" s="486" t="s">
        <v>3950</v>
      </c>
      <c r="U440" s="475">
        <v>19079046</v>
      </c>
      <c r="V440" s="406"/>
      <c r="W440" s="362"/>
      <c r="X440" s="483" t="s">
        <v>3951</v>
      </c>
      <c r="Y440" s="484">
        <v>44298</v>
      </c>
      <c r="Z440" s="484">
        <v>44298</v>
      </c>
      <c r="AA440" s="484">
        <v>44481</v>
      </c>
      <c r="AB440" s="485" t="s">
        <v>2575</v>
      </c>
      <c r="AC440" s="483" t="s">
        <v>3952</v>
      </c>
      <c r="AD440" s="485" t="s">
        <v>3953</v>
      </c>
      <c r="AE440" s="486" t="s">
        <v>3954</v>
      </c>
      <c r="AF440" s="473">
        <v>19079046</v>
      </c>
      <c r="AG440" s="474">
        <f t="shared" si="7"/>
        <v>0</v>
      </c>
      <c r="AL440" s="475">
        <v>2013899</v>
      </c>
      <c r="AM440" s="306">
        <v>3179841</v>
      </c>
    </row>
    <row r="441" spans="1:39" hidden="1" x14ac:dyDescent="0.25">
      <c r="A441" s="476" t="s">
        <v>2268</v>
      </c>
      <c r="B441" s="477">
        <v>64800000</v>
      </c>
      <c r="C441" s="212" t="s">
        <v>2571</v>
      </c>
      <c r="D441" s="478">
        <v>436</v>
      </c>
      <c r="E441" s="478">
        <v>20216000016203</v>
      </c>
      <c r="F441" s="479">
        <v>44278</v>
      </c>
      <c r="G441" s="478" t="s">
        <v>2572</v>
      </c>
      <c r="H441" s="212" t="s">
        <v>2573</v>
      </c>
      <c r="I441" s="212" t="s">
        <v>214</v>
      </c>
      <c r="J441" s="475">
        <v>64000000</v>
      </c>
      <c r="K441" s="212" t="s">
        <v>138</v>
      </c>
      <c r="L441" s="212" t="s">
        <v>139</v>
      </c>
      <c r="M441" s="212" t="s">
        <v>44</v>
      </c>
      <c r="N441" s="212" t="s">
        <v>45</v>
      </c>
      <c r="O441" s="212" t="s">
        <v>142</v>
      </c>
      <c r="P441" s="212" t="s">
        <v>43</v>
      </c>
      <c r="R441" s="486">
        <v>476</v>
      </c>
      <c r="S441" s="490">
        <v>44278</v>
      </c>
      <c r="T441" s="486" t="s">
        <v>3955</v>
      </c>
      <c r="U441" s="475">
        <v>64000000</v>
      </c>
      <c r="V441" s="406"/>
      <c r="W441" s="362"/>
      <c r="X441" s="483"/>
      <c r="Y441" s="484"/>
      <c r="Z441" s="484"/>
      <c r="AA441" s="484"/>
      <c r="AB441" s="486"/>
      <c r="AC441" s="483"/>
      <c r="AD441" s="486"/>
      <c r="AE441" s="486"/>
      <c r="AF441" s="496"/>
      <c r="AG441" s="474"/>
      <c r="AM441" s="212"/>
    </row>
    <row r="442" spans="1:39" hidden="1" x14ac:dyDescent="0.25">
      <c r="A442" s="476" t="s">
        <v>3956</v>
      </c>
      <c r="B442" s="477">
        <v>45000000</v>
      </c>
      <c r="C442" s="212" t="s">
        <v>2571</v>
      </c>
      <c r="D442" s="478">
        <v>437</v>
      </c>
      <c r="E442" s="478">
        <v>20216000016213</v>
      </c>
      <c r="F442" s="479">
        <v>44278</v>
      </c>
      <c r="G442" s="478" t="s">
        <v>2572</v>
      </c>
      <c r="H442" s="212" t="s">
        <v>2573</v>
      </c>
      <c r="I442" s="212" t="s">
        <v>214</v>
      </c>
      <c r="J442" s="475">
        <v>45000000</v>
      </c>
      <c r="K442" s="212" t="s">
        <v>138</v>
      </c>
      <c r="L442" s="212" t="s">
        <v>139</v>
      </c>
      <c r="M442" s="212" t="s">
        <v>44</v>
      </c>
      <c r="N442" s="212" t="s">
        <v>45</v>
      </c>
      <c r="O442" s="212" t="s">
        <v>142</v>
      </c>
      <c r="P442" s="212" t="s">
        <v>43</v>
      </c>
      <c r="R442" s="486">
        <v>477</v>
      </c>
      <c r="S442" s="490">
        <v>44278</v>
      </c>
      <c r="T442" s="486" t="s">
        <v>3957</v>
      </c>
      <c r="U442" s="475">
        <v>45000000</v>
      </c>
      <c r="V442" s="406"/>
      <c r="W442" s="362"/>
      <c r="AG442" s="474">
        <f t="shared" si="7"/>
        <v>45000000</v>
      </c>
      <c r="AM442" s="212"/>
    </row>
    <row r="443" spans="1:39" hidden="1" x14ac:dyDescent="0.25">
      <c r="A443" s="476" t="s">
        <v>1990</v>
      </c>
      <c r="B443" s="477">
        <v>24530202</v>
      </c>
      <c r="C443" s="212" t="s">
        <v>2571</v>
      </c>
      <c r="D443" s="478">
        <v>438</v>
      </c>
      <c r="E443" s="478">
        <v>20217000015823</v>
      </c>
      <c r="F443" s="479">
        <v>44278</v>
      </c>
      <c r="G443" s="478" t="s">
        <v>2572</v>
      </c>
      <c r="H443" s="212" t="s">
        <v>2573</v>
      </c>
      <c r="I443" s="212" t="s">
        <v>164</v>
      </c>
      <c r="J443" s="475">
        <v>16400000</v>
      </c>
      <c r="K443" s="212" t="s">
        <v>138</v>
      </c>
      <c r="L443" s="212" t="s">
        <v>139</v>
      </c>
      <c r="M443" s="212" t="s">
        <v>44</v>
      </c>
      <c r="N443" s="212" t="s">
        <v>45</v>
      </c>
      <c r="O443" s="212" t="s">
        <v>142</v>
      </c>
      <c r="P443" s="212" t="s">
        <v>43</v>
      </c>
      <c r="R443" s="486">
        <v>474</v>
      </c>
      <c r="S443" s="490">
        <v>44278</v>
      </c>
      <c r="T443" s="486" t="s">
        <v>3958</v>
      </c>
      <c r="U443" s="475">
        <v>16400000</v>
      </c>
      <c r="V443" s="406"/>
      <c r="W443" s="362"/>
      <c r="X443" s="483" t="s">
        <v>3959</v>
      </c>
      <c r="Y443" s="484">
        <v>44298</v>
      </c>
      <c r="Z443" s="484">
        <v>44298</v>
      </c>
      <c r="AA443" s="484">
        <v>44481</v>
      </c>
      <c r="AB443" s="485" t="s">
        <v>2575</v>
      </c>
      <c r="AC443" s="483" t="s">
        <v>3960</v>
      </c>
      <c r="AD443" s="485" t="s">
        <v>3961</v>
      </c>
      <c r="AE443" s="486" t="s">
        <v>3962</v>
      </c>
      <c r="AF443" s="473">
        <v>16353468</v>
      </c>
      <c r="AG443" s="474">
        <f t="shared" si="7"/>
        <v>46532</v>
      </c>
      <c r="AL443" s="475">
        <v>1726199</v>
      </c>
      <c r="AM443" s="306">
        <v>2725578</v>
      </c>
    </row>
    <row r="444" spans="1:39" s="312" customFormat="1" hidden="1" x14ac:dyDescent="0.25">
      <c r="A444" s="361" t="s">
        <v>3963</v>
      </c>
      <c r="B444" s="417">
        <v>54000000</v>
      </c>
      <c r="C444" s="312" t="s">
        <v>2687</v>
      </c>
      <c r="D444" s="325">
        <v>439</v>
      </c>
      <c r="E444" s="325">
        <v>20216000016193</v>
      </c>
      <c r="F444" s="315">
        <v>44278</v>
      </c>
      <c r="G444" s="325" t="s">
        <v>2572</v>
      </c>
      <c r="H444" s="312" t="s">
        <v>2573</v>
      </c>
      <c r="I444" s="312" t="s">
        <v>214</v>
      </c>
      <c r="J444" s="405">
        <v>54000000</v>
      </c>
      <c r="K444" s="312" t="s">
        <v>138</v>
      </c>
      <c r="L444" s="312" t="s">
        <v>139</v>
      </c>
      <c r="M444" s="312" t="s">
        <v>44</v>
      </c>
      <c r="N444" s="312" t="s">
        <v>45</v>
      </c>
      <c r="O444" s="312" t="s">
        <v>142</v>
      </c>
      <c r="P444" s="312" t="s">
        <v>43</v>
      </c>
      <c r="R444" s="360">
        <v>475</v>
      </c>
      <c r="S444" s="363">
        <v>44278</v>
      </c>
      <c r="T444" s="360" t="s">
        <v>3964</v>
      </c>
      <c r="U444" s="405">
        <f>54000000-54000000</f>
        <v>0</v>
      </c>
      <c r="V444" s="406">
        <f>54000000</f>
        <v>54000000</v>
      </c>
      <c r="W444" s="362" t="s">
        <v>1453</v>
      </c>
      <c r="X444" s="314"/>
      <c r="Y444" s="358"/>
      <c r="Z444" s="358"/>
      <c r="AA444" s="358"/>
      <c r="AB444" s="317"/>
      <c r="AC444" s="316"/>
      <c r="AD444" s="317"/>
      <c r="AF444" s="410"/>
      <c r="AG444" s="318">
        <f t="shared" si="7"/>
        <v>0</v>
      </c>
      <c r="AH444" s="405"/>
      <c r="AI444" s="405"/>
      <c r="AJ444" s="405"/>
      <c r="AK444" s="405"/>
      <c r="AL444" s="405"/>
      <c r="AM444" s="212"/>
    </row>
    <row r="445" spans="1:39" hidden="1" x14ac:dyDescent="0.25">
      <c r="A445" s="476" t="s">
        <v>1671</v>
      </c>
      <c r="B445" s="477">
        <v>161928000</v>
      </c>
      <c r="C445" s="212" t="s">
        <v>1671</v>
      </c>
      <c r="D445" s="478">
        <v>440</v>
      </c>
      <c r="E445" s="478">
        <v>20215000016333</v>
      </c>
      <c r="F445" s="479">
        <v>44279</v>
      </c>
      <c r="G445" s="478" t="s">
        <v>2565</v>
      </c>
      <c r="H445" s="212" t="s">
        <v>2566</v>
      </c>
      <c r="I445" s="212" t="s">
        <v>228</v>
      </c>
      <c r="J445" s="480">
        <v>161928000</v>
      </c>
      <c r="K445" s="212" t="s">
        <v>223</v>
      </c>
      <c r="L445" s="212" t="s">
        <v>224</v>
      </c>
      <c r="M445" s="212" t="s">
        <v>44</v>
      </c>
      <c r="N445" s="212" t="s">
        <v>45</v>
      </c>
      <c r="O445" s="212" t="s">
        <v>63</v>
      </c>
      <c r="P445" s="212" t="s">
        <v>676</v>
      </c>
      <c r="R445" s="486">
        <v>479</v>
      </c>
      <c r="S445" s="490">
        <v>44279</v>
      </c>
      <c r="T445" s="486" t="s">
        <v>3965</v>
      </c>
      <c r="U445" s="475">
        <v>161928000</v>
      </c>
      <c r="V445" s="406"/>
      <c r="W445" s="362"/>
      <c r="X445" s="483" t="s">
        <v>3966</v>
      </c>
      <c r="Y445" s="484">
        <v>44302</v>
      </c>
      <c r="Z445" s="484">
        <v>44302</v>
      </c>
      <c r="AA445" s="484">
        <v>44561</v>
      </c>
      <c r="AB445" s="485" t="s">
        <v>3967</v>
      </c>
      <c r="AC445" s="483" t="s">
        <v>3791</v>
      </c>
      <c r="AD445" s="485" t="s">
        <v>3968</v>
      </c>
      <c r="AE445" s="486" t="s">
        <v>3969</v>
      </c>
      <c r="AF445" s="473">
        <v>161928000</v>
      </c>
      <c r="AG445" s="474">
        <f t="shared" si="7"/>
        <v>0</v>
      </c>
      <c r="AL445" s="475">
        <v>13494000</v>
      </c>
      <c r="AM445" s="212"/>
    </row>
    <row r="446" spans="1:39" hidden="1" x14ac:dyDescent="0.25">
      <c r="A446" s="476" t="s">
        <v>2473</v>
      </c>
      <c r="B446" s="477">
        <v>48000000</v>
      </c>
      <c r="C446" s="212" t="s">
        <v>2571</v>
      </c>
      <c r="D446" s="478">
        <v>441</v>
      </c>
      <c r="E446" s="478">
        <v>20213000016803</v>
      </c>
      <c r="F446" s="479">
        <v>44279</v>
      </c>
      <c r="G446" s="478" t="s">
        <v>2565</v>
      </c>
      <c r="H446" s="212" t="s">
        <v>2566</v>
      </c>
      <c r="I446" s="212" t="s">
        <v>432</v>
      </c>
      <c r="J446" s="475">
        <v>45000000</v>
      </c>
      <c r="K446" s="212" t="s">
        <v>342</v>
      </c>
      <c r="L446" s="212" t="s">
        <v>351</v>
      </c>
      <c r="M446" s="212" t="s">
        <v>44</v>
      </c>
      <c r="N446" s="212" t="s">
        <v>45</v>
      </c>
      <c r="O446" s="212" t="s">
        <v>63</v>
      </c>
      <c r="P446" s="212" t="s">
        <v>676</v>
      </c>
      <c r="R446" s="486">
        <v>480</v>
      </c>
      <c r="S446" s="490">
        <v>44279</v>
      </c>
      <c r="T446" s="486" t="s">
        <v>3970</v>
      </c>
      <c r="U446" s="475">
        <v>45000000</v>
      </c>
      <c r="V446" s="406"/>
      <c r="W446" s="362"/>
      <c r="X446" s="483" t="s">
        <v>3971</v>
      </c>
      <c r="Y446" s="484">
        <v>44298</v>
      </c>
      <c r="Z446" s="484">
        <v>44298</v>
      </c>
      <c r="AA446" s="484">
        <v>44451</v>
      </c>
      <c r="AB446" s="485" t="s">
        <v>2575</v>
      </c>
      <c r="AC446" s="483" t="s">
        <v>3688</v>
      </c>
      <c r="AD446" s="485" t="s">
        <v>3972</v>
      </c>
      <c r="AE446" s="486" t="s">
        <v>3973</v>
      </c>
      <c r="AF446" s="473">
        <v>45000000</v>
      </c>
      <c r="AG446" s="474">
        <f t="shared" si="7"/>
        <v>0</v>
      </c>
      <c r="AL446" s="475">
        <v>5100000</v>
      </c>
      <c r="AM446" s="306">
        <v>9000000</v>
      </c>
    </row>
    <row r="447" spans="1:39" hidden="1" x14ac:dyDescent="0.25">
      <c r="A447" s="476" t="s">
        <v>2392</v>
      </c>
      <c r="B447" s="477">
        <v>90000000</v>
      </c>
      <c r="C447" s="212" t="s">
        <v>2571</v>
      </c>
      <c r="D447" s="478">
        <v>442</v>
      </c>
      <c r="E447" s="478">
        <v>20213000016813</v>
      </c>
      <c r="F447" s="479">
        <v>44279</v>
      </c>
      <c r="G447" s="478" t="s">
        <v>2565</v>
      </c>
      <c r="H447" s="212" t="s">
        <v>2566</v>
      </c>
      <c r="I447" s="212" t="s">
        <v>432</v>
      </c>
      <c r="J447" s="475">
        <v>76200000</v>
      </c>
      <c r="K447" s="212" t="s">
        <v>342</v>
      </c>
      <c r="L447" s="212" t="s">
        <v>351</v>
      </c>
      <c r="M447" s="212" t="s">
        <v>44</v>
      </c>
      <c r="N447" s="212" t="s">
        <v>45</v>
      </c>
      <c r="O447" s="212" t="s">
        <v>63</v>
      </c>
      <c r="P447" s="212" t="s">
        <v>676</v>
      </c>
      <c r="R447" s="486">
        <v>481</v>
      </c>
      <c r="S447" s="490">
        <v>44279</v>
      </c>
      <c r="T447" s="486" t="s">
        <v>3974</v>
      </c>
      <c r="U447" s="475">
        <v>76200000</v>
      </c>
      <c r="V447" s="406"/>
      <c r="W447" s="362"/>
      <c r="X447" s="483" t="s">
        <v>3975</v>
      </c>
      <c r="Y447" s="484">
        <v>44302</v>
      </c>
      <c r="Z447" s="484">
        <v>44302</v>
      </c>
      <c r="AA447" s="484">
        <v>44485</v>
      </c>
      <c r="AB447" s="485" t="s">
        <v>2575</v>
      </c>
      <c r="AC447" s="483" t="s">
        <v>3946</v>
      </c>
      <c r="AD447" s="485" t="s">
        <v>3976</v>
      </c>
      <c r="AE447" s="486" t="s">
        <v>3977</v>
      </c>
      <c r="AF447" s="473">
        <v>76200000</v>
      </c>
      <c r="AG447" s="474">
        <f t="shared" si="7"/>
        <v>0</v>
      </c>
      <c r="AL447" s="475">
        <v>5080000</v>
      </c>
      <c r="AM447" s="306">
        <v>12700000</v>
      </c>
    </row>
    <row r="448" spans="1:39" hidden="1" x14ac:dyDescent="0.25">
      <c r="A448" s="476" t="s">
        <v>1896</v>
      </c>
      <c r="B448" s="477">
        <v>89035548</v>
      </c>
      <c r="C448" s="212" t="s">
        <v>2571</v>
      </c>
      <c r="D448" s="478">
        <v>443</v>
      </c>
      <c r="E448" s="478">
        <v>20217000016993</v>
      </c>
      <c r="F448" s="479">
        <v>44279</v>
      </c>
      <c r="G448" s="478" t="s">
        <v>2572</v>
      </c>
      <c r="H448" s="212" t="s">
        <v>2573</v>
      </c>
      <c r="I448" s="212" t="s">
        <v>164</v>
      </c>
      <c r="J448" s="475">
        <v>77400000</v>
      </c>
      <c r="K448" s="212" t="s">
        <v>138</v>
      </c>
      <c r="L448" s="212" t="s">
        <v>139</v>
      </c>
      <c r="M448" s="212" t="s">
        <v>44</v>
      </c>
      <c r="N448" s="212" t="s">
        <v>45</v>
      </c>
      <c r="O448" s="212" t="s">
        <v>142</v>
      </c>
      <c r="P448" s="212" t="s">
        <v>43</v>
      </c>
      <c r="R448" s="486">
        <v>482</v>
      </c>
      <c r="S448" s="490">
        <v>44279</v>
      </c>
      <c r="T448" s="486" t="s">
        <v>3978</v>
      </c>
      <c r="U448" s="475">
        <v>77400000</v>
      </c>
      <c r="V448" s="406"/>
      <c r="W448" s="362"/>
      <c r="X448" s="483" t="s">
        <v>3569</v>
      </c>
      <c r="Y448" s="484">
        <v>44285</v>
      </c>
      <c r="Z448" s="484">
        <v>44285</v>
      </c>
      <c r="AA448" s="484">
        <v>44560</v>
      </c>
      <c r="AB448" s="485" t="s">
        <v>2575</v>
      </c>
      <c r="AC448" s="483" t="s">
        <v>3979</v>
      </c>
      <c r="AD448" s="485" t="s">
        <v>3980</v>
      </c>
      <c r="AE448" s="486" t="s">
        <v>3981</v>
      </c>
      <c r="AF448" s="473">
        <v>77400000</v>
      </c>
      <c r="AG448" s="474">
        <f t="shared" si="7"/>
        <v>0</v>
      </c>
      <c r="AL448" s="475">
        <v>8886667</v>
      </c>
      <c r="AM448" s="306">
        <v>8600000</v>
      </c>
    </row>
    <row r="449" spans="1:39" hidden="1" x14ac:dyDescent="0.25">
      <c r="A449" s="476" t="s">
        <v>2304</v>
      </c>
      <c r="B449" s="477">
        <v>65413872</v>
      </c>
      <c r="C449" s="212" t="s">
        <v>2571</v>
      </c>
      <c r="D449" s="478">
        <v>444</v>
      </c>
      <c r="E449" s="478">
        <v>20217000014913</v>
      </c>
      <c r="F449" s="479">
        <v>44279</v>
      </c>
      <c r="G449" s="478" t="s">
        <v>2572</v>
      </c>
      <c r="H449" s="212" t="s">
        <v>2573</v>
      </c>
      <c r="I449" s="212" t="s">
        <v>164</v>
      </c>
      <c r="J449" s="475">
        <v>43609248</v>
      </c>
      <c r="K449" s="212" t="s">
        <v>138</v>
      </c>
      <c r="L449" s="212" t="s">
        <v>139</v>
      </c>
      <c r="M449" s="212" t="s">
        <v>44</v>
      </c>
      <c r="N449" s="212" t="s">
        <v>45</v>
      </c>
      <c r="O449" s="212" t="s">
        <v>142</v>
      </c>
      <c r="P449" s="212" t="s">
        <v>43</v>
      </c>
      <c r="R449" s="486">
        <v>478</v>
      </c>
      <c r="S449" s="490">
        <v>44279</v>
      </c>
      <c r="T449" s="486" t="s">
        <v>3982</v>
      </c>
      <c r="U449" s="475">
        <v>43609248</v>
      </c>
      <c r="V449" s="406"/>
      <c r="W449" s="362"/>
      <c r="X449" s="483" t="s">
        <v>3983</v>
      </c>
      <c r="Y449" s="484">
        <v>44295</v>
      </c>
      <c r="Z449" s="484">
        <v>44295</v>
      </c>
      <c r="AA449" s="484">
        <v>44478</v>
      </c>
      <c r="AB449" s="485" t="s">
        <v>2575</v>
      </c>
      <c r="AC449" s="483" t="s">
        <v>3640</v>
      </c>
      <c r="AD449" s="485" t="s">
        <v>3984</v>
      </c>
      <c r="AE449" s="486" t="s">
        <v>2576</v>
      </c>
      <c r="AF449" s="473">
        <v>43609248</v>
      </c>
      <c r="AG449" s="474">
        <f t="shared" si="7"/>
        <v>0</v>
      </c>
      <c r="AL449" s="475">
        <v>4603198</v>
      </c>
      <c r="AM449" s="306">
        <v>7268208</v>
      </c>
    </row>
    <row r="450" spans="1:39" hidden="1" x14ac:dyDescent="0.25">
      <c r="B450" s="501" t="s">
        <v>2608</v>
      </c>
      <c r="C450" s="212" t="s">
        <v>3985</v>
      </c>
      <c r="D450" s="478">
        <v>445</v>
      </c>
      <c r="E450" s="478">
        <v>20211300017063</v>
      </c>
      <c r="F450" s="479">
        <v>44281</v>
      </c>
      <c r="G450" s="478" t="s">
        <v>2572</v>
      </c>
      <c r="H450" s="212" t="s">
        <v>2573</v>
      </c>
      <c r="I450" s="212" t="s">
        <v>210</v>
      </c>
      <c r="J450" s="475">
        <v>8558579</v>
      </c>
      <c r="K450" s="212" t="s">
        <v>138</v>
      </c>
      <c r="L450" s="212" t="s">
        <v>139</v>
      </c>
      <c r="M450" s="212" t="s">
        <v>44</v>
      </c>
      <c r="N450" s="212" t="s">
        <v>45</v>
      </c>
      <c r="O450" s="212" t="s">
        <v>142</v>
      </c>
      <c r="P450" s="212" t="s">
        <v>43</v>
      </c>
      <c r="R450" s="486">
        <v>486</v>
      </c>
      <c r="S450" s="490">
        <v>44281</v>
      </c>
      <c r="T450" s="486" t="s">
        <v>3986</v>
      </c>
      <c r="U450" s="475">
        <v>8558579</v>
      </c>
      <c r="V450" s="406"/>
      <c r="W450" s="362"/>
      <c r="X450" s="483" t="s">
        <v>3869</v>
      </c>
      <c r="Y450" s="484">
        <v>44285</v>
      </c>
      <c r="Z450" s="484">
        <v>44285</v>
      </c>
      <c r="AA450" s="484">
        <v>44330</v>
      </c>
      <c r="AB450" s="485" t="s">
        <v>2575</v>
      </c>
      <c r="AC450" s="483" t="s">
        <v>3987</v>
      </c>
      <c r="AD450" s="485" t="s">
        <v>3988</v>
      </c>
      <c r="AE450" s="486" t="s">
        <v>3989</v>
      </c>
      <c r="AF450" s="473">
        <v>8558579</v>
      </c>
      <c r="AG450" s="474">
        <f t="shared" si="7"/>
        <v>0</v>
      </c>
      <c r="AK450" s="475">
        <v>190190</v>
      </c>
      <c r="AL450" s="475">
        <v>5705719</v>
      </c>
      <c r="AM450" s="306">
        <v>2662670</v>
      </c>
    </row>
    <row r="451" spans="1:39" hidden="1" x14ac:dyDescent="0.25">
      <c r="B451" s="501" t="s">
        <v>2608</v>
      </c>
      <c r="C451" s="212" t="s">
        <v>3990</v>
      </c>
      <c r="D451" s="478">
        <v>446</v>
      </c>
      <c r="E451" s="478">
        <v>20217000017323</v>
      </c>
      <c r="F451" s="479">
        <v>44281</v>
      </c>
      <c r="G451" s="478" t="s">
        <v>2572</v>
      </c>
      <c r="H451" s="212" t="s">
        <v>2573</v>
      </c>
      <c r="I451" s="212" t="s">
        <v>164</v>
      </c>
      <c r="J451" s="475">
        <v>19750567</v>
      </c>
      <c r="K451" s="212" t="s">
        <v>138</v>
      </c>
      <c r="L451" s="212" t="s">
        <v>139</v>
      </c>
      <c r="M451" s="212" t="s">
        <v>44</v>
      </c>
      <c r="N451" s="212" t="s">
        <v>45</v>
      </c>
      <c r="O451" s="212" t="s">
        <v>142</v>
      </c>
      <c r="P451" s="212" t="s">
        <v>43</v>
      </c>
      <c r="R451" s="486">
        <v>484</v>
      </c>
      <c r="S451" s="490">
        <v>44281</v>
      </c>
      <c r="T451" s="486" t="s">
        <v>3991</v>
      </c>
      <c r="U451" s="475">
        <v>19750567</v>
      </c>
      <c r="V451" s="406"/>
      <c r="W451" s="362"/>
      <c r="X451" s="483" t="s">
        <v>3698</v>
      </c>
      <c r="Y451" s="484">
        <v>44281</v>
      </c>
      <c r="Z451" s="484">
        <v>44283</v>
      </c>
      <c r="AA451" s="484">
        <v>44358</v>
      </c>
      <c r="AB451" s="485" t="s">
        <v>2575</v>
      </c>
      <c r="AC451" s="483" t="s">
        <v>3992</v>
      </c>
      <c r="AD451" s="485" t="s">
        <v>3993</v>
      </c>
      <c r="AE451" s="486" t="s">
        <v>3994</v>
      </c>
      <c r="AF451" s="473">
        <v>19750567</v>
      </c>
      <c r="AG451" s="474">
        <f t="shared" si="7"/>
        <v>0</v>
      </c>
      <c r="AK451" s="475">
        <v>7900227</v>
      </c>
      <c r="AL451" s="475">
        <v>7900227</v>
      </c>
      <c r="AM451" s="212"/>
    </row>
    <row r="452" spans="1:39" s="312" customFormat="1" hidden="1" x14ac:dyDescent="0.25">
      <c r="A452" s="361" t="s">
        <v>3995</v>
      </c>
      <c r="B452" s="417">
        <v>63000000</v>
      </c>
      <c r="C452" s="312" t="s">
        <v>2687</v>
      </c>
      <c r="D452" s="325">
        <v>447</v>
      </c>
      <c r="E452" s="325">
        <v>20217000017333</v>
      </c>
      <c r="F452" s="315">
        <v>44281</v>
      </c>
      <c r="G452" s="325" t="s">
        <v>2572</v>
      </c>
      <c r="H452" s="312" t="s">
        <v>2573</v>
      </c>
      <c r="I452" s="312" t="s">
        <v>164</v>
      </c>
      <c r="J452" s="405">
        <v>49100000</v>
      </c>
      <c r="K452" s="312" t="s">
        <v>138</v>
      </c>
      <c r="L452" s="312" t="s">
        <v>139</v>
      </c>
      <c r="M452" s="312" t="s">
        <v>44</v>
      </c>
      <c r="N452" s="312" t="s">
        <v>45</v>
      </c>
      <c r="O452" s="312" t="s">
        <v>142</v>
      </c>
      <c r="P452" s="312" t="s">
        <v>43</v>
      </c>
      <c r="R452" s="360">
        <v>487</v>
      </c>
      <c r="S452" s="363">
        <v>44281</v>
      </c>
      <c r="T452" s="360" t="s">
        <v>3996</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x14ac:dyDescent="0.25">
      <c r="A453" s="476" t="s">
        <v>1929</v>
      </c>
      <c r="B453" s="477">
        <v>39975144</v>
      </c>
      <c r="C453" s="212" t="s">
        <v>2571</v>
      </c>
      <c r="D453" s="478">
        <v>448</v>
      </c>
      <c r="E453" s="478">
        <v>20217000017363</v>
      </c>
      <c r="F453" s="479">
        <v>44281</v>
      </c>
      <c r="G453" s="478" t="s">
        <v>2572</v>
      </c>
      <c r="H453" s="212" t="s">
        <v>2573</v>
      </c>
      <c r="I453" s="212" t="s">
        <v>164</v>
      </c>
      <c r="J453" s="475">
        <v>19079046</v>
      </c>
      <c r="K453" s="212" t="s">
        <v>138</v>
      </c>
      <c r="L453" s="212" t="s">
        <v>139</v>
      </c>
      <c r="M453" s="212" t="s">
        <v>44</v>
      </c>
      <c r="N453" s="212" t="s">
        <v>45</v>
      </c>
      <c r="O453" s="212" t="s">
        <v>142</v>
      </c>
      <c r="P453" s="212" t="s">
        <v>43</v>
      </c>
      <c r="R453" s="486">
        <v>488</v>
      </c>
      <c r="S453" s="490">
        <v>44281</v>
      </c>
      <c r="T453" s="486" t="s">
        <v>3997</v>
      </c>
      <c r="U453" s="475">
        <v>19079046</v>
      </c>
      <c r="V453" s="480"/>
      <c r="W453" s="520"/>
      <c r="AG453" s="474">
        <f t="shared" si="7"/>
        <v>19079046</v>
      </c>
      <c r="AM453" s="212"/>
    </row>
    <row r="454" spans="1:39" s="312" customFormat="1" hidden="1" x14ac:dyDescent="0.25">
      <c r="A454" s="361" t="s">
        <v>3998</v>
      </c>
      <c r="B454" s="417">
        <v>55000000</v>
      </c>
      <c r="C454" s="312" t="s">
        <v>2687</v>
      </c>
      <c r="D454" s="325">
        <v>449</v>
      </c>
      <c r="E454" s="325">
        <v>20215000012883</v>
      </c>
      <c r="F454" s="315">
        <v>44281</v>
      </c>
      <c r="G454" s="325" t="s">
        <v>2565</v>
      </c>
      <c r="H454" s="312" t="s">
        <v>2566</v>
      </c>
      <c r="I454" s="312" t="s">
        <v>228</v>
      </c>
      <c r="J454" s="405">
        <v>55000000</v>
      </c>
      <c r="K454" s="312" t="s">
        <v>223</v>
      </c>
      <c r="L454" s="312" t="s">
        <v>257</v>
      </c>
      <c r="M454" s="312" t="s">
        <v>44</v>
      </c>
      <c r="N454" s="312" t="s">
        <v>45</v>
      </c>
      <c r="O454" s="312" t="s">
        <v>63</v>
      </c>
      <c r="P454" s="312" t="s">
        <v>676</v>
      </c>
      <c r="R454" s="360">
        <v>485</v>
      </c>
      <c r="S454" s="363">
        <v>44281</v>
      </c>
      <c r="T454" s="360" t="s">
        <v>3999</v>
      </c>
      <c r="U454" s="405">
        <f>55000000-55000000</f>
        <v>0</v>
      </c>
      <c r="V454" s="406">
        <v>55000000</v>
      </c>
      <c r="W454" s="362" t="s">
        <v>1453</v>
      </c>
      <c r="X454" s="314"/>
      <c r="Y454" s="358"/>
      <c r="Z454" s="358"/>
      <c r="AA454" s="358"/>
      <c r="AB454" s="317"/>
      <c r="AC454" s="316"/>
      <c r="AD454" s="317"/>
      <c r="AF454" s="410"/>
      <c r="AG454" s="318">
        <f t="shared" si="7"/>
        <v>0</v>
      </c>
      <c r="AH454" s="405"/>
      <c r="AI454" s="405"/>
      <c r="AJ454" s="405"/>
      <c r="AK454" s="405"/>
      <c r="AL454" s="405"/>
      <c r="AM454" s="212"/>
    </row>
    <row r="455" spans="1:39" hidden="1" x14ac:dyDescent="0.25">
      <c r="A455" s="476" t="s">
        <v>2358</v>
      </c>
      <c r="B455" s="477">
        <v>42400000</v>
      </c>
      <c r="C455" s="212" t="s">
        <v>2571</v>
      </c>
      <c r="D455" s="478">
        <v>450</v>
      </c>
      <c r="E455" s="478">
        <v>20215000017553</v>
      </c>
      <c r="F455" s="479">
        <v>44281</v>
      </c>
      <c r="G455" s="478" t="s">
        <v>2565</v>
      </c>
      <c r="H455" s="212" t="s">
        <v>2566</v>
      </c>
      <c r="I455" s="212" t="s">
        <v>228</v>
      </c>
      <c r="J455" s="475">
        <v>34000000</v>
      </c>
      <c r="K455" s="212" t="s">
        <v>223</v>
      </c>
      <c r="L455" s="212" t="s">
        <v>2683</v>
      </c>
      <c r="M455" s="212" t="s">
        <v>44</v>
      </c>
      <c r="N455" s="212" t="s">
        <v>45</v>
      </c>
      <c r="O455" s="212" t="s">
        <v>63</v>
      </c>
      <c r="P455" s="212" t="s">
        <v>676</v>
      </c>
      <c r="R455" s="486">
        <v>491</v>
      </c>
      <c r="S455" s="490">
        <v>44281</v>
      </c>
      <c r="T455" s="486" t="s">
        <v>4000</v>
      </c>
      <c r="U455" s="475">
        <v>34000000</v>
      </c>
      <c r="V455" s="406"/>
      <c r="W455" s="362"/>
      <c r="X455" s="211" t="s">
        <v>4001</v>
      </c>
      <c r="Y455" s="472">
        <v>44300</v>
      </c>
      <c r="Z455" s="472">
        <v>44300</v>
      </c>
      <c r="AA455" s="472">
        <v>44561</v>
      </c>
      <c r="AB455" s="2" t="s">
        <v>2575</v>
      </c>
      <c r="AC455" s="211" t="s">
        <v>3886</v>
      </c>
      <c r="AD455" s="2" t="s">
        <v>4002</v>
      </c>
      <c r="AE455" s="212" t="s">
        <v>4003</v>
      </c>
      <c r="AF455" s="473">
        <v>34000000</v>
      </c>
      <c r="AG455" s="474">
        <f t="shared" si="7"/>
        <v>0</v>
      </c>
      <c r="AL455" s="475">
        <v>2266667</v>
      </c>
      <c r="AM455" s="306">
        <v>4000000</v>
      </c>
    </row>
    <row r="456" spans="1:39" hidden="1" x14ac:dyDescent="0.25">
      <c r="A456" s="476" t="s">
        <v>1755</v>
      </c>
      <c r="B456" s="477">
        <v>64000000</v>
      </c>
      <c r="C456" s="212" t="s">
        <v>2571</v>
      </c>
      <c r="D456" s="478">
        <v>451</v>
      </c>
      <c r="E456" s="478">
        <v>20213000017453</v>
      </c>
      <c r="F456" s="479">
        <v>44281</v>
      </c>
      <c r="G456" s="478" t="s">
        <v>2565</v>
      </c>
      <c r="H456" s="212" t="s">
        <v>2566</v>
      </c>
      <c r="I456" s="212" t="s">
        <v>432</v>
      </c>
      <c r="J456" s="475">
        <v>64000000</v>
      </c>
      <c r="K456" s="212" t="s">
        <v>342</v>
      </c>
      <c r="L456" s="212" t="s">
        <v>351</v>
      </c>
      <c r="M456" s="212" t="s">
        <v>44</v>
      </c>
      <c r="N456" s="212" t="s">
        <v>45</v>
      </c>
      <c r="O456" s="212" t="s">
        <v>63</v>
      </c>
      <c r="P456" s="212" t="s">
        <v>676</v>
      </c>
      <c r="R456" s="486">
        <v>490</v>
      </c>
      <c r="S456" s="490">
        <v>44281</v>
      </c>
      <c r="T456" s="486" t="s">
        <v>4004</v>
      </c>
      <c r="U456" s="475">
        <v>64000000</v>
      </c>
      <c r="V456" s="406"/>
      <c r="W456" s="362"/>
      <c r="X456" s="483" t="s">
        <v>4005</v>
      </c>
      <c r="Y456" s="484">
        <v>44295</v>
      </c>
      <c r="Z456" s="484">
        <v>44295</v>
      </c>
      <c r="AA456" s="484">
        <v>44538</v>
      </c>
      <c r="AB456" s="485" t="s">
        <v>2575</v>
      </c>
      <c r="AC456" s="483" t="s">
        <v>3739</v>
      </c>
      <c r="AD456" s="485" t="s">
        <v>4006</v>
      </c>
      <c r="AE456" s="486" t="s">
        <v>4007</v>
      </c>
      <c r="AF456" s="473">
        <v>64000000</v>
      </c>
      <c r="AG456" s="474">
        <f t="shared" si="7"/>
        <v>0</v>
      </c>
      <c r="AL456" s="475">
        <v>5066667</v>
      </c>
      <c r="AM456" s="306">
        <v>8000000</v>
      </c>
    </row>
    <row r="457" spans="1:39" hidden="1" x14ac:dyDescent="0.25">
      <c r="B457" s="477" t="s">
        <v>2608</v>
      </c>
      <c r="C457" s="212" t="s">
        <v>4008</v>
      </c>
      <c r="D457" s="478">
        <v>452</v>
      </c>
      <c r="E457" s="478">
        <v>20211300017443</v>
      </c>
      <c r="F457" s="479">
        <v>44281</v>
      </c>
      <c r="G457" s="478" t="s">
        <v>2572</v>
      </c>
      <c r="H457" s="212" t="s">
        <v>2573</v>
      </c>
      <c r="I457" s="212" t="s">
        <v>210</v>
      </c>
      <c r="J457" s="475">
        <v>5266812</v>
      </c>
      <c r="K457" s="212" t="s">
        <v>138</v>
      </c>
      <c r="L457" s="212" t="s">
        <v>139</v>
      </c>
      <c r="M457" s="212" t="s">
        <v>44</v>
      </c>
      <c r="N457" s="212" t="s">
        <v>45</v>
      </c>
      <c r="O457" s="212" t="s">
        <v>142</v>
      </c>
      <c r="P457" s="212" t="s">
        <v>43</v>
      </c>
      <c r="R457" s="486">
        <v>489</v>
      </c>
      <c r="S457" s="490">
        <v>44281</v>
      </c>
      <c r="T457" s="486" t="s">
        <v>4009</v>
      </c>
      <c r="U457" s="475">
        <v>5266812</v>
      </c>
      <c r="V457" s="406"/>
      <c r="W457" s="362"/>
      <c r="X457" s="483" t="s">
        <v>3550</v>
      </c>
      <c r="Y457" s="484">
        <v>44285</v>
      </c>
      <c r="Z457" s="484">
        <v>44285</v>
      </c>
      <c r="AA457" s="484">
        <v>44330</v>
      </c>
      <c r="AB457" s="485" t="s">
        <v>2575</v>
      </c>
      <c r="AC457" s="483" t="s">
        <v>4010</v>
      </c>
      <c r="AD457" s="485" t="s">
        <v>4011</v>
      </c>
      <c r="AE457" s="486" t="s">
        <v>4012</v>
      </c>
      <c r="AF457" s="473">
        <v>5266812</v>
      </c>
      <c r="AG457" s="474">
        <f t="shared" si="7"/>
        <v>0</v>
      </c>
      <c r="AK457" s="475">
        <v>3511208</v>
      </c>
      <c r="AL457" s="475">
        <v>117040</v>
      </c>
      <c r="AM457" s="306">
        <v>1638564</v>
      </c>
    </row>
    <row r="458" spans="1:39" hidden="1" x14ac:dyDescent="0.25">
      <c r="A458" s="476" t="s">
        <v>2334</v>
      </c>
      <c r="B458" s="477">
        <v>65413872</v>
      </c>
      <c r="C458" s="212" t="s">
        <v>2571</v>
      </c>
      <c r="D458" s="478">
        <v>453</v>
      </c>
      <c r="E458" s="478">
        <v>20217000017583</v>
      </c>
      <c r="F458" s="479">
        <v>44281</v>
      </c>
      <c r="G458" s="478" t="s">
        <v>2572</v>
      </c>
      <c r="H458" s="212" t="s">
        <v>2573</v>
      </c>
      <c r="I458" s="212" t="s">
        <v>164</v>
      </c>
      <c r="J458" s="475">
        <v>52500000</v>
      </c>
      <c r="K458" s="212" t="s">
        <v>138</v>
      </c>
      <c r="L458" s="212" t="s">
        <v>139</v>
      </c>
      <c r="M458" s="212" t="s">
        <v>44</v>
      </c>
      <c r="N458" s="212" t="s">
        <v>45</v>
      </c>
      <c r="O458" s="212" t="s">
        <v>142</v>
      </c>
      <c r="P458" s="212" t="s">
        <v>43</v>
      </c>
      <c r="R458" s="486">
        <v>492</v>
      </c>
      <c r="S458" s="490">
        <v>44281</v>
      </c>
      <c r="T458" s="486" t="s">
        <v>4013</v>
      </c>
      <c r="U458" s="475">
        <v>52500000</v>
      </c>
      <c r="V458" s="406"/>
      <c r="W458" s="362"/>
      <c r="X458" s="483" t="s">
        <v>4014</v>
      </c>
      <c r="Y458" s="484">
        <v>44302</v>
      </c>
      <c r="Z458" s="484">
        <v>44302</v>
      </c>
      <c r="AA458" s="484">
        <v>44516</v>
      </c>
      <c r="AB458" s="485" t="s">
        <v>2575</v>
      </c>
      <c r="AC458" s="483" t="s">
        <v>3754</v>
      </c>
      <c r="AD458" s="485" t="s">
        <v>4015</v>
      </c>
      <c r="AE458" s="486" t="s">
        <v>2738</v>
      </c>
      <c r="AF458" s="473">
        <v>52500000</v>
      </c>
      <c r="AG458" s="474">
        <f t="shared" si="7"/>
        <v>0</v>
      </c>
      <c r="AL458" s="475">
        <v>4000000</v>
      </c>
      <c r="AM458" s="306">
        <v>7500000</v>
      </c>
    </row>
    <row r="459" spans="1:39" hidden="1" x14ac:dyDescent="0.25">
      <c r="A459" s="476" t="s">
        <v>1995</v>
      </c>
      <c r="B459" s="477">
        <v>27800895</v>
      </c>
      <c r="C459" s="212" t="s">
        <v>2571</v>
      </c>
      <c r="D459" s="478">
        <v>454</v>
      </c>
      <c r="E459" s="478">
        <v>20217000017593</v>
      </c>
      <c r="F459" s="479">
        <v>44281</v>
      </c>
      <c r="G459" s="478" t="s">
        <v>2572</v>
      </c>
      <c r="H459" s="212" t="s">
        <v>2573</v>
      </c>
      <c r="I459" s="212" t="s">
        <v>164</v>
      </c>
      <c r="J459" s="475">
        <v>16353468</v>
      </c>
      <c r="K459" s="212" t="s">
        <v>138</v>
      </c>
      <c r="L459" s="212" t="s">
        <v>139</v>
      </c>
      <c r="M459" s="212" t="s">
        <v>44</v>
      </c>
      <c r="N459" s="212" t="s">
        <v>45</v>
      </c>
      <c r="O459" s="212" t="s">
        <v>142</v>
      </c>
      <c r="P459" s="212" t="s">
        <v>43</v>
      </c>
      <c r="R459" s="486">
        <v>493</v>
      </c>
      <c r="S459" s="490">
        <v>44281</v>
      </c>
      <c r="T459" s="486" t="s">
        <v>4016</v>
      </c>
      <c r="U459" s="475">
        <v>16353468</v>
      </c>
      <c r="V459" s="406"/>
      <c r="W459" s="362"/>
      <c r="X459" s="483" t="s">
        <v>4017</v>
      </c>
      <c r="Y459" s="484">
        <v>44302</v>
      </c>
      <c r="Z459" s="484">
        <v>44302</v>
      </c>
      <c r="AA459" s="484">
        <v>44485</v>
      </c>
      <c r="AB459" s="485" t="s">
        <v>2575</v>
      </c>
      <c r="AC459" s="483" t="s">
        <v>3729</v>
      </c>
      <c r="AD459" s="485" t="s">
        <v>4018</v>
      </c>
      <c r="AE459" s="486" t="s">
        <v>4019</v>
      </c>
      <c r="AF459" s="473">
        <v>16353468</v>
      </c>
      <c r="AG459" s="474">
        <f t="shared" si="7"/>
        <v>0</v>
      </c>
      <c r="AM459" s="306">
        <v>4088367</v>
      </c>
    </row>
    <row r="460" spans="1:39" s="312" customFormat="1" hidden="1" x14ac:dyDescent="0.25">
      <c r="A460" s="361" t="s">
        <v>2380</v>
      </c>
      <c r="B460" s="417">
        <v>44958672</v>
      </c>
      <c r="C460" s="312" t="s">
        <v>2687</v>
      </c>
      <c r="D460" s="325">
        <v>455</v>
      </c>
      <c r="E460" s="325">
        <v>20217000017633</v>
      </c>
      <c r="F460" s="315">
        <v>44281</v>
      </c>
      <c r="G460" s="325" t="s">
        <v>2572</v>
      </c>
      <c r="H460" s="312" t="s">
        <v>2573</v>
      </c>
      <c r="I460" s="312" t="s">
        <v>164</v>
      </c>
      <c r="J460" s="405">
        <v>24530300</v>
      </c>
      <c r="K460" s="312" t="s">
        <v>138</v>
      </c>
      <c r="L460" s="312" t="s">
        <v>139</v>
      </c>
      <c r="M460" s="312" t="s">
        <v>44</v>
      </c>
      <c r="N460" s="312" t="s">
        <v>45</v>
      </c>
      <c r="O460" s="312" t="s">
        <v>142</v>
      </c>
      <c r="P460" s="312" t="s">
        <v>43</v>
      </c>
      <c r="R460" s="360">
        <v>494</v>
      </c>
      <c r="S460" s="363">
        <v>44281</v>
      </c>
      <c r="T460" s="360" t="s">
        <v>4020</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x14ac:dyDescent="0.25">
      <c r="A461" s="476" t="s">
        <v>2338</v>
      </c>
      <c r="B461" s="477">
        <v>65413872</v>
      </c>
      <c r="C461" s="212" t="s">
        <v>2571</v>
      </c>
      <c r="D461" s="478">
        <v>456</v>
      </c>
      <c r="E461" s="478">
        <v>20217000017663</v>
      </c>
      <c r="F461" s="479">
        <v>44281</v>
      </c>
      <c r="G461" s="478" t="s">
        <v>2572</v>
      </c>
      <c r="H461" s="212" t="s">
        <v>2573</v>
      </c>
      <c r="I461" s="212" t="s">
        <v>164</v>
      </c>
      <c r="J461" s="475">
        <v>43609248</v>
      </c>
      <c r="K461" s="212" t="s">
        <v>138</v>
      </c>
      <c r="L461" s="212" t="s">
        <v>139</v>
      </c>
      <c r="M461" s="212" t="s">
        <v>44</v>
      </c>
      <c r="N461" s="212" t="s">
        <v>45</v>
      </c>
      <c r="O461" s="212" t="s">
        <v>142</v>
      </c>
      <c r="P461" s="212" t="s">
        <v>43</v>
      </c>
      <c r="R461" s="486">
        <v>495</v>
      </c>
      <c r="S461" s="490">
        <v>44281</v>
      </c>
      <c r="T461" s="486" t="s">
        <v>4021</v>
      </c>
      <c r="U461" s="475">
        <v>43609248</v>
      </c>
      <c r="V461" s="406"/>
      <c r="W461" s="362"/>
      <c r="X461" s="483" t="s">
        <v>4022</v>
      </c>
      <c r="Y461" s="484">
        <v>44299</v>
      </c>
      <c r="Z461" s="484">
        <v>44299</v>
      </c>
      <c r="AA461" s="484">
        <v>44482</v>
      </c>
      <c r="AB461" s="485" t="s">
        <v>2575</v>
      </c>
      <c r="AC461" s="483" t="s">
        <v>3843</v>
      </c>
      <c r="AD461" s="485" t="s">
        <v>4023</v>
      </c>
      <c r="AE461" s="486" t="s">
        <v>2626</v>
      </c>
      <c r="AF461" s="473">
        <v>43609248</v>
      </c>
      <c r="AG461" s="474">
        <f t="shared" si="7"/>
        <v>0</v>
      </c>
      <c r="AL461" s="475">
        <v>4360925</v>
      </c>
      <c r="AM461" s="306">
        <v>7268208</v>
      </c>
    </row>
    <row r="462" spans="1:39" hidden="1" x14ac:dyDescent="0.25">
      <c r="A462" s="476" t="s">
        <v>1992</v>
      </c>
      <c r="B462" s="477">
        <v>73590606</v>
      </c>
      <c r="C462" s="212" t="s">
        <v>2571</v>
      </c>
      <c r="D462" s="478">
        <v>457</v>
      </c>
      <c r="E462" s="478">
        <v>20217000017723</v>
      </c>
      <c r="F462" s="479">
        <v>44281</v>
      </c>
      <c r="G462" s="478" t="s">
        <v>2572</v>
      </c>
      <c r="H462" s="212" t="s">
        <v>2573</v>
      </c>
      <c r="I462" s="212" t="s">
        <v>164</v>
      </c>
      <c r="J462" s="475">
        <v>65413872</v>
      </c>
      <c r="K462" s="212" t="s">
        <v>138</v>
      </c>
      <c r="L462" s="212" t="s">
        <v>139</v>
      </c>
      <c r="M462" s="212" t="s">
        <v>44</v>
      </c>
      <c r="N462" s="212" t="s">
        <v>45</v>
      </c>
      <c r="O462" s="212" t="s">
        <v>142</v>
      </c>
      <c r="P462" s="212" t="s">
        <v>43</v>
      </c>
      <c r="R462" s="486">
        <v>497</v>
      </c>
      <c r="S462" s="490">
        <v>44281</v>
      </c>
      <c r="T462" s="486" t="s">
        <v>4024</v>
      </c>
      <c r="U462" s="475">
        <v>65413872</v>
      </c>
      <c r="V462" s="406"/>
      <c r="W462" s="362"/>
      <c r="X462" s="211" t="s">
        <v>4025</v>
      </c>
      <c r="Y462" s="472">
        <v>44301</v>
      </c>
      <c r="Z462" s="472">
        <v>44301</v>
      </c>
      <c r="AA462" s="472">
        <v>44545</v>
      </c>
      <c r="AB462" s="2" t="s">
        <v>2575</v>
      </c>
      <c r="AC462" s="211" t="s">
        <v>3444</v>
      </c>
      <c r="AD462" s="2" t="s">
        <v>4026</v>
      </c>
      <c r="AE462" s="212" t="s">
        <v>4027</v>
      </c>
      <c r="AF462" s="473">
        <v>65413872</v>
      </c>
      <c r="AG462" s="474">
        <f t="shared" si="7"/>
        <v>0</v>
      </c>
      <c r="AL462" s="475">
        <v>4360925</v>
      </c>
      <c r="AM462" s="306">
        <v>8176734</v>
      </c>
    </row>
    <row r="463" spans="1:39" hidden="1" x14ac:dyDescent="0.25">
      <c r="A463" s="476" t="s">
        <v>4028</v>
      </c>
      <c r="B463" s="477">
        <v>44000000</v>
      </c>
      <c r="C463" s="212" t="s">
        <v>2571</v>
      </c>
      <c r="D463" s="478">
        <v>458</v>
      </c>
      <c r="E463" s="478">
        <v>20211200017713</v>
      </c>
      <c r="F463" s="479">
        <v>44281</v>
      </c>
      <c r="G463" s="309" t="s">
        <v>2572</v>
      </c>
      <c r="H463" s="210" t="s">
        <v>2573</v>
      </c>
      <c r="I463" s="212" t="s">
        <v>143</v>
      </c>
      <c r="J463" s="407">
        <v>27500000</v>
      </c>
      <c r="K463" s="210" t="s">
        <v>138</v>
      </c>
      <c r="L463" s="210" t="s">
        <v>139</v>
      </c>
      <c r="M463" s="210" t="s">
        <v>44</v>
      </c>
      <c r="N463" s="210" t="s">
        <v>45</v>
      </c>
      <c r="O463" s="210" t="s">
        <v>142</v>
      </c>
      <c r="P463" s="210" t="s">
        <v>43</v>
      </c>
      <c r="R463" s="486">
        <v>496</v>
      </c>
      <c r="S463" s="490">
        <v>44281</v>
      </c>
      <c r="T463" s="486" t="s">
        <v>4029</v>
      </c>
      <c r="U463" s="475">
        <v>27500000</v>
      </c>
      <c r="V463" s="406"/>
      <c r="W463" s="362"/>
      <c r="AG463" s="474">
        <f t="shared" si="7"/>
        <v>27500000</v>
      </c>
      <c r="AM463" s="212"/>
    </row>
    <row r="464" spans="1:39" hidden="1" x14ac:dyDescent="0.25">
      <c r="A464" s="476" t="s">
        <v>1993</v>
      </c>
      <c r="B464" s="477">
        <v>57000000</v>
      </c>
      <c r="C464" s="212" t="s">
        <v>2571</v>
      </c>
      <c r="D464" s="478">
        <v>459</v>
      </c>
      <c r="E464" s="478">
        <v>20217000017773</v>
      </c>
      <c r="F464" s="479">
        <v>44281</v>
      </c>
      <c r="G464" s="478" t="s">
        <v>2572</v>
      </c>
      <c r="H464" s="212" t="s">
        <v>2573</v>
      </c>
      <c r="I464" s="212" t="s">
        <v>164</v>
      </c>
      <c r="J464" s="475">
        <v>54511560</v>
      </c>
      <c r="K464" s="212" t="s">
        <v>138</v>
      </c>
      <c r="L464" s="212" t="s">
        <v>139</v>
      </c>
      <c r="M464" s="212" t="s">
        <v>44</v>
      </c>
      <c r="N464" s="212" t="s">
        <v>45</v>
      </c>
      <c r="O464" s="212" t="s">
        <v>142</v>
      </c>
      <c r="P464" s="212" t="s">
        <v>43</v>
      </c>
      <c r="R464" s="486">
        <v>499</v>
      </c>
      <c r="S464" s="490">
        <v>44281</v>
      </c>
      <c r="T464" s="486" t="s">
        <v>4030</v>
      </c>
      <c r="U464" s="475">
        <v>54511560</v>
      </c>
      <c r="V464" s="406"/>
      <c r="W464" s="362"/>
      <c r="X464" s="483" t="s">
        <v>4031</v>
      </c>
      <c r="Y464" s="484">
        <v>44298</v>
      </c>
      <c r="Z464" s="484">
        <v>44298</v>
      </c>
      <c r="AA464" s="484">
        <v>44542</v>
      </c>
      <c r="AB464" s="485" t="s">
        <v>2575</v>
      </c>
      <c r="AC464" s="483" t="s">
        <v>4032</v>
      </c>
      <c r="AD464" s="485" t="s">
        <v>4033</v>
      </c>
      <c r="AE464" s="486" t="s">
        <v>4034</v>
      </c>
      <c r="AF464" s="473">
        <v>54511560</v>
      </c>
      <c r="AG464" s="474">
        <f t="shared" si="7"/>
        <v>0</v>
      </c>
      <c r="AL464" s="475">
        <v>4088367</v>
      </c>
      <c r="AM464" s="306">
        <v>6813945</v>
      </c>
    </row>
    <row r="465" spans="1:39" hidden="1" x14ac:dyDescent="0.25">
      <c r="B465" s="477" t="s">
        <v>2608</v>
      </c>
      <c r="C465" s="212" t="s">
        <v>4035</v>
      </c>
      <c r="D465" s="478">
        <v>460</v>
      </c>
      <c r="E465" s="478">
        <v>20217000017643</v>
      </c>
      <c r="F465" s="479">
        <v>44281</v>
      </c>
      <c r="G465" s="478" t="s">
        <v>2572</v>
      </c>
      <c r="H465" s="212" t="s">
        <v>2573</v>
      </c>
      <c r="I465" s="212" t="s">
        <v>164</v>
      </c>
      <c r="J465" s="475">
        <v>9875283</v>
      </c>
      <c r="K465" s="212" t="s">
        <v>138</v>
      </c>
      <c r="L465" s="212" t="s">
        <v>139</v>
      </c>
      <c r="M465" s="212" t="s">
        <v>44</v>
      </c>
      <c r="N465" s="212" t="s">
        <v>45</v>
      </c>
      <c r="O465" s="212" t="s">
        <v>142</v>
      </c>
      <c r="P465" s="212" t="s">
        <v>43</v>
      </c>
      <c r="R465" s="486">
        <v>498</v>
      </c>
      <c r="S465" s="490">
        <v>44281</v>
      </c>
      <c r="T465" s="486" t="s">
        <v>4036</v>
      </c>
      <c r="U465" s="475">
        <v>9875283</v>
      </c>
      <c r="V465" s="406"/>
      <c r="W465" s="362"/>
      <c r="X465" s="483" t="s">
        <v>4037</v>
      </c>
      <c r="Y465" s="484">
        <v>44292</v>
      </c>
      <c r="Z465" s="484">
        <v>44292</v>
      </c>
      <c r="AA465" s="484">
        <v>44367</v>
      </c>
      <c r="AB465" s="485" t="s">
        <v>2575</v>
      </c>
      <c r="AC465" s="483" t="s">
        <v>4038</v>
      </c>
      <c r="AD465" s="485" t="s">
        <v>4039</v>
      </c>
      <c r="AE465" s="486" t="s">
        <v>4040</v>
      </c>
      <c r="AF465" s="473">
        <v>9875283</v>
      </c>
      <c r="AG465" s="474">
        <f t="shared" si="7"/>
        <v>0</v>
      </c>
      <c r="AL465" s="475">
        <v>3291760</v>
      </c>
      <c r="AM465" s="306">
        <v>3950113</v>
      </c>
    </row>
    <row r="466" spans="1:39" hidden="1" x14ac:dyDescent="0.25">
      <c r="A466" s="476" t="s">
        <v>2130</v>
      </c>
      <c r="B466" s="477">
        <v>60000000</v>
      </c>
      <c r="C466" s="212" t="s">
        <v>2571</v>
      </c>
      <c r="D466" s="478">
        <v>461</v>
      </c>
      <c r="E466" s="478">
        <v>20211200018003</v>
      </c>
      <c r="F466" s="479">
        <v>44284</v>
      </c>
      <c r="G466" s="309" t="s">
        <v>2572</v>
      </c>
      <c r="H466" s="210" t="s">
        <v>2573</v>
      </c>
      <c r="I466" s="212" t="s">
        <v>143</v>
      </c>
      <c r="J466" s="407">
        <v>60000000</v>
      </c>
      <c r="K466" s="210" t="s">
        <v>138</v>
      </c>
      <c r="L466" s="210" t="s">
        <v>139</v>
      </c>
      <c r="M466" s="210" t="s">
        <v>44</v>
      </c>
      <c r="N466" s="210" t="s">
        <v>45</v>
      </c>
      <c r="O466" s="210" t="s">
        <v>142</v>
      </c>
      <c r="P466" s="210" t="s">
        <v>43</v>
      </c>
      <c r="R466" s="500">
        <v>500</v>
      </c>
      <c r="S466" s="523">
        <v>44284</v>
      </c>
      <c r="T466" s="500" t="s">
        <v>4041</v>
      </c>
      <c r="U466" s="475">
        <v>60000000</v>
      </c>
      <c r="V466" s="406"/>
      <c r="W466" s="362"/>
      <c r="X466" s="483" t="s">
        <v>4042</v>
      </c>
      <c r="Y466" s="484">
        <v>44302</v>
      </c>
      <c r="Z466" s="484">
        <v>44302</v>
      </c>
      <c r="AA466" s="484">
        <v>44546</v>
      </c>
      <c r="AB466" s="485" t="s">
        <v>2575</v>
      </c>
      <c r="AC466" s="483" t="s">
        <v>3434</v>
      </c>
      <c r="AD466" s="485" t="s">
        <v>4043</v>
      </c>
      <c r="AE466" s="486" t="s">
        <v>2612</v>
      </c>
      <c r="AF466" s="473">
        <v>60000000</v>
      </c>
      <c r="AG466" s="474">
        <f t="shared" si="7"/>
        <v>0</v>
      </c>
      <c r="AM466" s="306">
        <f>3750000+7500000</f>
        <v>11250000</v>
      </c>
    </row>
    <row r="467" spans="1:39" ht="15.75" hidden="1" x14ac:dyDescent="0.25">
      <c r="C467" s="212" t="s">
        <v>4044</v>
      </c>
      <c r="D467" s="478">
        <v>462</v>
      </c>
      <c r="E467" s="478">
        <v>20214000018033</v>
      </c>
      <c r="F467" s="479">
        <v>44284</v>
      </c>
      <c r="G467" s="478" t="s">
        <v>2605</v>
      </c>
      <c r="H467" s="212" t="s">
        <v>2606</v>
      </c>
      <c r="I467" s="212" t="s">
        <v>47</v>
      </c>
      <c r="J467" s="480">
        <v>6000000</v>
      </c>
      <c r="K467" s="212" t="s">
        <v>37</v>
      </c>
      <c r="L467" s="515" t="s">
        <v>3105</v>
      </c>
      <c r="M467" s="212" t="s">
        <v>44</v>
      </c>
      <c r="N467" s="212" t="s">
        <v>45</v>
      </c>
      <c r="O467" s="212" t="s">
        <v>310</v>
      </c>
      <c r="P467" s="212" t="s">
        <v>43</v>
      </c>
      <c r="R467" s="486">
        <v>501</v>
      </c>
      <c r="S467" s="490">
        <v>44284</v>
      </c>
      <c r="T467" s="486" t="s">
        <v>4045</v>
      </c>
      <c r="U467" s="489">
        <v>6000000</v>
      </c>
      <c r="V467" s="406"/>
      <c r="W467" s="399"/>
      <c r="X467" s="483" t="s">
        <v>4046</v>
      </c>
      <c r="Y467" s="484">
        <v>44292</v>
      </c>
      <c r="Z467" s="484">
        <v>44292</v>
      </c>
      <c r="AA467" s="484">
        <v>44316</v>
      </c>
      <c r="AB467" s="485" t="s">
        <v>3031</v>
      </c>
      <c r="AC467" s="483" t="s">
        <v>4047</v>
      </c>
      <c r="AD467" s="485" t="s">
        <v>3392</v>
      </c>
      <c r="AE467" s="486" t="s">
        <v>3393</v>
      </c>
      <c r="AF467" s="473">
        <v>2129646</v>
      </c>
      <c r="AG467" s="474">
        <f t="shared" si="7"/>
        <v>3870354</v>
      </c>
      <c r="AH467" s="480"/>
      <c r="AI467" s="480"/>
      <c r="AK467" s="475">
        <v>2129646</v>
      </c>
      <c r="AM467" s="212"/>
    </row>
    <row r="468" spans="1:39" hidden="1" x14ac:dyDescent="0.25">
      <c r="B468" s="477" t="s">
        <v>2608</v>
      </c>
      <c r="C468" s="212" t="s">
        <v>4048</v>
      </c>
      <c r="D468" s="478">
        <v>463</v>
      </c>
      <c r="E468" s="478">
        <v>20211400015003</v>
      </c>
      <c r="F468" s="479">
        <v>44285</v>
      </c>
      <c r="G468" s="478" t="s">
        <v>2572</v>
      </c>
      <c r="H468" s="212" t="s">
        <v>2573</v>
      </c>
      <c r="I468" s="212" t="s">
        <v>184</v>
      </c>
      <c r="J468" s="475">
        <v>3950100</v>
      </c>
      <c r="K468" s="212" t="s">
        <v>138</v>
      </c>
      <c r="L468" s="212" t="s">
        <v>2577</v>
      </c>
      <c r="M468" s="212" t="s">
        <v>44</v>
      </c>
      <c r="N468" s="212" t="s">
        <v>45</v>
      </c>
      <c r="O468" s="212" t="s">
        <v>142</v>
      </c>
      <c r="P468" s="212" t="s">
        <v>43</v>
      </c>
      <c r="R468" s="486">
        <v>502</v>
      </c>
      <c r="S468" s="490">
        <v>44285</v>
      </c>
      <c r="T468" s="486" t="s">
        <v>4049</v>
      </c>
      <c r="U468" s="475">
        <v>3950100</v>
      </c>
      <c r="V468" s="406"/>
      <c r="W468" s="362"/>
      <c r="X468" s="483" t="s">
        <v>3874</v>
      </c>
      <c r="Y468" s="484">
        <v>44285</v>
      </c>
      <c r="Z468" s="484">
        <v>44286</v>
      </c>
      <c r="AA468" s="484">
        <v>44331</v>
      </c>
      <c r="AB468" s="485" t="s">
        <v>2575</v>
      </c>
      <c r="AC468" s="483" t="s">
        <v>4050</v>
      </c>
      <c r="AD468" s="485" t="s">
        <v>4051</v>
      </c>
      <c r="AE468" s="486" t="s">
        <v>4052</v>
      </c>
      <c r="AF468" s="473">
        <v>3950100</v>
      </c>
      <c r="AG468" s="474">
        <f t="shared" si="7"/>
        <v>0</v>
      </c>
      <c r="AL468" s="475">
        <v>2633400</v>
      </c>
      <c r="AM468" s="306">
        <v>1316700</v>
      </c>
    </row>
    <row r="469" spans="1:39" hidden="1" x14ac:dyDescent="0.25">
      <c r="A469" s="476" t="s">
        <v>1960</v>
      </c>
      <c r="B469" s="477">
        <v>33000000</v>
      </c>
      <c r="C469" s="212" t="s">
        <v>2571</v>
      </c>
      <c r="D469" s="478">
        <v>464</v>
      </c>
      <c r="E469" s="478">
        <v>20215000018313</v>
      </c>
      <c r="F469" s="479">
        <v>44285</v>
      </c>
      <c r="G469" s="478" t="s">
        <v>2565</v>
      </c>
      <c r="H469" s="212" t="s">
        <v>2566</v>
      </c>
      <c r="I469" s="212" t="s">
        <v>228</v>
      </c>
      <c r="J469" s="480">
        <v>17600000</v>
      </c>
      <c r="K469" s="212" t="s">
        <v>223</v>
      </c>
      <c r="L469" s="212" t="s">
        <v>2683</v>
      </c>
      <c r="M469" s="212" t="s">
        <v>44</v>
      </c>
      <c r="N469" s="212" t="s">
        <v>45</v>
      </c>
      <c r="O469" s="212" t="s">
        <v>63</v>
      </c>
      <c r="P469" s="212" t="s">
        <v>676</v>
      </c>
      <c r="R469" s="486">
        <v>503</v>
      </c>
      <c r="S469" s="490">
        <v>44285</v>
      </c>
      <c r="T469" s="486" t="s">
        <v>4053</v>
      </c>
      <c r="U469" s="475">
        <f>17600000-17600000</f>
        <v>0</v>
      </c>
      <c r="V469" s="406">
        <v>17600000</v>
      </c>
      <c r="W469" s="362" t="s">
        <v>1453</v>
      </c>
      <c r="AG469" s="474">
        <f t="shared" si="7"/>
        <v>0</v>
      </c>
      <c r="AM469" s="212"/>
    </row>
    <row r="470" spans="1:39" hidden="1" x14ac:dyDescent="0.25">
      <c r="A470" s="476" t="s">
        <v>2400</v>
      </c>
      <c r="B470" s="477">
        <v>32400000</v>
      </c>
      <c r="C470" s="212" t="s">
        <v>2571</v>
      </c>
      <c r="D470" s="478">
        <v>465</v>
      </c>
      <c r="E470" s="478">
        <v>20215000018333</v>
      </c>
      <c r="F470" s="479">
        <v>44285</v>
      </c>
      <c r="G470" s="478" t="s">
        <v>2565</v>
      </c>
      <c r="H470" s="212" t="s">
        <v>2566</v>
      </c>
      <c r="I470" s="212" t="s">
        <v>228</v>
      </c>
      <c r="J470" s="480">
        <v>28800000</v>
      </c>
      <c r="K470" s="212" t="s">
        <v>223</v>
      </c>
      <c r="L470" s="212" t="s">
        <v>2683</v>
      </c>
      <c r="M470" s="212" t="s">
        <v>44</v>
      </c>
      <c r="N470" s="212" t="s">
        <v>45</v>
      </c>
      <c r="O470" s="212" t="s">
        <v>63</v>
      </c>
      <c r="P470" s="212" t="s">
        <v>676</v>
      </c>
      <c r="R470" s="486">
        <v>504</v>
      </c>
      <c r="S470" s="490">
        <v>44285</v>
      </c>
      <c r="T470" s="486" t="s">
        <v>4054</v>
      </c>
      <c r="U470" s="475">
        <f>28800000-800000</f>
        <v>28000000</v>
      </c>
      <c r="V470" s="406">
        <v>800000</v>
      </c>
      <c r="W470" s="362" t="s">
        <v>1453</v>
      </c>
      <c r="X470" s="483" t="s">
        <v>4055</v>
      </c>
      <c r="Y470" s="484">
        <v>44321</v>
      </c>
      <c r="Z470" s="484">
        <v>44321</v>
      </c>
      <c r="AA470" s="484">
        <v>44534</v>
      </c>
      <c r="AB470" s="486" t="s">
        <v>2575</v>
      </c>
      <c r="AC470" s="483" t="s">
        <v>3648</v>
      </c>
      <c r="AD470" s="486" t="s">
        <v>4056</v>
      </c>
      <c r="AE470" s="486" t="s">
        <v>4057</v>
      </c>
      <c r="AF470" s="473">
        <v>28000000</v>
      </c>
      <c r="AG470" s="474">
        <f t="shared" si="7"/>
        <v>0</v>
      </c>
      <c r="AM470" s="306">
        <v>3333333</v>
      </c>
    </row>
    <row r="471" spans="1:39" hidden="1" x14ac:dyDescent="0.25">
      <c r="A471" s="476" t="s">
        <v>4058</v>
      </c>
      <c r="B471" s="477">
        <v>325067484</v>
      </c>
      <c r="C471" s="468" t="s">
        <v>4059</v>
      </c>
      <c r="D471" s="469">
        <v>466</v>
      </c>
      <c r="E471" s="469">
        <v>20215000018343</v>
      </c>
      <c r="F471" s="470">
        <v>44285</v>
      </c>
      <c r="G471" s="469" t="s">
        <v>2565</v>
      </c>
      <c r="H471" s="468" t="s">
        <v>2566</v>
      </c>
      <c r="I471" s="468" t="s">
        <v>228</v>
      </c>
      <c r="J471" s="531">
        <v>325067484</v>
      </c>
      <c r="K471" s="468" t="s">
        <v>223</v>
      </c>
      <c r="L471" s="468" t="s">
        <v>224</v>
      </c>
      <c r="M471" s="468" t="s">
        <v>44</v>
      </c>
      <c r="N471" s="468" t="s">
        <v>45</v>
      </c>
      <c r="O471" s="468" t="s">
        <v>63</v>
      </c>
      <c r="P471" s="212" t="s">
        <v>676</v>
      </c>
      <c r="Q471" s="468"/>
      <c r="R471" s="529">
        <v>505</v>
      </c>
      <c r="S471" s="528">
        <v>44285</v>
      </c>
      <c r="T471" s="529" t="s">
        <v>4060</v>
      </c>
      <c r="U471" s="471">
        <v>325067484</v>
      </c>
      <c r="V471" s="414"/>
      <c r="W471" s="379"/>
      <c r="X471" s="483" t="s">
        <v>4061</v>
      </c>
      <c r="Y471" s="484">
        <v>44316</v>
      </c>
      <c r="Z471" s="484">
        <v>44316</v>
      </c>
      <c r="AA471" s="484">
        <v>44561</v>
      </c>
      <c r="AB471" s="485" t="s">
        <v>3967</v>
      </c>
      <c r="AC471" s="483" t="s">
        <v>3284</v>
      </c>
      <c r="AD471" s="485" t="s">
        <v>4062</v>
      </c>
      <c r="AE471" s="486" t="s">
        <v>4063</v>
      </c>
      <c r="AF471" s="473">
        <v>325067484</v>
      </c>
      <c r="AG471" s="474">
        <f t="shared" si="7"/>
        <v>0</v>
      </c>
      <c r="AI471" s="471"/>
      <c r="AJ471" s="471"/>
      <c r="AK471" s="471"/>
      <c r="AL471" s="471">
        <v>27088957</v>
      </c>
      <c r="AM471" s="212"/>
    </row>
    <row r="472" spans="1:39" hidden="1" x14ac:dyDescent="0.25">
      <c r="A472" s="476" t="s">
        <v>1674</v>
      </c>
      <c r="B472" s="477">
        <v>135660000</v>
      </c>
      <c r="C472" s="212" t="s">
        <v>4064</v>
      </c>
      <c r="D472" s="478">
        <v>467</v>
      </c>
      <c r="E472" s="478">
        <v>20215000018353</v>
      </c>
      <c r="F472" s="479">
        <v>44285</v>
      </c>
      <c r="G472" s="478" t="s">
        <v>2565</v>
      </c>
      <c r="H472" s="212" t="s">
        <v>2566</v>
      </c>
      <c r="I472" s="212" t="s">
        <v>228</v>
      </c>
      <c r="J472" s="480">
        <v>135660000</v>
      </c>
      <c r="K472" s="212" t="s">
        <v>223</v>
      </c>
      <c r="L472" s="212" t="s">
        <v>224</v>
      </c>
      <c r="M472" s="212" t="s">
        <v>44</v>
      </c>
      <c r="N472" s="212" t="s">
        <v>45</v>
      </c>
      <c r="O472" s="212" t="s">
        <v>63</v>
      </c>
      <c r="P472" s="212" t="s">
        <v>676</v>
      </c>
      <c r="R472" s="486">
        <v>506</v>
      </c>
      <c r="S472" s="490">
        <v>44285</v>
      </c>
      <c r="T472" s="486" t="s">
        <v>4065</v>
      </c>
      <c r="U472" s="475">
        <v>135660000</v>
      </c>
      <c r="V472" s="406"/>
      <c r="W472" s="362"/>
      <c r="X472" s="308" t="s">
        <v>4066</v>
      </c>
      <c r="Y472" s="472">
        <v>44343</v>
      </c>
      <c r="Z472" s="484">
        <v>44343</v>
      </c>
      <c r="AA472" s="484">
        <v>44526</v>
      </c>
      <c r="AB472" s="484" t="s">
        <v>3967</v>
      </c>
      <c r="AC472" s="484" t="s">
        <v>4031</v>
      </c>
      <c r="AD472" s="532" t="s">
        <v>4067</v>
      </c>
      <c r="AE472" s="532" t="s">
        <v>4068</v>
      </c>
      <c r="AF472" s="473">
        <v>135660000</v>
      </c>
      <c r="AG472" s="474">
        <f t="shared" si="7"/>
        <v>0</v>
      </c>
      <c r="AM472" s="212"/>
    </row>
    <row r="473" spans="1:39" s="312" customFormat="1" ht="15.75" hidden="1" x14ac:dyDescent="0.25">
      <c r="A473" s="361" t="s">
        <v>4069</v>
      </c>
      <c r="B473" s="417">
        <v>59000000</v>
      </c>
      <c r="C473" s="533" t="s">
        <v>4070</v>
      </c>
      <c r="D473" s="381">
        <v>468</v>
      </c>
      <c r="E473" s="381">
        <v>20215000018393</v>
      </c>
      <c r="F473" s="382">
        <v>44285</v>
      </c>
      <c r="G473" s="381" t="s">
        <v>2565</v>
      </c>
      <c r="H473" s="364" t="s">
        <v>2566</v>
      </c>
      <c r="I473" s="364" t="s">
        <v>228</v>
      </c>
      <c r="J473" s="414">
        <v>59000000</v>
      </c>
      <c r="K473" s="364" t="s">
        <v>223</v>
      </c>
      <c r="L473" s="364" t="s">
        <v>257</v>
      </c>
      <c r="M473" s="364" t="s">
        <v>44</v>
      </c>
      <c r="N473" s="364" t="s">
        <v>45</v>
      </c>
      <c r="O473" s="364" t="s">
        <v>46</v>
      </c>
      <c r="P473" s="364" t="s">
        <v>676</v>
      </c>
      <c r="Q473" s="364"/>
      <c r="R473" s="384">
        <v>507</v>
      </c>
      <c r="S473" s="383">
        <v>44285</v>
      </c>
      <c r="T473" s="384" t="s">
        <v>4071</v>
      </c>
      <c r="U473" s="408">
        <f>59000000-59000000</f>
        <v>0</v>
      </c>
      <c r="V473" s="414">
        <v>59000000</v>
      </c>
      <c r="W473" s="379" t="s">
        <v>1453</v>
      </c>
      <c r="X473" s="314"/>
      <c r="Y473" s="358"/>
      <c r="Z473" s="358"/>
      <c r="AA473" s="358"/>
      <c r="AB473" s="317"/>
      <c r="AC473" s="316"/>
      <c r="AD473" s="317"/>
      <c r="AF473" s="410"/>
      <c r="AG473" s="318">
        <f t="shared" si="7"/>
        <v>0</v>
      </c>
      <c r="AH473" s="405"/>
      <c r="AI473" s="408"/>
      <c r="AJ473" s="408"/>
      <c r="AK473" s="408"/>
      <c r="AL473" s="408"/>
      <c r="AM473" s="212"/>
    </row>
    <row r="474" spans="1:39" ht="15.75" hidden="1" x14ac:dyDescent="0.25">
      <c r="B474" s="467" t="s">
        <v>2608</v>
      </c>
      <c r="C474" s="534" t="s">
        <v>4072</v>
      </c>
      <c r="D474" s="469">
        <v>469</v>
      </c>
      <c r="E474" s="469">
        <v>20211300018303</v>
      </c>
      <c r="F474" s="470">
        <v>44285</v>
      </c>
      <c r="G474" s="469" t="s">
        <v>2572</v>
      </c>
      <c r="H474" s="468" t="s">
        <v>2573</v>
      </c>
      <c r="I474" s="468" t="s">
        <v>210</v>
      </c>
      <c r="J474" s="531">
        <v>11411438</v>
      </c>
      <c r="K474" s="468" t="s">
        <v>138</v>
      </c>
      <c r="L474" s="468" t="s">
        <v>139</v>
      </c>
      <c r="M474" s="468" t="s">
        <v>44</v>
      </c>
      <c r="N474" s="468" t="s">
        <v>45</v>
      </c>
      <c r="O474" s="468" t="s">
        <v>142</v>
      </c>
      <c r="P474" s="468" t="s">
        <v>43</v>
      </c>
      <c r="Q474" s="468"/>
      <c r="R474" s="529">
        <v>508</v>
      </c>
      <c r="S474" s="528">
        <v>44285</v>
      </c>
      <c r="T474" s="529" t="s">
        <v>4073</v>
      </c>
      <c r="U474" s="471">
        <v>11411438</v>
      </c>
      <c r="V474" s="414"/>
      <c r="W474" s="379"/>
      <c r="X474" s="308" t="s">
        <v>4074</v>
      </c>
      <c r="Y474" s="472">
        <v>44295</v>
      </c>
      <c r="Z474" s="472">
        <v>44298</v>
      </c>
      <c r="AA474" s="472">
        <v>44358</v>
      </c>
      <c r="AB474" s="2" t="s">
        <v>2575</v>
      </c>
      <c r="AC474" s="211" t="s">
        <v>4075</v>
      </c>
      <c r="AD474" s="2" t="s">
        <v>4076</v>
      </c>
      <c r="AE474" s="212" t="s">
        <v>4077</v>
      </c>
      <c r="AF474" s="473">
        <v>11411438</v>
      </c>
      <c r="AG474" s="474">
        <f t="shared" si="7"/>
        <v>0</v>
      </c>
      <c r="AI474" s="471"/>
      <c r="AJ474" s="471"/>
      <c r="AK474" s="471"/>
      <c r="AL474" s="471">
        <v>3423431</v>
      </c>
      <c r="AM474" s="306">
        <v>5705719</v>
      </c>
    </row>
    <row r="475" spans="1:39" hidden="1" x14ac:dyDescent="0.25">
      <c r="A475" s="476" t="s">
        <v>2142</v>
      </c>
      <c r="B475" s="477">
        <v>56838880</v>
      </c>
      <c r="C475" s="212" t="s">
        <v>2571</v>
      </c>
      <c r="D475" s="478">
        <v>470</v>
      </c>
      <c r="E475" s="478">
        <v>20211300018483</v>
      </c>
      <c r="F475" s="479">
        <v>44285</v>
      </c>
      <c r="G475" s="478" t="s">
        <v>2572</v>
      </c>
      <c r="H475" s="212" t="s">
        <v>2573</v>
      </c>
      <c r="I475" s="212" t="s">
        <v>210</v>
      </c>
      <c r="J475" s="480">
        <v>32479360</v>
      </c>
      <c r="K475" s="212" t="s">
        <v>138</v>
      </c>
      <c r="L475" s="212" t="s">
        <v>139</v>
      </c>
      <c r="M475" s="212" t="s">
        <v>44</v>
      </c>
      <c r="N475" s="212" t="s">
        <v>45</v>
      </c>
      <c r="O475" s="212" t="s">
        <v>142</v>
      </c>
      <c r="P475" s="212" t="s">
        <v>43</v>
      </c>
      <c r="R475" s="486">
        <v>509</v>
      </c>
      <c r="S475" s="490">
        <v>44285</v>
      </c>
      <c r="T475" s="486" t="s">
        <v>4078</v>
      </c>
      <c r="U475" s="475">
        <v>32479360</v>
      </c>
      <c r="V475" s="406"/>
      <c r="W475" s="362"/>
      <c r="X475" s="483" t="s">
        <v>4079</v>
      </c>
      <c r="Y475" s="484">
        <v>44307</v>
      </c>
      <c r="Z475" s="484">
        <v>44307</v>
      </c>
      <c r="AA475" s="484">
        <v>44428</v>
      </c>
      <c r="AB475" s="485" t="s">
        <v>2575</v>
      </c>
      <c r="AC475" s="483" t="s">
        <v>4080</v>
      </c>
      <c r="AD475" s="485" t="s">
        <v>4081</v>
      </c>
      <c r="AE475" s="486" t="s">
        <v>2744</v>
      </c>
      <c r="AF475" s="473">
        <v>32479360</v>
      </c>
      <c r="AG475" s="474">
        <f t="shared" si="7"/>
        <v>0</v>
      </c>
      <c r="AL475" s="475">
        <v>2706613</v>
      </c>
      <c r="AM475" s="306">
        <v>8119840</v>
      </c>
    </row>
    <row r="476" spans="1:39" hidden="1" x14ac:dyDescent="0.25">
      <c r="A476" s="476" t="s">
        <v>1911</v>
      </c>
      <c r="B476" s="477">
        <v>24530202</v>
      </c>
      <c r="C476" s="212" t="s">
        <v>2571</v>
      </c>
      <c r="D476" s="478">
        <v>471</v>
      </c>
      <c r="E476" s="478">
        <v>20217000018863</v>
      </c>
      <c r="F476" s="479">
        <v>44291</v>
      </c>
      <c r="G476" s="478" t="s">
        <v>2572</v>
      </c>
      <c r="H476" s="212" t="s">
        <v>2573</v>
      </c>
      <c r="I476" s="212" t="s">
        <v>164</v>
      </c>
      <c r="J476" s="475">
        <v>19079046</v>
      </c>
      <c r="K476" s="212" t="s">
        <v>138</v>
      </c>
      <c r="L476" s="212" t="s">
        <v>139</v>
      </c>
      <c r="M476" s="212" t="s">
        <v>44</v>
      </c>
      <c r="N476" s="212" t="s">
        <v>45</v>
      </c>
      <c r="O476" s="212" t="s">
        <v>142</v>
      </c>
      <c r="P476" s="212" t="s">
        <v>43</v>
      </c>
      <c r="R476" s="212">
        <v>511</v>
      </c>
      <c r="S476" s="490">
        <v>44292</v>
      </c>
      <c r="T476" s="486" t="s">
        <v>4082</v>
      </c>
      <c r="U476" s="475">
        <v>19079046</v>
      </c>
      <c r="V476" s="406"/>
      <c r="W476" s="362"/>
      <c r="X476" s="483" t="s">
        <v>4083</v>
      </c>
      <c r="Y476" s="484">
        <v>44305</v>
      </c>
      <c r="Z476" s="484">
        <v>44305</v>
      </c>
      <c r="AA476" s="484">
        <v>44484</v>
      </c>
      <c r="AB476" s="485" t="s">
        <v>2575</v>
      </c>
      <c r="AC476" s="483" t="s">
        <v>3749</v>
      </c>
      <c r="AD476" s="485" t="s">
        <v>4084</v>
      </c>
      <c r="AE476" s="486" t="s">
        <v>4085</v>
      </c>
      <c r="AF476" s="473">
        <v>19048760</v>
      </c>
      <c r="AG476" s="474">
        <f t="shared" si="7"/>
        <v>30286</v>
      </c>
      <c r="AL476" s="475">
        <v>1232567</v>
      </c>
      <c r="AM476" s="306">
        <v>3361546</v>
      </c>
    </row>
    <row r="477" spans="1:39" hidden="1" x14ac:dyDescent="0.25">
      <c r="A477" s="476" t="s">
        <v>2331</v>
      </c>
      <c r="B477" s="477">
        <v>36000000</v>
      </c>
      <c r="C477" s="212" t="s">
        <v>2571</v>
      </c>
      <c r="D477" s="478">
        <v>472</v>
      </c>
      <c r="E477" s="478">
        <v>20217000018963</v>
      </c>
      <c r="F477" s="479">
        <v>44291</v>
      </c>
      <c r="G477" s="478" t="s">
        <v>2572</v>
      </c>
      <c r="H477" s="212" t="s">
        <v>2573</v>
      </c>
      <c r="I477" s="212" t="s">
        <v>164</v>
      </c>
      <c r="J477" s="475">
        <v>24530202</v>
      </c>
      <c r="K477" s="212" t="s">
        <v>138</v>
      </c>
      <c r="L477" s="212" t="s">
        <v>139</v>
      </c>
      <c r="M477" s="212" t="s">
        <v>44</v>
      </c>
      <c r="N477" s="212" t="s">
        <v>45</v>
      </c>
      <c r="O477" s="212" t="s">
        <v>142</v>
      </c>
      <c r="P477" s="212" t="s">
        <v>43</v>
      </c>
      <c r="R477" s="212">
        <v>513</v>
      </c>
      <c r="S477" s="490">
        <v>44292</v>
      </c>
      <c r="T477" s="486" t="s">
        <v>4086</v>
      </c>
      <c r="U477" s="475">
        <v>24530202</v>
      </c>
      <c r="V477" s="406"/>
      <c r="W477" s="362"/>
      <c r="X477" s="483" t="s">
        <v>4087</v>
      </c>
      <c r="Y477" s="484">
        <v>44298</v>
      </c>
      <c r="Z477" s="484">
        <v>44298</v>
      </c>
      <c r="AA477" s="484">
        <v>44481</v>
      </c>
      <c r="AB477" s="485" t="s">
        <v>2575</v>
      </c>
      <c r="AC477" s="483" t="s">
        <v>3707</v>
      </c>
      <c r="AD477" s="485" t="s">
        <v>4088</v>
      </c>
      <c r="AE477" s="486" t="s">
        <v>2734</v>
      </c>
      <c r="AF477" s="473">
        <v>24530202</v>
      </c>
      <c r="AG477" s="474">
        <f t="shared" si="7"/>
        <v>0</v>
      </c>
      <c r="AL477" s="475">
        <v>2453020</v>
      </c>
      <c r="AM477" s="306">
        <v>4088367</v>
      </c>
    </row>
    <row r="478" spans="1:39" hidden="1" x14ac:dyDescent="0.25">
      <c r="A478" s="476" t="s">
        <v>2006</v>
      </c>
      <c r="B478" s="477">
        <v>16000000</v>
      </c>
      <c r="C478" s="212" t="s">
        <v>2571</v>
      </c>
      <c r="D478" s="478">
        <v>473</v>
      </c>
      <c r="E478" s="478">
        <v>20211200018903</v>
      </c>
      <c r="F478" s="479">
        <v>44291</v>
      </c>
      <c r="G478" s="309" t="s">
        <v>2572</v>
      </c>
      <c r="H478" s="210" t="s">
        <v>2573</v>
      </c>
      <c r="I478" s="212" t="s">
        <v>143</v>
      </c>
      <c r="J478" s="407">
        <v>13500000</v>
      </c>
      <c r="K478" s="210" t="s">
        <v>138</v>
      </c>
      <c r="L478" s="210" t="s">
        <v>139</v>
      </c>
      <c r="M478" s="210" t="s">
        <v>44</v>
      </c>
      <c r="N478" s="210" t="s">
        <v>45</v>
      </c>
      <c r="O478" s="210" t="s">
        <v>142</v>
      </c>
      <c r="P478" s="210" t="s">
        <v>43</v>
      </c>
      <c r="R478" s="212">
        <v>512</v>
      </c>
      <c r="S478" s="490">
        <v>44292</v>
      </c>
      <c r="T478" s="486" t="s">
        <v>4089</v>
      </c>
      <c r="U478" s="475">
        <v>13500000</v>
      </c>
      <c r="V478" s="406"/>
      <c r="W478" s="362"/>
      <c r="X478" s="483" t="s">
        <v>4090</v>
      </c>
      <c r="Y478" s="484">
        <v>44299</v>
      </c>
      <c r="Z478" s="484">
        <v>44299</v>
      </c>
      <c r="AA478" s="484">
        <v>44390</v>
      </c>
      <c r="AB478" s="485" t="s">
        <v>2575</v>
      </c>
      <c r="AC478" s="483" t="s">
        <v>3815</v>
      </c>
      <c r="AD478" s="485" t="s">
        <v>4091</v>
      </c>
      <c r="AE478" s="486" t="s">
        <v>3260</v>
      </c>
      <c r="AF478" s="473">
        <v>13500000</v>
      </c>
      <c r="AG478" s="474">
        <f t="shared" si="7"/>
        <v>0</v>
      </c>
      <c r="AL478" s="475">
        <v>2700000</v>
      </c>
      <c r="AM478" s="306">
        <v>4500000</v>
      </c>
    </row>
    <row r="479" spans="1:39" hidden="1" x14ac:dyDescent="0.25">
      <c r="A479" s="476" t="s">
        <v>2381</v>
      </c>
      <c r="B479" s="477">
        <v>43056000</v>
      </c>
      <c r="C479" s="212" t="s">
        <v>2571</v>
      </c>
      <c r="D479" s="478">
        <v>474</v>
      </c>
      <c r="E479" s="478">
        <v>20211400015013</v>
      </c>
      <c r="F479" s="479">
        <v>44291</v>
      </c>
      <c r="G479" s="478" t="s">
        <v>2572</v>
      </c>
      <c r="H479" s="212" t="s">
        <v>2573</v>
      </c>
      <c r="I479" s="212" t="s">
        <v>184</v>
      </c>
      <c r="J479" s="475">
        <v>43056000</v>
      </c>
      <c r="K479" s="212" t="s">
        <v>138</v>
      </c>
      <c r="L479" s="212" t="s">
        <v>2577</v>
      </c>
      <c r="M479" s="212" t="s">
        <v>44</v>
      </c>
      <c r="N479" s="212" t="s">
        <v>45</v>
      </c>
      <c r="O479" s="212" t="s">
        <v>142</v>
      </c>
      <c r="P479" s="212" t="s">
        <v>43</v>
      </c>
      <c r="R479" s="212">
        <v>510</v>
      </c>
      <c r="S479" s="490">
        <v>44292</v>
      </c>
      <c r="T479" s="486" t="s">
        <v>4092</v>
      </c>
      <c r="U479" s="475">
        <v>43056000</v>
      </c>
      <c r="V479" s="406"/>
      <c r="W479" s="362"/>
      <c r="X479" s="483" t="s">
        <v>4093</v>
      </c>
      <c r="Y479" s="484">
        <v>44305</v>
      </c>
      <c r="Z479" s="484">
        <v>44305</v>
      </c>
      <c r="AA479" s="484">
        <v>44548</v>
      </c>
      <c r="AB479" s="485" t="s">
        <v>2575</v>
      </c>
      <c r="AC479" s="483" t="s">
        <v>3251</v>
      </c>
      <c r="AD479" s="485" t="s">
        <v>4094</v>
      </c>
      <c r="AE479" s="486" t="s">
        <v>4095</v>
      </c>
      <c r="AF479" s="473">
        <v>43056000</v>
      </c>
      <c r="AG479" s="474">
        <f t="shared" si="7"/>
        <v>0</v>
      </c>
      <c r="AL479" s="475">
        <v>2152800</v>
      </c>
      <c r="AM479" s="306">
        <v>5382000</v>
      </c>
    </row>
    <row r="480" spans="1:39" hidden="1" x14ac:dyDescent="0.25">
      <c r="A480" s="476" t="s">
        <v>2222</v>
      </c>
      <c r="B480" s="477">
        <v>32500000</v>
      </c>
      <c r="C480" s="212" t="s">
        <v>2571</v>
      </c>
      <c r="D480" s="478">
        <v>475</v>
      </c>
      <c r="E480" s="478">
        <v>20211100019133</v>
      </c>
      <c r="F480" s="479">
        <v>44291</v>
      </c>
      <c r="G480" s="309" t="s">
        <v>2572</v>
      </c>
      <c r="H480" s="210" t="s">
        <v>2573</v>
      </c>
      <c r="I480" s="210" t="s">
        <v>206</v>
      </c>
      <c r="J480" s="407">
        <v>32500000</v>
      </c>
      <c r="K480" s="210" t="s">
        <v>138</v>
      </c>
      <c r="L480" s="210" t="s">
        <v>139</v>
      </c>
      <c r="M480" s="210" t="s">
        <v>44</v>
      </c>
      <c r="N480" s="210" t="s">
        <v>45</v>
      </c>
      <c r="O480" s="210" t="s">
        <v>142</v>
      </c>
      <c r="P480" s="210" t="s">
        <v>43</v>
      </c>
      <c r="Q480" s="210"/>
      <c r="R480" s="212">
        <v>514</v>
      </c>
      <c r="S480" s="490">
        <v>44292</v>
      </c>
      <c r="T480" s="486" t="s">
        <v>4096</v>
      </c>
      <c r="U480" s="475">
        <v>32500000</v>
      </c>
      <c r="V480" s="406"/>
      <c r="W480" s="362"/>
      <c r="X480" s="483" t="s">
        <v>4097</v>
      </c>
      <c r="Y480" s="484">
        <v>44298</v>
      </c>
      <c r="Z480" s="484">
        <v>44298</v>
      </c>
      <c r="AA480" s="484">
        <v>44451</v>
      </c>
      <c r="AB480" s="485" t="s">
        <v>2575</v>
      </c>
      <c r="AC480" s="483" t="s">
        <v>3667</v>
      </c>
      <c r="AD480" s="485" t="s">
        <v>4098</v>
      </c>
      <c r="AE480" s="486" t="s">
        <v>4099</v>
      </c>
      <c r="AF480" s="473">
        <v>32500000</v>
      </c>
      <c r="AG480" s="474">
        <f t="shared" si="7"/>
        <v>0</v>
      </c>
      <c r="AL480" s="475">
        <v>4116667</v>
      </c>
      <c r="AM480" s="306">
        <v>6500000</v>
      </c>
    </row>
    <row r="481" spans="1:39" hidden="1" x14ac:dyDescent="0.25">
      <c r="A481" s="476" t="s">
        <v>1937</v>
      </c>
      <c r="B481" s="477">
        <v>24530202</v>
      </c>
      <c r="C481" s="212" t="s">
        <v>2571</v>
      </c>
      <c r="D481" s="478">
        <v>476</v>
      </c>
      <c r="E481" s="478">
        <v>20217000019673</v>
      </c>
      <c r="F481" s="479">
        <v>44294</v>
      </c>
      <c r="G481" s="309" t="s">
        <v>2572</v>
      </c>
      <c r="H481" s="210" t="s">
        <v>2573</v>
      </c>
      <c r="I481" s="212" t="s">
        <v>164</v>
      </c>
      <c r="J481" s="475">
        <v>10902312</v>
      </c>
      <c r="K481" s="210" t="s">
        <v>138</v>
      </c>
      <c r="L481" s="210" t="s">
        <v>139</v>
      </c>
      <c r="M481" s="210" t="s">
        <v>44</v>
      </c>
      <c r="N481" s="210" t="s">
        <v>45</v>
      </c>
      <c r="O481" s="210" t="s">
        <v>142</v>
      </c>
      <c r="P481" s="210" t="s">
        <v>43</v>
      </c>
      <c r="R481" s="212">
        <v>521</v>
      </c>
      <c r="S481" s="490">
        <v>44294</v>
      </c>
      <c r="T481" s="486" t="s">
        <v>4100</v>
      </c>
      <c r="U481" s="475">
        <v>10902312</v>
      </c>
      <c r="V481" s="406"/>
      <c r="W481" s="362"/>
      <c r="X481" s="483" t="s">
        <v>3992</v>
      </c>
      <c r="Y481" s="484">
        <v>44316</v>
      </c>
      <c r="Z481" s="484">
        <v>44316</v>
      </c>
      <c r="AA481" s="484">
        <v>44437</v>
      </c>
      <c r="AB481" s="485" t="s">
        <v>2575</v>
      </c>
      <c r="AC481" s="483" t="s">
        <v>3359</v>
      </c>
      <c r="AD481" s="485" t="s">
        <v>4101</v>
      </c>
      <c r="AE481" s="486" t="s">
        <v>4102</v>
      </c>
      <c r="AF481" s="473">
        <v>10902312</v>
      </c>
      <c r="AG481" s="474">
        <f t="shared" ref="AG481:AG544" si="8">+U481-AF481</f>
        <v>0</v>
      </c>
      <c r="AM481" s="306">
        <v>2543872</v>
      </c>
    </row>
    <row r="482" spans="1:39" hidden="1" x14ac:dyDescent="0.25">
      <c r="A482" s="476" t="s">
        <v>2306</v>
      </c>
      <c r="B482" s="477">
        <v>65413872</v>
      </c>
      <c r="C482" s="212" t="s">
        <v>2571</v>
      </c>
      <c r="D482" s="478">
        <v>477</v>
      </c>
      <c r="E482" s="478">
        <v>20217000019653</v>
      </c>
      <c r="F482" s="479">
        <v>44294</v>
      </c>
      <c r="G482" s="309" t="s">
        <v>2572</v>
      </c>
      <c r="H482" s="210" t="s">
        <v>2573</v>
      </c>
      <c r="I482" s="212" t="s">
        <v>164</v>
      </c>
      <c r="J482" s="475">
        <v>29072832</v>
      </c>
      <c r="K482" s="210" t="s">
        <v>138</v>
      </c>
      <c r="L482" s="210" t="s">
        <v>139</v>
      </c>
      <c r="M482" s="210" t="s">
        <v>44</v>
      </c>
      <c r="N482" s="210" t="s">
        <v>45</v>
      </c>
      <c r="O482" s="210" t="s">
        <v>142</v>
      </c>
      <c r="P482" s="210" t="s">
        <v>43</v>
      </c>
      <c r="R482" s="212">
        <v>520</v>
      </c>
      <c r="S482" s="490">
        <v>44294</v>
      </c>
      <c r="T482" s="486" t="s">
        <v>4103</v>
      </c>
      <c r="U482" s="475">
        <v>29072832</v>
      </c>
      <c r="V482" s="406"/>
      <c r="W482" s="362"/>
      <c r="X482" s="211" t="s">
        <v>4104</v>
      </c>
      <c r="Y482" s="472">
        <v>44301</v>
      </c>
      <c r="Z482" s="472">
        <v>44301</v>
      </c>
      <c r="AA482" s="472">
        <v>44423</v>
      </c>
      <c r="AB482" s="2" t="s">
        <v>2575</v>
      </c>
      <c r="AC482" s="211" t="s">
        <v>3078</v>
      </c>
      <c r="AD482" s="2" t="s">
        <v>4105</v>
      </c>
      <c r="AE482" s="212" t="s">
        <v>4106</v>
      </c>
      <c r="AF482" s="473">
        <v>29072832</v>
      </c>
      <c r="AG482" s="474">
        <f t="shared" si="8"/>
        <v>0</v>
      </c>
      <c r="AL482" s="475">
        <v>3876378</v>
      </c>
      <c r="AM482" s="306">
        <v>7268208</v>
      </c>
    </row>
    <row r="483" spans="1:39" hidden="1" x14ac:dyDescent="0.25">
      <c r="A483" s="476" t="s">
        <v>1865</v>
      </c>
      <c r="B483" s="477">
        <v>46512000</v>
      </c>
      <c r="C483" s="212" t="s">
        <v>2571</v>
      </c>
      <c r="D483" s="478">
        <v>478</v>
      </c>
      <c r="E483" s="478">
        <v>20212000019393</v>
      </c>
      <c r="F483" s="479">
        <v>44294</v>
      </c>
      <c r="G483" s="478" t="s">
        <v>2565</v>
      </c>
      <c r="H483" s="212" t="s">
        <v>2566</v>
      </c>
      <c r="I483" s="212" t="s">
        <v>391</v>
      </c>
      <c r="J483" s="475">
        <v>41616000</v>
      </c>
      <c r="K483" s="210" t="s">
        <v>2636</v>
      </c>
      <c r="L483" s="212" t="s">
        <v>2637</v>
      </c>
      <c r="M483" s="210" t="s">
        <v>44</v>
      </c>
      <c r="N483" s="210" t="s">
        <v>45</v>
      </c>
      <c r="O483" s="212" t="s">
        <v>63</v>
      </c>
      <c r="P483" s="212" t="s">
        <v>676</v>
      </c>
      <c r="R483" s="212">
        <v>515</v>
      </c>
      <c r="S483" s="490">
        <v>44294</v>
      </c>
      <c r="T483" s="486" t="s">
        <v>4107</v>
      </c>
      <c r="U483" s="475">
        <v>41616000</v>
      </c>
      <c r="V483" s="406"/>
      <c r="W483" s="362"/>
      <c r="X483" s="483" t="s">
        <v>4108</v>
      </c>
      <c r="Y483" s="484">
        <v>44323</v>
      </c>
      <c r="Z483" s="484">
        <v>44323</v>
      </c>
      <c r="AA483" s="484">
        <v>44561</v>
      </c>
      <c r="AB483" s="486" t="s">
        <v>2575</v>
      </c>
      <c r="AC483" s="483" t="s">
        <v>3693</v>
      </c>
      <c r="AD483" s="486" t="s">
        <v>4109</v>
      </c>
      <c r="AE483" s="486" t="s">
        <v>4110</v>
      </c>
      <c r="AF483" s="473">
        <v>36720000</v>
      </c>
      <c r="AG483" s="474">
        <f t="shared" si="8"/>
        <v>4896000</v>
      </c>
      <c r="AM483" s="306">
        <v>3264000</v>
      </c>
    </row>
    <row r="484" spans="1:39" hidden="1" x14ac:dyDescent="0.25">
      <c r="A484" s="476" t="s">
        <v>1866</v>
      </c>
      <c r="B484" s="467">
        <v>38275500</v>
      </c>
      <c r="C484" s="212" t="s">
        <v>2571</v>
      </c>
      <c r="D484" s="469">
        <v>479</v>
      </c>
      <c r="E484" s="469">
        <v>20212000019403</v>
      </c>
      <c r="F484" s="470">
        <v>44294</v>
      </c>
      <c r="G484" s="469" t="s">
        <v>2565</v>
      </c>
      <c r="H484" s="468" t="s">
        <v>2566</v>
      </c>
      <c r="I484" s="468" t="s">
        <v>391</v>
      </c>
      <c r="J484" s="471">
        <v>34246500</v>
      </c>
      <c r="K484" s="377" t="s">
        <v>2636</v>
      </c>
      <c r="L484" s="468" t="s">
        <v>2637</v>
      </c>
      <c r="M484" s="377" t="s">
        <v>44</v>
      </c>
      <c r="N484" s="377" t="s">
        <v>45</v>
      </c>
      <c r="O484" s="468" t="s">
        <v>63</v>
      </c>
      <c r="P484" s="212" t="s">
        <v>676</v>
      </c>
      <c r="Q484" s="468"/>
      <c r="R484" s="468">
        <v>516</v>
      </c>
      <c r="S484" s="528">
        <v>44294</v>
      </c>
      <c r="T484" s="529" t="s">
        <v>4111</v>
      </c>
      <c r="U484" s="475">
        <v>34246500</v>
      </c>
      <c r="V484" s="414"/>
      <c r="W484" s="379"/>
      <c r="X484" s="483" t="s">
        <v>4112</v>
      </c>
      <c r="Y484" s="484">
        <v>44308</v>
      </c>
      <c r="Z484" s="484">
        <v>44308</v>
      </c>
      <c r="AA484" s="484">
        <v>44551</v>
      </c>
      <c r="AB484" s="485" t="s">
        <v>2575</v>
      </c>
      <c r="AC484" s="483" t="s">
        <v>3881</v>
      </c>
      <c r="AD484" s="485" t="s">
        <v>4113</v>
      </c>
      <c r="AE484" s="486" t="s">
        <v>4114</v>
      </c>
      <c r="AF484" s="473">
        <v>32232000</v>
      </c>
      <c r="AG484" s="474">
        <f t="shared" si="8"/>
        <v>2014500</v>
      </c>
      <c r="AI484" s="471"/>
      <c r="AJ484" s="471"/>
      <c r="AK484" s="471"/>
      <c r="AL484" s="471"/>
      <c r="AM484" s="306">
        <v>5103400</v>
      </c>
    </row>
    <row r="485" spans="1:39" hidden="1" x14ac:dyDescent="0.25">
      <c r="A485" s="476" t="s">
        <v>1874</v>
      </c>
      <c r="B485" s="477">
        <v>34850000</v>
      </c>
      <c r="C485" s="212" t="s">
        <v>2571</v>
      </c>
      <c r="D485" s="478">
        <v>480</v>
      </c>
      <c r="E485" s="478">
        <v>20212000019423</v>
      </c>
      <c r="F485" s="479">
        <v>44294</v>
      </c>
      <c r="G485" s="478" t="s">
        <v>2565</v>
      </c>
      <c r="H485" s="212" t="s">
        <v>2566</v>
      </c>
      <c r="I485" s="212" t="s">
        <v>391</v>
      </c>
      <c r="J485" s="475">
        <v>16400000</v>
      </c>
      <c r="K485" s="210" t="s">
        <v>2636</v>
      </c>
      <c r="L485" s="212" t="s">
        <v>2637</v>
      </c>
      <c r="M485" s="210" t="s">
        <v>44</v>
      </c>
      <c r="N485" s="210" t="s">
        <v>45</v>
      </c>
      <c r="O485" s="212" t="s">
        <v>63</v>
      </c>
      <c r="P485" s="212" t="s">
        <v>676</v>
      </c>
      <c r="R485" s="212">
        <v>517</v>
      </c>
      <c r="S485" s="490">
        <v>44294</v>
      </c>
      <c r="T485" s="486" t="s">
        <v>4115</v>
      </c>
      <c r="U485" s="475">
        <v>16400000</v>
      </c>
      <c r="V485" s="406"/>
      <c r="W485" s="362"/>
      <c r="X485" s="483" t="s">
        <v>4116</v>
      </c>
      <c r="Y485" s="484">
        <v>44307</v>
      </c>
      <c r="Z485" s="484">
        <v>44307</v>
      </c>
      <c r="AA485" s="484">
        <v>44428</v>
      </c>
      <c r="AB485" s="485" t="s">
        <v>2575</v>
      </c>
      <c r="AC485" s="483" t="s">
        <v>3679</v>
      </c>
      <c r="AD485" s="485" t="s">
        <v>4117</v>
      </c>
      <c r="AE485" s="486" t="s">
        <v>4118</v>
      </c>
      <c r="AF485" s="473">
        <v>16400000</v>
      </c>
      <c r="AG485" s="474">
        <f t="shared" si="8"/>
        <v>0</v>
      </c>
      <c r="AL485" s="475">
        <v>1633333</v>
      </c>
      <c r="AM485" s="306">
        <v>3833333</v>
      </c>
    </row>
    <row r="486" spans="1:39" hidden="1" x14ac:dyDescent="0.25">
      <c r="A486" s="476" t="s">
        <v>2013</v>
      </c>
      <c r="B486" s="477">
        <v>34850000</v>
      </c>
      <c r="C486" s="212" t="s">
        <v>2571</v>
      </c>
      <c r="D486" s="478">
        <v>481</v>
      </c>
      <c r="E486" s="478">
        <v>20212000019433</v>
      </c>
      <c r="F486" s="479">
        <v>44294</v>
      </c>
      <c r="G486" s="478" t="s">
        <v>2565</v>
      </c>
      <c r="H486" s="212" t="s">
        <v>2566</v>
      </c>
      <c r="I486" s="212" t="s">
        <v>391</v>
      </c>
      <c r="J486" s="475">
        <v>16400000</v>
      </c>
      <c r="K486" s="210" t="s">
        <v>2636</v>
      </c>
      <c r="L486" s="212" t="s">
        <v>2637</v>
      </c>
      <c r="M486" s="210" t="s">
        <v>44</v>
      </c>
      <c r="N486" s="210" t="s">
        <v>45</v>
      </c>
      <c r="O486" s="212" t="s">
        <v>63</v>
      </c>
      <c r="P486" s="212" t="s">
        <v>676</v>
      </c>
      <c r="R486" s="212">
        <v>518</v>
      </c>
      <c r="S486" s="490">
        <v>44294</v>
      </c>
      <c r="T486" s="486" t="s">
        <v>4119</v>
      </c>
      <c r="U486" s="475">
        <v>16400000</v>
      </c>
      <c r="V486" s="406"/>
      <c r="W486" s="362"/>
      <c r="X486" s="483" t="s">
        <v>4120</v>
      </c>
      <c r="Y486" s="484">
        <v>44341</v>
      </c>
      <c r="Z486" s="484">
        <v>44341</v>
      </c>
      <c r="AA486" s="484">
        <v>44463</v>
      </c>
      <c r="AB486" s="486" t="s">
        <v>2575</v>
      </c>
      <c r="AC486" s="483" t="s">
        <v>3559</v>
      </c>
      <c r="AD486" s="486" t="s">
        <v>4121</v>
      </c>
      <c r="AE486" s="486" t="s">
        <v>4122</v>
      </c>
      <c r="AF486" s="473">
        <v>16400000</v>
      </c>
      <c r="AG486" s="474">
        <f t="shared" si="8"/>
        <v>0</v>
      </c>
      <c r="AM486" s="212"/>
    </row>
    <row r="487" spans="1:39" hidden="1" x14ac:dyDescent="0.25">
      <c r="A487" s="476" t="s">
        <v>2042</v>
      </c>
      <c r="B487" s="467">
        <v>34850000</v>
      </c>
      <c r="C487" s="212" t="s">
        <v>2571</v>
      </c>
      <c r="D487" s="469">
        <v>482</v>
      </c>
      <c r="E487" s="469">
        <v>20212000019443</v>
      </c>
      <c r="F487" s="470">
        <v>44294</v>
      </c>
      <c r="G487" s="469" t="s">
        <v>2565</v>
      </c>
      <c r="H487" s="468" t="s">
        <v>2566</v>
      </c>
      <c r="I487" s="468" t="s">
        <v>391</v>
      </c>
      <c r="J487" s="471">
        <v>16400000</v>
      </c>
      <c r="K487" s="377" t="s">
        <v>2636</v>
      </c>
      <c r="L487" s="468" t="s">
        <v>2637</v>
      </c>
      <c r="M487" s="377" t="s">
        <v>44</v>
      </c>
      <c r="N487" s="377" t="s">
        <v>45</v>
      </c>
      <c r="O487" s="468" t="s">
        <v>63</v>
      </c>
      <c r="P487" s="212" t="s">
        <v>676</v>
      </c>
      <c r="Q487" s="468"/>
      <c r="R487" s="468">
        <v>519</v>
      </c>
      <c r="S487" s="528">
        <v>44294</v>
      </c>
      <c r="T487" s="529" t="s">
        <v>4123</v>
      </c>
      <c r="U487" s="475">
        <v>16400000</v>
      </c>
      <c r="V487" s="414"/>
      <c r="W487" s="379"/>
      <c r="X487" s="483" t="s">
        <v>4124</v>
      </c>
      <c r="Y487" s="484">
        <v>44308</v>
      </c>
      <c r="Z487" s="484">
        <v>44308</v>
      </c>
      <c r="AA487" s="484">
        <v>44429</v>
      </c>
      <c r="AB487" s="485" t="s">
        <v>2575</v>
      </c>
      <c r="AC487" s="483" t="s">
        <v>3275</v>
      </c>
      <c r="AD487" s="485" t="s">
        <v>4125</v>
      </c>
      <c r="AE487" s="486" t="s">
        <v>4126</v>
      </c>
      <c r="AF487" s="473">
        <v>16400000</v>
      </c>
      <c r="AG487" s="474">
        <f t="shared" si="8"/>
        <v>0</v>
      </c>
      <c r="AI487" s="471"/>
      <c r="AJ487" s="471"/>
      <c r="AK487" s="471"/>
      <c r="AL487" s="471">
        <v>1230000</v>
      </c>
      <c r="AM487" s="306">
        <v>4100000</v>
      </c>
    </row>
    <row r="488" spans="1:39" hidden="1" x14ac:dyDescent="0.25">
      <c r="A488" s="476" t="s">
        <v>1763</v>
      </c>
      <c r="B488" s="477">
        <v>20800000</v>
      </c>
      <c r="C488" s="212" t="s">
        <v>2571</v>
      </c>
      <c r="D488" s="478">
        <v>483</v>
      </c>
      <c r="E488" s="478">
        <v>20215000019753</v>
      </c>
      <c r="F488" s="479">
        <v>44295</v>
      </c>
      <c r="G488" s="478" t="s">
        <v>2565</v>
      </c>
      <c r="H488" s="212" t="s">
        <v>2566</v>
      </c>
      <c r="I488" s="210" t="s">
        <v>228</v>
      </c>
      <c r="J488" s="475">
        <v>20800000</v>
      </c>
      <c r="K488" s="212" t="s">
        <v>288</v>
      </c>
      <c r="L488" s="212" t="s">
        <v>2661</v>
      </c>
      <c r="M488" s="212" t="s">
        <v>44</v>
      </c>
      <c r="N488" s="212" t="s">
        <v>45</v>
      </c>
      <c r="O488" s="212" t="s">
        <v>63</v>
      </c>
      <c r="P488" s="212" t="s">
        <v>676</v>
      </c>
      <c r="R488" s="212">
        <v>522</v>
      </c>
      <c r="S488" s="490">
        <v>44295</v>
      </c>
      <c r="T488" s="486" t="s">
        <v>4127</v>
      </c>
      <c r="U488" s="475">
        <f>20800000-8050000</f>
        <v>12750000</v>
      </c>
      <c r="V488" s="406">
        <v>8050000</v>
      </c>
      <c r="W488" s="362" t="s">
        <v>1453</v>
      </c>
      <c r="X488" s="483" t="s">
        <v>4128</v>
      </c>
      <c r="Y488" s="484">
        <v>44320</v>
      </c>
      <c r="Z488" s="484">
        <v>44320</v>
      </c>
      <c r="AA488" s="484">
        <v>44561</v>
      </c>
      <c r="AB488" s="486" t="s">
        <v>2575</v>
      </c>
      <c r="AC488" s="483" t="s">
        <v>3296</v>
      </c>
      <c r="AD488" s="486" t="s">
        <v>4129</v>
      </c>
      <c r="AE488" s="486" t="s">
        <v>4130</v>
      </c>
      <c r="AF488" s="473">
        <v>12750000</v>
      </c>
      <c r="AG488" s="474">
        <f t="shared" si="8"/>
        <v>0</v>
      </c>
      <c r="AM488" s="306">
        <v>1473333</v>
      </c>
    </row>
    <row r="489" spans="1:39" hidden="1" x14ac:dyDescent="0.25">
      <c r="A489" s="476" t="s">
        <v>1764</v>
      </c>
      <c r="B489" s="477">
        <v>20800000</v>
      </c>
      <c r="C489" s="212" t="s">
        <v>2571</v>
      </c>
      <c r="D489" s="478">
        <v>484</v>
      </c>
      <c r="E489" s="478">
        <v>20215000019763</v>
      </c>
      <c r="F489" s="479">
        <v>44295</v>
      </c>
      <c r="G489" s="478" t="s">
        <v>2565</v>
      </c>
      <c r="H489" s="212" t="s">
        <v>2566</v>
      </c>
      <c r="I489" s="210" t="s">
        <v>228</v>
      </c>
      <c r="J489" s="475">
        <v>20800000</v>
      </c>
      <c r="K489" s="212" t="s">
        <v>288</v>
      </c>
      <c r="L489" s="212" t="s">
        <v>2661</v>
      </c>
      <c r="M489" s="212" t="s">
        <v>44</v>
      </c>
      <c r="N489" s="212" t="s">
        <v>45</v>
      </c>
      <c r="O489" s="212" t="s">
        <v>63</v>
      </c>
      <c r="P489" s="212" t="s">
        <v>676</v>
      </c>
      <c r="R489" s="212">
        <v>523</v>
      </c>
      <c r="S489" s="490">
        <v>44295</v>
      </c>
      <c r="T489" s="486" t="s">
        <v>4131</v>
      </c>
      <c r="U489" s="475">
        <f>20800000-11050000</f>
        <v>9750000</v>
      </c>
      <c r="V489" s="406">
        <v>11050000</v>
      </c>
      <c r="W489" s="362" t="s">
        <v>1453</v>
      </c>
      <c r="X489" s="483" t="s">
        <v>4132</v>
      </c>
      <c r="Y489" s="484">
        <v>44320</v>
      </c>
      <c r="Z489" s="484">
        <v>44320</v>
      </c>
      <c r="AA489" s="484">
        <v>44561</v>
      </c>
      <c r="AB489" s="486" t="s">
        <v>2575</v>
      </c>
      <c r="AC489" s="483" t="s">
        <v>3482</v>
      </c>
      <c r="AD489" s="486" t="s">
        <v>4133</v>
      </c>
      <c r="AE489" s="486" t="s">
        <v>4134</v>
      </c>
      <c r="AF489" s="473">
        <v>9750000</v>
      </c>
      <c r="AG489" s="474">
        <f t="shared" si="8"/>
        <v>0</v>
      </c>
      <c r="AM489" s="306">
        <v>1126667</v>
      </c>
    </row>
    <row r="490" spans="1:39" hidden="1" x14ac:dyDescent="0.25">
      <c r="A490" s="466" t="s">
        <v>1766</v>
      </c>
      <c r="B490" s="467">
        <v>20800000</v>
      </c>
      <c r="C490" s="212" t="s">
        <v>2571</v>
      </c>
      <c r="D490" s="469">
        <v>485</v>
      </c>
      <c r="E490" s="469">
        <v>20215000019773</v>
      </c>
      <c r="F490" s="470">
        <v>44295</v>
      </c>
      <c r="G490" s="469" t="s">
        <v>2565</v>
      </c>
      <c r="H490" s="468" t="s">
        <v>2566</v>
      </c>
      <c r="I490" s="377" t="s">
        <v>228</v>
      </c>
      <c r="J490" s="471">
        <v>20800000</v>
      </c>
      <c r="K490" s="468" t="s">
        <v>288</v>
      </c>
      <c r="L490" s="468" t="s">
        <v>2661</v>
      </c>
      <c r="M490" s="468" t="s">
        <v>44</v>
      </c>
      <c r="N490" s="468" t="s">
        <v>45</v>
      </c>
      <c r="O490" s="468" t="s">
        <v>63</v>
      </c>
      <c r="P490" s="212" t="s">
        <v>676</v>
      </c>
      <c r="Q490" s="468"/>
      <c r="R490" s="468">
        <v>524</v>
      </c>
      <c r="S490" s="528">
        <v>44295</v>
      </c>
      <c r="T490" s="529" t="s">
        <v>4135</v>
      </c>
      <c r="U490" s="475">
        <f>20800000-20800000</f>
        <v>0</v>
      </c>
      <c r="V490" s="414">
        <v>20800000</v>
      </c>
      <c r="W490" s="679" t="s">
        <v>1453</v>
      </c>
      <c r="AG490" s="474">
        <f t="shared" si="8"/>
        <v>0</v>
      </c>
      <c r="AI490" s="471"/>
      <c r="AJ490" s="471"/>
      <c r="AK490" s="471"/>
      <c r="AL490" s="471"/>
      <c r="AM490" s="212"/>
    </row>
    <row r="491" spans="1:39" hidden="1" x14ac:dyDescent="0.25">
      <c r="A491" s="476" t="s">
        <v>1936</v>
      </c>
      <c r="B491" s="477">
        <v>28800000</v>
      </c>
      <c r="C491" s="212" t="s">
        <v>2571</v>
      </c>
      <c r="D491" s="478">
        <v>486</v>
      </c>
      <c r="E491" s="478">
        <v>20215000019793</v>
      </c>
      <c r="F491" s="479">
        <v>44295</v>
      </c>
      <c r="G491" s="478" t="s">
        <v>2565</v>
      </c>
      <c r="H491" s="212" t="s">
        <v>2566</v>
      </c>
      <c r="I491" s="210" t="s">
        <v>228</v>
      </c>
      <c r="J491" s="475">
        <v>20800000</v>
      </c>
      <c r="K491" s="212" t="s">
        <v>288</v>
      </c>
      <c r="L491" s="212" t="s">
        <v>2661</v>
      </c>
      <c r="M491" s="212" t="s">
        <v>44</v>
      </c>
      <c r="N491" s="212" t="s">
        <v>45</v>
      </c>
      <c r="O491" s="212" t="s">
        <v>63</v>
      </c>
      <c r="P491" s="212" t="s">
        <v>676</v>
      </c>
      <c r="R491" s="212">
        <v>525</v>
      </c>
      <c r="S491" s="490">
        <v>44295</v>
      </c>
      <c r="T491" s="486" t="s">
        <v>4136</v>
      </c>
      <c r="U491" s="475">
        <f>28800000-5550000</f>
        <v>23250000</v>
      </c>
      <c r="V491" s="406">
        <f>5550000</f>
        <v>5550000</v>
      </c>
      <c r="W491" s="362" t="s">
        <v>1453</v>
      </c>
      <c r="X491" s="483" t="s">
        <v>4137</v>
      </c>
      <c r="Y491" s="484">
        <v>44319</v>
      </c>
      <c r="Z491" s="484">
        <v>44319</v>
      </c>
      <c r="AA491" s="484">
        <v>44545</v>
      </c>
      <c r="AB491" s="486" t="s">
        <v>2575</v>
      </c>
      <c r="AC491" s="483" t="s">
        <v>4037</v>
      </c>
      <c r="AD491" s="486" t="s">
        <v>4138</v>
      </c>
      <c r="AE491" s="486" t="s">
        <v>4139</v>
      </c>
      <c r="AF491" s="473">
        <v>23250000</v>
      </c>
      <c r="AG491" s="474">
        <f t="shared" si="8"/>
        <v>0</v>
      </c>
      <c r="AM491" s="306">
        <v>2893333</v>
      </c>
    </row>
    <row r="492" spans="1:39" hidden="1" x14ac:dyDescent="0.25">
      <c r="A492" s="476" t="s">
        <v>2359</v>
      </c>
      <c r="B492" s="477">
        <v>42400000</v>
      </c>
      <c r="C492" s="212" t="s">
        <v>2571</v>
      </c>
      <c r="D492" s="478">
        <v>487</v>
      </c>
      <c r="E492" s="478">
        <v>20215000019803</v>
      </c>
      <c r="F492" s="479">
        <v>44295</v>
      </c>
      <c r="G492" s="478" t="s">
        <v>2565</v>
      </c>
      <c r="H492" s="212" t="s">
        <v>2566</v>
      </c>
      <c r="I492" s="210" t="s">
        <v>228</v>
      </c>
      <c r="J492" s="475">
        <v>42400000</v>
      </c>
      <c r="K492" s="212" t="s">
        <v>223</v>
      </c>
      <c r="L492" s="212" t="s">
        <v>283</v>
      </c>
      <c r="M492" s="212" t="s">
        <v>44</v>
      </c>
      <c r="N492" s="212" t="s">
        <v>45</v>
      </c>
      <c r="O492" s="212" t="s">
        <v>63</v>
      </c>
      <c r="P492" s="212" t="s">
        <v>676</v>
      </c>
      <c r="R492" s="212">
        <v>526</v>
      </c>
      <c r="S492" s="490">
        <v>44295</v>
      </c>
      <c r="T492" s="486" t="s">
        <v>4140</v>
      </c>
      <c r="U492" s="475">
        <f>42400000-12400000</f>
        <v>30000000</v>
      </c>
      <c r="V492" s="406">
        <v>12400000</v>
      </c>
      <c r="W492" s="362" t="s">
        <v>1453</v>
      </c>
      <c r="X492" s="483" t="s">
        <v>4141</v>
      </c>
      <c r="Y492" s="484">
        <v>44320</v>
      </c>
      <c r="Z492" s="484">
        <v>44320</v>
      </c>
      <c r="AA492" s="484">
        <v>44561</v>
      </c>
      <c r="AB492" s="486" t="s">
        <v>2575</v>
      </c>
      <c r="AC492" s="483" t="s">
        <v>3907</v>
      </c>
      <c r="AD492" s="486" t="s">
        <v>4142</v>
      </c>
      <c r="AE492" s="486" t="s">
        <v>4143</v>
      </c>
      <c r="AF492" s="473">
        <v>30000000</v>
      </c>
      <c r="AG492" s="474">
        <f t="shared" si="8"/>
        <v>0</v>
      </c>
      <c r="AM492" s="306">
        <v>3466667</v>
      </c>
    </row>
    <row r="493" spans="1:39" s="312" customFormat="1" hidden="1" x14ac:dyDescent="0.25">
      <c r="A493" s="380" t="s">
        <v>1753</v>
      </c>
      <c r="B493" s="421">
        <v>32000000</v>
      </c>
      <c r="C493" s="312" t="s">
        <v>2687</v>
      </c>
      <c r="D493" s="381">
        <v>488</v>
      </c>
      <c r="E493" s="381">
        <v>20215000019813</v>
      </c>
      <c r="F493" s="382">
        <v>44295</v>
      </c>
      <c r="G493" s="381" t="s">
        <v>2565</v>
      </c>
      <c r="H493" s="364" t="s">
        <v>2566</v>
      </c>
      <c r="I493" s="364" t="s">
        <v>228</v>
      </c>
      <c r="J493" s="408">
        <v>32000000</v>
      </c>
      <c r="K493" s="364" t="s">
        <v>223</v>
      </c>
      <c r="L493" s="364" t="s">
        <v>2683</v>
      </c>
      <c r="M493" s="364" t="s">
        <v>44</v>
      </c>
      <c r="N493" s="364" t="s">
        <v>45</v>
      </c>
      <c r="O493" s="364" t="s">
        <v>63</v>
      </c>
      <c r="P493" s="364" t="s">
        <v>676</v>
      </c>
      <c r="Q493" s="364"/>
      <c r="R493" s="364">
        <v>527</v>
      </c>
      <c r="S493" s="383">
        <v>44295</v>
      </c>
      <c r="T493" s="384" t="s">
        <v>4144</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x14ac:dyDescent="0.25">
      <c r="A494" s="476" t="s">
        <v>4145</v>
      </c>
      <c r="B494" s="477">
        <v>39975144</v>
      </c>
      <c r="C494" s="212" t="s">
        <v>2571</v>
      </c>
      <c r="D494" s="478">
        <v>489</v>
      </c>
      <c r="E494" s="309">
        <v>20213000020353</v>
      </c>
      <c r="F494" s="479">
        <v>44298</v>
      </c>
      <c r="G494" s="478" t="s">
        <v>2565</v>
      </c>
      <c r="H494" s="212" t="s">
        <v>2566</v>
      </c>
      <c r="I494" s="212" t="s">
        <v>432</v>
      </c>
      <c r="J494" s="475">
        <v>34800000</v>
      </c>
      <c r="K494" s="212" t="s">
        <v>342</v>
      </c>
      <c r="L494" s="212" t="s">
        <v>351</v>
      </c>
      <c r="M494" s="212" t="s">
        <v>44</v>
      </c>
      <c r="N494" s="212" t="s">
        <v>45</v>
      </c>
      <c r="O494" s="212" t="s">
        <v>63</v>
      </c>
      <c r="P494" s="212" t="s">
        <v>676</v>
      </c>
      <c r="R494" s="212">
        <v>531</v>
      </c>
      <c r="S494" s="490">
        <v>44299</v>
      </c>
      <c r="T494" s="486" t="s">
        <v>4146</v>
      </c>
      <c r="U494" s="475">
        <v>34800000</v>
      </c>
      <c r="V494" s="406"/>
      <c r="W494" s="362"/>
      <c r="X494" s="483" t="s">
        <v>4147</v>
      </c>
      <c r="Y494" s="484">
        <v>44335</v>
      </c>
      <c r="Z494" s="484">
        <v>44335</v>
      </c>
      <c r="AA494" s="484">
        <v>44519</v>
      </c>
      <c r="AB494" s="486" t="s">
        <v>2575</v>
      </c>
      <c r="AC494" s="483" t="s">
        <v>3449</v>
      </c>
      <c r="AD494" s="486" t="s">
        <v>4148</v>
      </c>
      <c r="AE494" s="486" t="s">
        <v>4149</v>
      </c>
      <c r="AF494" s="473">
        <v>34800000</v>
      </c>
      <c r="AG494" s="474">
        <f t="shared" si="8"/>
        <v>0</v>
      </c>
      <c r="AJ494" s="481"/>
      <c r="AM494" s="306">
        <v>2320000</v>
      </c>
    </row>
    <row r="495" spans="1:39" hidden="1" x14ac:dyDescent="0.25">
      <c r="A495" s="466" t="s">
        <v>2448</v>
      </c>
      <c r="B495" s="467">
        <v>61600000</v>
      </c>
      <c r="C495" s="212" t="s">
        <v>2571</v>
      </c>
      <c r="D495" s="469">
        <v>490</v>
      </c>
      <c r="E495" s="469">
        <v>20213000020363</v>
      </c>
      <c r="F495" s="470">
        <v>44298</v>
      </c>
      <c r="G495" s="469" t="s">
        <v>2565</v>
      </c>
      <c r="H495" s="468" t="s">
        <v>2566</v>
      </c>
      <c r="I495" s="468" t="s">
        <v>432</v>
      </c>
      <c r="J495" s="471">
        <v>46200000</v>
      </c>
      <c r="K495" s="468" t="s">
        <v>342</v>
      </c>
      <c r="L495" s="468" t="s">
        <v>351</v>
      </c>
      <c r="M495" s="468" t="s">
        <v>44</v>
      </c>
      <c r="N495" s="468" t="s">
        <v>45</v>
      </c>
      <c r="O495" s="468" t="s">
        <v>63</v>
      </c>
      <c r="P495" s="212" t="s">
        <v>676</v>
      </c>
      <c r="Q495" s="468"/>
      <c r="R495" s="468">
        <v>532</v>
      </c>
      <c r="S495" s="528">
        <v>44299</v>
      </c>
      <c r="T495" s="529" t="s">
        <v>4150</v>
      </c>
      <c r="U495" s="471">
        <v>46200000</v>
      </c>
      <c r="V495" s="414"/>
      <c r="W495" s="379"/>
      <c r="X495" s="483" t="s">
        <v>4151</v>
      </c>
      <c r="Y495" s="484">
        <v>44308</v>
      </c>
      <c r="Z495" s="484">
        <v>44308</v>
      </c>
      <c r="AA495" s="484">
        <v>44490</v>
      </c>
      <c r="AB495" s="485" t="s">
        <v>2575</v>
      </c>
      <c r="AC495" s="483" t="s">
        <v>3504</v>
      </c>
      <c r="AD495" s="485" t="s">
        <v>4152</v>
      </c>
      <c r="AE495" s="486" t="s">
        <v>4153</v>
      </c>
      <c r="AF495" s="473">
        <v>46200000</v>
      </c>
      <c r="AG495" s="474">
        <f t="shared" si="8"/>
        <v>0</v>
      </c>
      <c r="AI495" s="471"/>
      <c r="AJ495" s="471"/>
      <c r="AK495" s="471"/>
      <c r="AL495" s="471">
        <v>2310000</v>
      </c>
      <c r="AM495" s="306">
        <v>7700000</v>
      </c>
    </row>
    <row r="496" spans="1:39" hidden="1" x14ac:dyDescent="0.25">
      <c r="A496" s="476" t="s">
        <v>1765</v>
      </c>
      <c r="B496" s="477">
        <v>20800000</v>
      </c>
      <c r="C496" s="212" t="s">
        <v>2571</v>
      </c>
      <c r="D496" s="478">
        <v>491</v>
      </c>
      <c r="E496" s="478">
        <v>20215000019783</v>
      </c>
      <c r="F496" s="479">
        <v>44298</v>
      </c>
      <c r="G496" s="478" t="s">
        <v>2565</v>
      </c>
      <c r="H496" s="212" t="s">
        <v>2566</v>
      </c>
      <c r="I496" s="210" t="s">
        <v>228</v>
      </c>
      <c r="J496" s="475">
        <v>20800000</v>
      </c>
      <c r="K496" s="212" t="s">
        <v>288</v>
      </c>
      <c r="L496" s="212" t="s">
        <v>2661</v>
      </c>
      <c r="M496" s="212" t="s">
        <v>44</v>
      </c>
      <c r="N496" s="212" t="s">
        <v>45</v>
      </c>
      <c r="O496" s="212" t="s">
        <v>63</v>
      </c>
      <c r="P496" s="212" t="s">
        <v>676</v>
      </c>
      <c r="R496" s="212">
        <v>529</v>
      </c>
      <c r="S496" s="490">
        <v>44299</v>
      </c>
      <c r="T496" s="486" t="s">
        <v>4154</v>
      </c>
      <c r="U496" s="475">
        <f>20800000-7200000</f>
        <v>13600000</v>
      </c>
      <c r="V496" s="406">
        <v>7200000</v>
      </c>
      <c r="W496" s="362"/>
      <c r="X496" s="483" t="s">
        <v>4155</v>
      </c>
      <c r="Y496" s="484">
        <v>44306</v>
      </c>
      <c r="Z496" s="484">
        <v>44306</v>
      </c>
      <c r="AA496" s="484">
        <v>44550</v>
      </c>
      <c r="AB496" s="485" t="s">
        <v>2575</v>
      </c>
      <c r="AC496" s="483" t="s">
        <v>3796</v>
      </c>
      <c r="AD496" s="485" t="s">
        <v>4156</v>
      </c>
      <c r="AE496" s="486" t="s">
        <v>4157</v>
      </c>
      <c r="AF496" s="473">
        <v>13600000</v>
      </c>
      <c r="AG496" s="474">
        <f t="shared" si="8"/>
        <v>0</v>
      </c>
      <c r="AL496" s="475">
        <v>623333</v>
      </c>
      <c r="AM496" s="212"/>
    </row>
    <row r="497" spans="1:39" s="312" customFormat="1" hidden="1" x14ac:dyDescent="0.25">
      <c r="A497" s="361" t="s">
        <v>2050</v>
      </c>
      <c r="B497" s="417">
        <v>900000000</v>
      </c>
      <c r="C497" s="312" t="s">
        <v>4158</v>
      </c>
      <c r="D497" s="325">
        <v>492</v>
      </c>
      <c r="E497" s="325">
        <v>20215000020523</v>
      </c>
      <c r="F497" s="315">
        <v>44298</v>
      </c>
      <c r="G497" s="325" t="s">
        <v>2565</v>
      </c>
      <c r="H497" s="312" t="s">
        <v>2566</v>
      </c>
      <c r="I497" s="312" t="s">
        <v>228</v>
      </c>
      <c r="J497" s="405">
        <v>900000000</v>
      </c>
      <c r="K497" s="312" t="s">
        <v>223</v>
      </c>
      <c r="L497" s="312" t="s">
        <v>257</v>
      </c>
      <c r="M497" s="312" t="s">
        <v>44</v>
      </c>
      <c r="N497" s="312" t="s">
        <v>45</v>
      </c>
      <c r="O497" s="312" t="s">
        <v>46</v>
      </c>
      <c r="P497" s="312" t="s">
        <v>676</v>
      </c>
      <c r="R497" s="312">
        <v>534</v>
      </c>
      <c r="S497" s="363">
        <v>44299</v>
      </c>
      <c r="T497" s="360" t="s">
        <v>4159</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x14ac:dyDescent="0.25">
      <c r="A498" s="476" t="s">
        <v>2054</v>
      </c>
      <c r="B498" s="477">
        <v>28800000</v>
      </c>
      <c r="C498" s="212" t="s">
        <v>2571</v>
      </c>
      <c r="D498" s="478">
        <v>493</v>
      </c>
      <c r="E498" s="478">
        <v>20215000020513</v>
      </c>
      <c r="F498" s="479">
        <v>44298</v>
      </c>
      <c r="G498" s="478" t="s">
        <v>2565</v>
      </c>
      <c r="H498" s="212" t="s">
        <v>2566</v>
      </c>
      <c r="I498" s="210" t="s">
        <v>228</v>
      </c>
      <c r="J498" s="475">
        <v>28800000</v>
      </c>
      <c r="K498" s="212" t="s">
        <v>288</v>
      </c>
      <c r="L498" s="212" t="s">
        <v>2661</v>
      </c>
      <c r="M498" s="212" t="s">
        <v>44</v>
      </c>
      <c r="N498" s="212" t="s">
        <v>45</v>
      </c>
      <c r="O498" s="212" t="s">
        <v>63</v>
      </c>
      <c r="P498" s="212" t="s">
        <v>676</v>
      </c>
      <c r="R498" s="212">
        <v>533</v>
      </c>
      <c r="S498" s="490">
        <v>44299</v>
      </c>
      <c r="T498" s="486" t="s">
        <v>4160</v>
      </c>
      <c r="U498" s="475">
        <f>28800000-1800000</f>
        <v>27000000</v>
      </c>
      <c r="V498" s="406">
        <v>1800000</v>
      </c>
      <c r="W498" s="362" t="s">
        <v>1453</v>
      </c>
      <c r="X498" s="483" t="s">
        <v>4161</v>
      </c>
      <c r="Y498" s="484">
        <v>44322</v>
      </c>
      <c r="Z498" s="484">
        <v>44322</v>
      </c>
      <c r="AA498" s="484">
        <v>44561</v>
      </c>
      <c r="AB498" s="486" t="s">
        <v>2575</v>
      </c>
      <c r="AC498" s="483" t="s">
        <v>3472</v>
      </c>
      <c r="AD498" s="486" t="s">
        <v>4162</v>
      </c>
      <c r="AE498" s="486" t="s">
        <v>4163</v>
      </c>
      <c r="AF498" s="473">
        <v>27000000</v>
      </c>
      <c r="AG498" s="474">
        <f t="shared" si="8"/>
        <v>0</v>
      </c>
      <c r="AM498" s="306">
        <v>3000000</v>
      </c>
    </row>
    <row r="499" spans="1:39" hidden="1" x14ac:dyDescent="0.25">
      <c r="A499" s="466" t="s">
        <v>2124</v>
      </c>
      <c r="B499" s="467">
        <v>40000000</v>
      </c>
      <c r="C499" s="212" t="s">
        <v>2571</v>
      </c>
      <c r="D499" s="469">
        <v>494</v>
      </c>
      <c r="E499" s="469">
        <v>20211200020213</v>
      </c>
      <c r="F499" s="470">
        <v>44298</v>
      </c>
      <c r="G499" s="378" t="s">
        <v>2572</v>
      </c>
      <c r="H499" s="377" t="s">
        <v>2573</v>
      </c>
      <c r="I499" s="468" t="s">
        <v>143</v>
      </c>
      <c r="J499" s="424">
        <v>27500000</v>
      </c>
      <c r="K499" s="377" t="s">
        <v>138</v>
      </c>
      <c r="L499" s="377" t="s">
        <v>139</v>
      </c>
      <c r="M499" s="468" t="s">
        <v>44</v>
      </c>
      <c r="N499" s="468" t="s">
        <v>45</v>
      </c>
      <c r="O499" s="529" t="s">
        <v>46</v>
      </c>
      <c r="P499" s="468" t="s">
        <v>43</v>
      </c>
      <c r="Q499" s="468"/>
      <c r="R499" s="468">
        <v>530</v>
      </c>
      <c r="S499" s="528">
        <v>44299</v>
      </c>
      <c r="T499" s="529" t="s">
        <v>4164</v>
      </c>
      <c r="U499" s="471">
        <v>27500000</v>
      </c>
      <c r="V499" s="414"/>
      <c r="W499" s="379"/>
      <c r="X499" s="483" t="s">
        <v>4165</v>
      </c>
      <c r="Y499" s="484">
        <v>44306</v>
      </c>
      <c r="Z499" s="484">
        <v>44306</v>
      </c>
      <c r="AA499" s="484">
        <v>44458</v>
      </c>
      <c r="AB499" s="485" t="s">
        <v>2575</v>
      </c>
      <c r="AC499" s="483" t="s">
        <v>3270</v>
      </c>
      <c r="AD499" s="485" t="s">
        <v>4166</v>
      </c>
      <c r="AE499" s="486" t="s">
        <v>2614</v>
      </c>
      <c r="AF499" s="473">
        <v>27500000</v>
      </c>
      <c r="AG499" s="474">
        <f t="shared" si="8"/>
        <v>0</v>
      </c>
      <c r="AI499" s="471"/>
      <c r="AJ499" s="471"/>
      <c r="AK499" s="471"/>
      <c r="AL499" s="471">
        <v>2016667</v>
      </c>
      <c r="AM499" s="306">
        <v>5500000</v>
      </c>
    </row>
    <row r="500" spans="1:39" hidden="1" x14ac:dyDescent="0.25">
      <c r="A500" s="476" t="s">
        <v>2055</v>
      </c>
      <c r="B500" s="477">
        <v>20000000</v>
      </c>
      <c r="C500" s="212" t="s">
        <v>2571</v>
      </c>
      <c r="D500" s="478">
        <v>495</v>
      </c>
      <c r="E500" s="478">
        <v>20215000020583</v>
      </c>
      <c r="F500" s="479">
        <v>44298</v>
      </c>
      <c r="G500" s="478" t="s">
        <v>2565</v>
      </c>
      <c r="H500" s="212" t="s">
        <v>2566</v>
      </c>
      <c r="I500" s="210" t="s">
        <v>228</v>
      </c>
      <c r="J500" s="475">
        <v>20000000</v>
      </c>
      <c r="K500" s="212" t="s">
        <v>288</v>
      </c>
      <c r="L500" s="212" t="s">
        <v>2661</v>
      </c>
      <c r="M500" s="212" t="s">
        <v>44</v>
      </c>
      <c r="N500" s="212" t="s">
        <v>45</v>
      </c>
      <c r="O500" s="212" t="s">
        <v>63</v>
      </c>
      <c r="P500" s="212" t="s">
        <v>676</v>
      </c>
      <c r="R500" s="212">
        <v>535</v>
      </c>
      <c r="S500" s="490">
        <v>44299</v>
      </c>
      <c r="T500" s="486" t="s">
        <v>4167</v>
      </c>
      <c r="U500" s="475">
        <f>20000000-20000</f>
        <v>19980000</v>
      </c>
      <c r="V500" s="406">
        <v>20000</v>
      </c>
      <c r="W500" s="362"/>
      <c r="X500" s="483" t="s">
        <v>4168</v>
      </c>
      <c r="Y500" s="484">
        <v>44306</v>
      </c>
      <c r="Z500" s="484">
        <v>44306</v>
      </c>
      <c r="AA500" s="484">
        <v>44545</v>
      </c>
      <c r="AB500" s="485" t="s">
        <v>2575</v>
      </c>
      <c r="AC500" s="483" t="s">
        <v>3767</v>
      </c>
      <c r="AD500" s="485" t="s">
        <v>4169</v>
      </c>
      <c r="AE500" s="486" t="s">
        <v>4170</v>
      </c>
      <c r="AF500" s="473">
        <v>19980000</v>
      </c>
      <c r="AG500" s="474">
        <f t="shared" si="8"/>
        <v>0</v>
      </c>
      <c r="AL500" s="475">
        <v>990000</v>
      </c>
      <c r="AM500" s="306">
        <v>2700000</v>
      </c>
    </row>
    <row r="501" spans="1:39" hidden="1" x14ac:dyDescent="0.25">
      <c r="A501" s="476" t="s">
        <v>2267</v>
      </c>
      <c r="B501" s="477">
        <v>81000000</v>
      </c>
      <c r="C501" s="212" t="s">
        <v>2571</v>
      </c>
      <c r="D501" s="478">
        <v>496</v>
      </c>
      <c r="E501" s="478">
        <v>20216000020743</v>
      </c>
      <c r="F501" s="479">
        <v>44299</v>
      </c>
      <c r="G501" s="478" t="s">
        <v>2572</v>
      </c>
      <c r="H501" s="212" t="s">
        <v>2573</v>
      </c>
      <c r="I501" s="212" t="s">
        <v>214</v>
      </c>
      <c r="J501" s="475">
        <v>81000000</v>
      </c>
      <c r="K501" s="212" t="s">
        <v>138</v>
      </c>
      <c r="L501" s="212" t="s">
        <v>139</v>
      </c>
      <c r="M501" s="212" t="s">
        <v>44</v>
      </c>
      <c r="N501" s="212" t="s">
        <v>45</v>
      </c>
      <c r="O501" s="212" t="s">
        <v>142</v>
      </c>
      <c r="P501" s="212" t="s">
        <v>43</v>
      </c>
      <c r="R501" s="212">
        <v>538</v>
      </c>
      <c r="S501" s="490">
        <v>44299</v>
      </c>
      <c r="T501" s="486" t="s">
        <v>4171</v>
      </c>
      <c r="U501" s="475">
        <v>81000000</v>
      </c>
      <c r="V501" s="406"/>
      <c r="W501" s="362"/>
      <c r="X501" s="483" t="s">
        <v>4172</v>
      </c>
      <c r="Y501" s="484">
        <v>44307</v>
      </c>
      <c r="Z501" s="484">
        <v>44307</v>
      </c>
      <c r="AA501" s="484">
        <v>44550</v>
      </c>
      <c r="AB501" s="485" t="s">
        <v>2575</v>
      </c>
      <c r="AC501" s="483" t="s">
        <v>3140</v>
      </c>
      <c r="AD501" s="485" t="s">
        <v>4173</v>
      </c>
      <c r="AE501" s="486" t="s">
        <v>4174</v>
      </c>
      <c r="AF501" s="473">
        <v>72000000</v>
      </c>
      <c r="AG501" s="474">
        <f t="shared" si="8"/>
        <v>9000000</v>
      </c>
      <c r="AL501" s="475">
        <v>3000000</v>
      </c>
      <c r="AM501" s="306">
        <v>9000000</v>
      </c>
    </row>
    <row r="502" spans="1:39" hidden="1" x14ac:dyDescent="0.25">
      <c r="A502" s="476" t="s">
        <v>2502</v>
      </c>
      <c r="B502" s="477">
        <v>35550000</v>
      </c>
      <c r="C502" s="212" t="s">
        <v>2571</v>
      </c>
      <c r="D502" s="478">
        <v>497</v>
      </c>
      <c r="E502" s="478">
        <v>20214000020873</v>
      </c>
      <c r="F502" s="479">
        <v>44299</v>
      </c>
      <c r="G502" s="478" t="s">
        <v>2605</v>
      </c>
      <c r="H502" s="212" t="s">
        <v>2606</v>
      </c>
      <c r="I502" s="212" t="s">
        <v>47</v>
      </c>
      <c r="J502" s="475">
        <v>23700000</v>
      </c>
      <c r="K502" s="212" t="s">
        <v>37</v>
      </c>
      <c r="L502" s="212" t="s">
        <v>2607</v>
      </c>
      <c r="M502" s="212" t="s">
        <v>44</v>
      </c>
      <c r="N502" s="212" t="s">
        <v>45</v>
      </c>
      <c r="O502" s="212" t="s">
        <v>310</v>
      </c>
      <c r="P502" s="212" t="s">
        <v>43</v>
      </c>
      <c r="R502" s="212">
        <v>539</v>
      </c>
      <c r="S502" s="490">
        <v>44299</v>
      </c>
      <c r="T502" s="486" t="s">
        <v>4175</v>
      </c>
      <c r="U502" s="475">
        <v>23700000</v>
      </c>
      <c r="V502" s="406"/>
      <c r="W502" s="362"/>
      <c r="X502" s="483" t="s">
        <v>4176</v>
      </c>
      <c r="Y502" s="484">
        <v>44315</v>
      </c>
      <c r="Z502" s="484">
        <v>44315</v>
      </c>
      <c r="AA502" s="484">
        <v>44497</v>
      </c>
      <c r="AB502" s="485" t="s">
        <v>2575</v>
      </c>
      <c r="AC502" s="483" t="s">
        <v>3205</v>
      </c>
      <c r="AD502" s="485" t="s">
        <v>4177</v>
      </c>
      <c r="AE502" s="486" t="s">
        <v>4178</v>
      </c>
      <c r="AF502" s="473">
        <v>23700000</v>
      </c>
      <c r="AG502" s="474">
        <f t="shared" si="8"/>
        <v>0</v>
      </c>
      <c r="AM502" s="306">
        <v>4213333</v>
      </c>
    </row>
    <row r="503" spans="1:39" hidden="1" x14ac:dyDescent="0.25">
      <c r="A503" s="476" t="s">
        <v>2048</v>
      </c>
      <c r="B503" s="477">
        <v>38250000</v>
      </c>
      <c r="C503" s="212" t="s">
        <v>2571</v>
      </c>
      <c r="D503" s="478">
        <v>498</v>
      </c>
      <c r="E503" s="478">
        <v>20212000020623</v>
      </c>
      <c r="F503" s="479">
        <v>44299</v>
      </c>
      <c r="G503" s="478" t="s">
        <v>2565</v>
      </c>
      <c r="H503" s="212" t="s">
        <v>2566</v>
      </c>
      <c r="I503" s="212" t="s">
        <v>391</v>
      </c>
      <c r="J503" s="475">
        <v>36000000</v>
      </c>
      <c r="K503" s="210" t="s">
        <v>2636</v>
      </c>
      <c r="L503" s="212" t="s">
        <v>2637</v>
      </c>
      <c r="M503" s="210" t="s">
        <v>44</v>
      </c>
      <c r="N503" s="210" t="s">
        <v>45</v>
      </c>
      <c r="O503" s="212" t="s">
        <v>63</v>
      </c>
      <c r="P503" s="212" t="s">
        <v>676</v>
      </c>
      <c r="R503" s="212">
        <v>536</v>
      </c>
      <c r="S503" s="490">
        <v>44299</v>
      </c>
      <c r="T503" s="486" t="s">
        <v>4179</v>
      </c>
      <c r="U503" s="475">
        <v>36000000</v>
      </c>
      <c r="V503" s="406"/>
      <c r="W503" s="362"/>
      <c r="X503" s="483" t="s">
        <v>4180</v>
      </c>
      <c r="Y503" s="484">
        <v>44320</v>
      </c>
      <c r="Z503" s="484">
        <v>44320</v>
      </c>
      <c r="AA503" s="484">
        <v>44561</v>
      </c>
      <c r="AB503" s="486" t="s">
        <v>2575</v>
      </c>
      <c r="AC503" s="483" t="s">
        <v>3370</v>
      </c>
      <c r="AD503" s="486" t="s">
        <v>4181</v>
      </c>
      <c r="AE503" s="486" t="s">
        <v>4182</v>
      </c>
      <c r="AF503" s="473">
        <v>36000000</v>
      </c>
      <c r="AG503" s="474">
        <f t="shared" si="8"/>
        <v>0</v>
      </c>
      <c r="AM503" s="306">
        <v>3900000</v>
      </c>
    </row>
    <row r="504" spans="1:39" hidden="1" x14ac:dyDescent="0.25">
      <c r="A504" s="466" t="s">
        <v>1665</v>
      </c>
      <c r="B504" s="467">
        <v>23162500</v>
      </c>
      <c r="C504" s="212" t="s">
        <v>2571</v>
      </c>
      <c r="D504" s="469">
        <v>499</v>
      </c>
      <c r="E504" s="469">
        <v>20212000020753</v>
      </c>
      <c r="F504" s="470">
        <v>44299</v>
      </c>
      <c r="G504" s="469" t="s">
        <v>2565</v>
      </c>
      <c r="H504" s="468" t="s">
        <v>2566</v>
      </c>
      <c r="I504" s="468" t="s">
        <v>391</v>
      </c>
      <c r="J504" s="471">
        <v>21800000</v>
      </c>
      <c r="K504" s="377" t="s">
        <v>2636</v>
      </c>
      <c r="L504" s="468" t="s">
        <v>2637</v>
      </c>
      <c r="M504" s="377" t="s">
        <v>44</v>
      </c>
      <c r="N504" s="377" t="s">
        <v>45</v>
      </c>
      <c r="O504" s="468" t="s">
        <v>63</v>
      </c>
      <c r="P504" s="212" t="s">
        <v>676</v>
      </c>
      <c r="Q504" s="468"/>
      <c r="R504" s="468">
        <v>537</v>
      </c>
      <c r="S504" s="528">
        <v>44299</v>
      </c>
      <c r="T504" s="529" t="s">
        <v>4183</v>
      </c>
      <c r="U504" s="471">
        <v>21800000</v>
      </c>
      <c r="V504" s="414"/>
      <c r="W504" s="379"/>
      <c r="X504" s="483" t="s">
        <v>4184</v>
      </c>
      <c r="Y504" s="484">
        <v>44308</v>
      </c>
      <c r="Z504" s="484">
        <v>44308</v>
      </c>
      <c r="AA504" s="484">
        <v>44551</v>
      </c>
      <c r="AB504" s="485" t="s">
        <v>2575</v>
      </c>
      <c r="AC504" s="483" t="s">
        <v>4185</v>
      </c>
      <c r="AD504" s="485" t="s">
        <v>4186</v>
      </c>
      <c r="AE504" s="486" t="s">
        <v>4187</v>
      </c>
      <c r="AF504" s="473">
        <v>21800000</v>
      </c>
      <c r="AG504" s="474">
        <f t="shared" si="8"/>
        <v>0</v>
      </c>
      <c r="AI504" s="471"/>
      <c r="AJ504" s="471"/>
      <c r="AK504" s="471"/>
      <c r="AL504" s="471">
        <v>817500</v>
      </c>
      <c r="AM504" s="306">
        <v>2725000</v>
      </c>
    </row>
    <row r="505" spans="1:39" hidden="1" x14ac:dyDescent="0.25">
      <c r="A505" s="476" t="s">
        <v>2322</v>
      </c>
      <c r="B505" s="477">
        <v>29700000</v>
      </c>
      <c r="C505" s="212" t="s">
        <v>2571</v>
      </c>
      <c r="D505" s="478">
        <v>500</v>
      </c>
      <c r="E505" s="478">
        <v>20216000020943</v>
      </c>
      <c r="F505" s="479">
        <v>44299</v>
      </c>
      <c r="G505" s="478" t="s">
        <v>2572</v>
      </c>
      <c r="H505" s="212" t="s">
        <v>2573</v>
      </c>
      <c r="I505" s="212" t="s">
        <v>214</v>
      </c>
      <c r="J505" s="475">
        <v>24300000</v>
      </c>
      <c r="K505" s="212" t="s">
        <v>138</v>
      </c>
      <c r="L505" s="212" t="s">
        <v>139</v>
      </c>
      <c r="M505" s="212" t="s">
        <v>44</v>
      </c>
      <c r="N505" s="212" t="s">
        <v>45</v>
      </c>
      <c r="O505" s="212" t="s">
        <v>142</v>
      </c>
      <c r="P505" s="212" t="s">
        <v>43</v>
      </c>
      <c r="R505" s="212">
        <v>540</v>
      </c>
      <c r="S505" s="490">
        <v>44299</v>
      </c>
      <c r="T505" s="486" t="s">
        <v>4188</v>
      </c>
      <c r="U505" s="475">
        <v>24300000</v>
      </c>
      <c r="V505" s="406"/>
      <c r="W505" s="362"/>
      <c r="X505" s="483" t="s">
        <v>4189</v>
      </c>
      <c r="Y505" s="484">
        <v>44302</v>
      </c>
      <c r="Z505" s="484">
        <v>44302</v>
      </c>
      <c r="AA505" s="484">
        <v>44546</v>
      </c>
      <c r="AB505" s="485" t="s">
        <v>2575</v>
      </c>
      <c r="AC505" s="483" t="s">
        <v>4190</v>
      </c>
      <c r="AD505" s="485" t="s">
        <v>4191</v>
      </c>
      <c r="AE505" s="486" t="s">
        <v>4192</v>
      </c>
      <c r="AF505" s="473">
        <v>21600000</v>
      </c>
      <c r="AG505" s="474">
        <f t="shared" si="8"/>
        <v>2700000</v>
      </c>
      <c r="AL505" s="475">
        <v>1080000</v>
      </c>
      <c r="AM505" s="306">
        <v>2700000</v>
      </c>
    </row>
    <row r="506" spans="1:39" hidden="1" x14ac:dyDescent="0.25">
      <c r="A506" s="476" t="s">
        <v>2302</v>
      </c>
      <c r="B506" s="477">
        <v>36784368</v>
      </c>
      <c r="C506" s="212" t="s">
        <v>2571</v>
      </c>
      <c r="D506" s="478">
        <v>501</v>
      </c>
      <c r="E506" s="478">
        <v>20217000021143</v>
      </c>
      <c r="F506" s="479">
        <v>44300</v>
      </c>
      <c r="G506" s="478" t="s">
        <v>2572</v>
      </c>
      <c r="H506" s="212" t="s">
        <v>2573</v>
      </c>
      <c r="I506" s="212" t="s">
        <v>164</v>
      </c>
      <c r="J506" s="475">
        <v>24530202</v>
      </c>
      <c r="K506" s="212" t="s">
        <v>138</v>
      </c>
      <c r="L506" s="212" t="s">
        <v>139</v>
      </c>
      <c r="M506" s="212" t="s">
        <v>44</v>
      </c>
      <c r="N506" s="212" t="s">
        <v>45</v>
      </c>
      <c r="O506" s="212" t="s">
        <v>142</v>
      </c>
      <c r="P506" s="212" t="s">
        <v>43</v>
      </c>
      <c r="R506" s="212">
        <v>544</v>
      </c>
      <c r="S506" s="490">
        <v>44301</v>
      </c>
      <c r="T506" s="486" t="s">
        <v>4193</v>
      </c>
      <c r="U506" s="475">
        <v>24530202</v>
      </c>
      <c r="V506" s="406"/>
      <c r="W506" s="362"/>
      <c r="X506" s="483" t="s">
        <v>4194</v>
      </c>
      <c r="Y506" s="484">
        <v>44314</v>
      </c>
      <c r="Z506" s="484">
        <v>44314</v>
      </c>
      <c r="AA506" s="484">
        <v>44496</v>
      </c>
      <c r="AB506" s="485" t="s">
        <v>2575</v>
      </c>
      <c r="AC506" s="483" t="s">
        <v>3941</v>
      </c>
      <c r="AD506" s="485" t="s">
        <v>4195</v>
      </c>
      <c r="AE506" s="486" t="s">
        <v>2732</v>
      </c>
      <c r="AF506" s="473">
        <v>24530202</v>
      </c>
      <c r="AG506" s="474">
        <f t="shared" si="8"/>
        <v>0</v>
      </c>
      <c r="AM506" s="212"/>
    </row>
    <row r="507" spans="1:39" hidden="1" x14ac:dyDescent="0.25">
      <c r="A507" s="476" t="s">
        <v>1898</v>
      </c>
      <c r="B507" s="477">
        <v>40883670</v>
      </c>
      <c r="C507" s="212" t="s">
        <v>2571</v>
      </c>
      <c r="D507" s="478">
        <v>502</v>
      </c>
      <c r="E507" s="478">
        <v>20217000021073</v>
      </c>
      <c r="F507" s="479">
        <v>44300</v>
      </c>
      <c r="G507" s="478" t="s">
        <v>2572</v>
      </c>
      <c r="H507" s="212" t="s">
        <v>2573</v>
      </c>
      <c r="I507" s="212" t="s">
        <v>164</v>
      </c>
      <c r="J507" s="475">
        <v>16353468</v>
      </c>
      <c r="K507" s="212" t="s">
        <v>138</v>
      </c>
      <c r="L507" s="212" t="s">
        <v>139</v>
      </c>
      <c r="M507" s="212" t="s">
        <v>44</v>
      </c>
      <c r="N507" s="212" t="s">
        <v>45</v>
      </c>
      <c r="O507" s="212" t="s">
        <v>142</v>
      </c>
      <c r="P507" s="212" t="s">
        <v>43</v>
      </c>
      <c r="R507" s="212">
        <v>543</v>
      </c>
      <c r="S507" s="490">
        <v>44301</v>
      </c>
      <c r="T507" s="486" t="s">
        <v>4196</v>
      </c>
      <c r="U507" s="475">
        <v>16353468</v>
      </c>
      <c r="V507" s="406"/>
      <c r="W507" s="362"/>
      <c r="X507" s="483" t="s">
        <v>4197</v>
      </c>
      <c r="Y507" s="484">
        <v>44315</v>
      </c>
      <c r="Z507" s="484">
        <v>44315</v>
      </c>
      <c r="AA507" s="484">
        <v>44436</v>
      </c>
      <c r="AB507" s="485" t="s">
        <v>2575</v>
      </c>
      <c r="AC507" s="483" t="s">
        <v>3621</v>
      </c>
      <c r="AD507" s="485" t="s">
        <v>4198</v>
      </c>
      <c r="AE507" s="486" t="s">
        <v>3200</v>
      </c>
      <c r="AF507" s="473">
        <v>16353468</v>
      </c>
      <c r="AG507" s="474">
        <f t="shared" si="8"/>
        <v>0</v>
      </c>
      <c r="AM507" s="306">
        <v>4360925</v>
      </c>
    </row>
    <row r="508" spans="1:39" s="312" customFormat="1" hidden="1" x14ac:dyDescent="0.25">
      <c r="A508" s="361" t="s">
        <v>1897</v>
      </c>
      <c r="B508" s="417">
        <v>63000000</v>
      </c>
      <c r="C508" s="312" t="s">
        <v>2687</v>
      </c>
      <c r="D508" s="325">
        <v>503</v>
      </c>
      <c r="E508" s="325">
        <v>20217000021483</v>
      </c>
      <c r="F508" s="315">
        <v>44301</v>
      </c>
      <c r="G508" s="325" t="s">
        <v>2572</v>
      </c>
      <c r="H508" s="312" t="s">
        <v>2573</v>
      </c>
      <c r="I508" s="312" t="s">
        <v>164</v>
      </c>
      <c r="J508" s="405">
        <v>49100000</v>
      </c>
      <c r="K508" s="312" t="s">
        <v>138</v>
      </c>
      <c r="L508" s="312" t="s">
        <v>139</v>
      </c>
      <c r="M508" s="312" t="s">
        <v>44</v>
      </c>
      <c r="N508" s="312" t="s">
        <v>45</v>
      </c>
      <c r="O508" s="312" t="s">
        <v>142</v>
      </c>
      <c r="P508" s="312" t="s">
        <v>43</v>
      </c>
      <c r="R508" s="312">
        <v>549</v>
      </c>
      <c r="S508" s="363">
        <v>44302</v>
      </c>
      <c r="T508" s="360" t="s">
        <v>4199</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x14ac:dyDescent="0.25">
      <c r="A509" s="476" t="s">
        <v>1846</v>
      </c>
      <c r="B509" s="477">
        <v>34967856</v>
      </c>
      <c r="C509" s="212" t="s">
        <v>2571</v>
      </c>
      <c r="D509" s="478">
        <v>504</v>
      </c>
      <c r="E509" s="478">
        <v>20217000021493</v>
      </c>
      <c r="F509" s="479">
        <v>44301</v>
      </c>
      <c r="G509" s="478" t="s">
        <v>2572</v>
      </c>
      <c r="H509" s="212" t="s">
        <v>2573</v>
      </c>
      <c r="I509" s="212" t="s">
        <v>164</v>
      </c>
      <c r="J509" s="475">
        <v>13000000</v>
      </c>
      <c r="K509" s="212" t="s">
        <v>138</v>
      </c>
      <c r="L509" s="212" t="s">
        <v>139</v>
      </c>
      <c r="M509" s="212" t="s">
        <v>44</v>
      </c>
      <c r="N509" s="212" t="s">
        <v>45</v>
      </c>
      <c r="O509" s="212" t="s">
        <v>142</v>
      </c>
      <c r="P509" s="212" t="s">
        <v>43</v>
      </c>
      <c r="R509" s="212">
        <v>550</v>
      </c>
      <c r="S509" s="490">
        <v>44302</v>
      </c>
      <c r="T509" s="486" t="s">
        <v>4200</v>
      </c>
      <c r="U509" s="475">
        <v>13000000</v>
      </c>
      <c r="V509" s="406"/>
      <c r="W509" s="362"/>
      <c r="X509" s="483" t="s">
        <v>4201</v>
      </c>
      <c r="Y509" s="484">
        <v>44312</v>
      </c>
      <c r="Z509" s="484">
        <v>44312</v>
      </c>
      <c r="AA509" s="484">
        <v>44434</v>
      </c>
      <c r="AB509" s="485" t="s">
        <v>2575</v>
      </c>
      <c r="AC509" s="483" t="s">
        <v>3773</v>
      </c>
      <c r="AD509" s="485" t="s">
        <v>4202</v>
      </c>
      <c r="AE509" s="486" t="s">
        <v>4203</v>
      </c>
      <c r="AF509" s="473">
        <v>12719364</v>
      </c>
      <c r="AG509" s="474">
        <f t="shared" si="8"/>
        <v>280636</v>
      </c>
      <c r="AM509" s="306">
        <v>3709815</v>
      </c>
    </row>
    <row r="510" spans="1:39" hidden="1" x14ac:dyDescent="0.25">
      <c r="A510" s="476" t="s">
        <v>2386</v>
      </c>
      <c r="B510" s="477">
        <v>45000000</v>
      </c>
      <c r="C510" s="212" t="s">
        <v>2571</v>
      </c>
      <c r="D510" s="478">
        <v>505</v>
      </c>
      <c r="E510" s="478">
        <v>20213000021253</v>
      </c>
      <c r="F510" s="479">
        <v>44301</v>
      </c>
      <c r="G510" s="478" t="s">
        <v>2565</v>
      </c>
      <c r="H510" s="212" t="s">
        <v>2566</v>
      </c>
      <c r="I510" s="212" t="s">
        <v>432</v>
      </c>
      <c r="J510" s="475">
        <v>29981358</v>
      </c>
      <c r="K510" s="212" t="s">
        <v>342</v>
      </c>
      <c r="L510" s="212" t="s">
        <v>351</v>
      </c>
      <c r="M510" s="212" t="s">
        <v>44</v>
      </c>
      <c r="N510" s="212" t="s">
        <v>45</v>
      </c>
      <c r="O510" s="212" t="s">
        <v>63</v>
      </c>
      <c r="P510" s="212" t="s">
        <v>676</v>
      </c>
      <c r="R510" s="212">
        <v>546</v>
      </c>
      <c r="S510" s="490">
        <v>44302</v>
      </c>
      <c r="T510" s="486" t="s">
        <v>4204</v>
      </c>
      <c r="U510" s="475">
        <v>29981358</v>
      </c>
      <c r="V510" s="406"/>
      <c r="W510" s="362"/>
      <c r="X510" s="483" t="s">
        <v>4205</v>
      </c>
      <c r="Y510" s="484">
        <v>44315</v>
      </c>
      <c r="Z510" s="484">
        <v>44315</v>
      </c>
      <c r="AA510" s="484">
        <v>44497</v>
      </c>
      <c r="AB510" s="485" t="s">
        <v>2575</v>
      </c>
      <c r="AC510" s="483" t="s">
        <v>3786</v>
      </c>
      <c r="AD510" s="485" t="s">
        <v>4206</v>
      </c>
      <c r="AE510" s="486" t="s">
        <v>4207</v>
      </c>
      <c r="AF510" s="473">
        <v>29981358</v>
      </c>
      <c r="AG510" s="474">
        <f t="shared" si="8"/>
        <v>0</v>
      </c>
      <c r="AM510" s="306">
        <v>5330019</v>
      </c>
    </row>
    <row r="511" spans="1:39" hidden="1" x14ac:dyDescent="0.25">
      <c r="A511" s="476" t="s">
        <v>2387</v>
      </c>
      <c r="B511" s="477">
        <v>42000000</v>
      </c>
      <c r="C511" s="212" t="s">
        <v>2571</v>
      </c>
      <c r="D511" s="478">
        <v>506</v>
      </c>
      <c r="E511" s="478">
        <v>20213000021263</v>
      </c>
      <c r="F511" s="479">
        <v>44301</v>
      </c>
      <c r="G511" s="478" t="s">
        <v>2565</v>
      </c>
      <c r="H511" s="212" t="s">
        <v>2566</v>
      </c>
      <c r="I511" s="212" t="s">
        <v>432</v>
      </c>
      <c r="J511" s="475">
        <v>29981358</v>
      </c>
      <c r="K511" s="212" t="s">
        <v>342</v>
      </c>
      <c r="L511" s="212" t="s">
        <v>351</v>
      </c>
      <c r="M511" s="212" t="s">
        <v>44</v>
      </c>
      <c r="N511" s="212" t="s">
        <v>45</v>
      </c>
      <c r="O511" s="212" t="s">
        <v>63</v>
      </c>
      <c r="P511" s="212" t="s">
        <v>676</v>
      </c>
      <c r="R511" s="212">
        <v>547</v>
      </c>
      <c r="S511" s="490">
        <v>44302</v>
      </c>
      <c r="T511" s="486" t="s">
        <v>4208</v>
      </c>
      <c r="U511" s="475">
        <v>29981358</v>
      </c>
      <c r="V511" s="406"/>
      <c r="W511" s="362"/>
      <c r="X511" s="483" t="s">
        <v>4209</v>
      </c>
      <c r="Y511" s="484">
        <v>44336</v>
      </c>
      <c r="Z511" s="484">
        <v>44336</v>
      </c>
      <c r="AA511" s="484">
        <v>44519</v>
      </c>
      <c r="AB511" s="486" t="s">
        <v>2575</v>
      </c>
      <c r="AC511" s="483" t="s">
        <v>3951</v>
      </c>
      <c r="AD511" s="486" t="s">
        <v>4210</v>
      </c>
      <c r="AE511" s="486" t="s">
        <v>4211</v>
      </c>
      <c r="AF511" s="473">
        <v>29981358</v>
      </c>
      <c r="AG511" s="474">
        <f t="shared" si="8"/>
        <v>0</v>
      </c>
      <c r="AM511" s="212"/>
    </row>
    <row r="512" spans="1:39" s="312" customFormat="1" hidden="1" x14ac:dyDescent="0.25">
      <c r="A512" s="380" t="s">
        <v>2390</v>
      </c>
      <c r="B512" s="421">
        <v>42000000</v>
      </c>
      <c r="C512" s="312" t="s">
        <v>2687</v>
      </c>
      <c r="D512" s="381">
        <v>507</v>
      </c>
      <c r="E512" s="381">
        <v>20213000021273</v>
      </c>
      <c r="F512" s="382">
        <v>44301</v>
      </c>
      <c r="G512" s="381" t="s">
        <v>2565</v>
      </c>
      <c r="H512" s="364" t="s">
        <v>2566</v>
      </c>
      <c r="I512" s="364" t="s">
        <v>432</v>
      </c>
      <c r="J512" s="408">
        <v>24000000</v>
      </c>
      <c r="K512" s="364" t="s">
        <v>342</v>
      </c>
      <c r="L512" s="364" t="s">
        <v>351</v>
      </c>
      <c r="M512" s="364" t="s">
        <v>44</v>
      </c>
      <c r="N512" s="364" t="s">
        <v>45</v>
      </c>
      <c r="O512" s="364" t="s">
        <v>63</v>
      </c>
      <c r="P512" s="364" t="s">
        <v>676</v>
      </c>
      <c r="Q512" s="364"/>
      <c r="R512" s="364">
        <v>548</v>
      </c>
      <c r="S512" s="383">
        <v>44302</v>
      </c>
      <c r="T512" s="384" t="s">
        <v>3851</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x14ac:dyDescent="0.25">
      <c r="A513" s="476" t="s">
        <v>2379</v>
      </c>
      <c r="B513" s="477">
        <v>20441835</v>
      </c>
      <c r="C513" s="212" t="s">
        <v>2571</v>
      </c>
      <c r="D513" s="478">
        <v>508</v>
      </c>
      <c r="E513" s="478">
        <v>20217000021603</v>
      </c>
      <c r="F513" s="479">
        <v>44302</v>
      </c>
      <c r="G513" s="478" t="s">
        <v>2572</v>
      </c>
      <c r="H513" s="212" t="s">
        <v>2573</v>
      </c>
      <c r="I513" s="212" t="s">
        <v>164</v>
      </c>
      <c r="J513" s="475">
        <v>20441835</v>
      </c>
      <c r="K513" s="212" t="s">
        <v>138</v>
      </c>
      <c r="L513" s="212" t="s">
        <v>139</v>
      </c>
      <c r="M513" s="212" t="s">
        <v>44</v>
      </c>
      <c r="N513" s="212" t="s">
        <v>45</v>
      </c>
      <c r="O513" s="212" t="s">
        <v>142</v>
      </c>
      <c r="P513" s="212" t="s">
        <v>43</v>
      </c>
      <c r="R513" s="212">
        <v>551</v>
      </c>
      <c r="S513" s="490">
        <v>44302</v>
      </c>
      <c r="T513" s="486" t="s">
        <v>4212</v>
      </c>
      <c r="U513" s="475">
        <v>20441835</v>
      </c>
      <c r="V513" s="406"/>
      <c r="W513" s="362"/>
      <c r="X513" s="483" t="s">
        <v>4213</v>
      </c>
      <c r="Y513" s="484">
        <v>44316</v>
      </c>
      <c r="Z513" s="484">
        <v>44316</v>
      </c>
      <c r="AA513" s="484">
        <v>44468</v>
      </c>
      <c r="AB513" s="485" t="s">
        <v>2575</v>
      </c>
      <c r="AC513" s="483" t="s">
        <v>2816</v>
      </c>
      <c r="AD513" s="485" t="s">
        <v>4214</v>
      </c>
      <c r="AE513" s="486" t="s">
        <v>2752</v>
      </c>
      <c r="AF513" s="473">
        <v>20441835</v>
      </c>
      <c r="AG513" s="474">
        <f t="shared" si="8"/>
        <v>0</v>
      </c>
      <c r="AM513" s="306">
        <v>4224645</v>
      </c>
    </row>
    <row r="514" spans="1:39" s="312" customFormat="1" hidden="1" x14ac:dyDescent="0.25">
      <c r="A514" s="361" t="s">
        <v>1895</v>
      </c>
      <c r="B514" s="417">
        <v>31798410</v>
      </c>
      <c r="C514" s="312" t="s">
        <v>2687</v>
      </c>
      <c r="D514" s="325">
        <v>509</v>
      </c>
      <c r="E514" s="325">
        <v>20217000021733</v>
      </c>
      <c r="F514" s="315">
        <v>44302</v>
      </c>
      <c r="G514" s="325" t="s">
        <v>2572</v>
      </c>
      <c r="H514" s="312" t="s">
        <v>2573</v>
      </c>
      <c r="I514" s="312" t="s">
        <v>164</v>
      </c>
      <c r="J514" s="405">
        <v>16353468</v>
      </c>
      <c r="K514" s="312" t="s">
        <v>138</v>
      </c>
      <c r="L514" s="312" t="s">
        <v>139</v>
      </c>
      <c r="M514" s="312" t="s">
        <v>44</v>
      </c>
      <c r="N514" s="312" t="s">
        <v>45</v>
      </c>
      <c r="O514" s="312" t="s">
        <v>142</v>
      </c>
      <c r="P514" s="312" t="s">
        <v>43</v>
      </c>
      <c r="R514" s="312">
        <v>553</v>
      </c>
      <c r="S514" s="363">
        <v>44302</v>
      </c>
      <c r="T514" s="360" t="s">
        <v>4215</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x14ac:dyDescent="0.25">
      <c r="A515" s="476" t="s">
        <v>1856</v>
      </c>
      <c r="B515" s="477">
        <v>31798410</v>
      </c>
      <c r="C515" s="212" t="s">
        <v>2571</v>
      </c>
      <c r="D515" s="478">
        <v>510</v>
      </c>
      <c r="E515" s="478">
        <v>20217000021753</v>
      </c>
      <c r="F515" s="479">
        <v>44302</v>
      </c>
      <c r="G515" s="478" t="s">
        <v>2572</v>
      </c>
      <c r="H515" s="212" t="s">
        <v>2573</v>
      </c>
      <c r="I515" s="212" t="s">
        <v>164</v>
      </c>
      <c r="J515" s="475">
        <v>25438728</v>
      </c>
      <c r="K515" s="212" t="s">
        <v>138</v>
      </c>
      <c r="L515" s="212" t="s">
        <v>139</v>
      </c>
      <c r="M515" s="212" t="s">
        <v>44</v>
      </c>
      <c r="N515" s="212" t="s">
        <v>45</v>
      </c>
      <c r="O515" s="212" t="s">
        <v>142</v>
      </c>
      <c r="P515" s="212" t="s">
        <v>43</v>
      </c>
      <c r="R515" s="212">
        <v>554</v>
      </c>
      <c r="S515" s="490">
        <v>44302</v>
      </c>
      <c r="T515" s="486" t="s">
        <v>4216</v>
      </c>
      <c r="U515" s="475">
        <v>25438728</v>
      </c>
      <c r="V515" s="406"/>
      <c r="W515" s="362"/>
      <c r="X515" s="483" t="s">
        <v>4217</v>
      </c>
      <c r="Y515" s="484">
        <v>44315</v>
      </c>
      <c r="Z515" s="484">
        <v>44315</v>
      </c>
      <c r="AA515" s="484">
        <v>44561</v>
      </c>
      <c r="AB515" s="485" t="s">
        <v>2575</v>
      </c>
      <c r="AC515" s="483" t="s">
        <v>3616</v>
      </c>
      <c r="AD515" s="485" t="s">
        <v>4218</v>
      </c>
      <c r="AE515" s="486" t="s">
        <v>3010</v>
      </c>
      <c r="AF515" s="473">
        <v>25438728</v>
      </c>
      <c r="AG515" s="474">
        <f t="shared" si="8"/>
        <v>0</v>
      </c>
      <c r="AM515" s="306">
        <v>3391830</v>
      </c>
    </row>
    <row r="516" spans="1:39" hidden="1" x14ac:dyDescent="0.25">
      <c r="A516" s="476" t="s">
        <v>1908</v>
      </c>
      <c r="B516" s="477">
        <v>53148771</v>
      </c>
      <c r="C516" s="212" t="s">
        <v>2571</v>
      </c>
      <c r="D516" s="478">
        <v>511</v>
      </c>
      <c r="E516" s="478">
        <v>20217000021803</v>
      </c>
      <c r="F516" s="479">
        <v>44302</v>
      </c>
      <c r="G516" s="478" t="s">
        <v>2572</v>
      </c>
      <c r="H516" s="212" t="s">
        <v>2573</v>
      </c>
      <c r="I516" s="212" t="s">
        <v>164</v>
      </c>
      <c r="J516" s="475">
        <v>35432514</v>
      </c>
      <c r="K516" s="212" t="s">
        <v>138</v>
      </c>
      <c r="L516" s="212" t="s">
        <v>139</v>
      </c>
      <c r="M516" s="212" t="s">
        <v>44</v>
      </c>
      <c r="N516" s="212" t="s">
        <v>45</v>
      </c>
      <c r="O516" s="212" t="s">
        <v>142</v>
      </c>
      <c r="P516" s="212" t="s">
        <v>43</v>
      </c>
      <c r="R516" s="212">
        <v>555</v>
      </c>
      <c r="S516" s="490">
        <v>44302</v>
      </c>
      <c r="T516" s="486" t="s">
        <v>3273</v>
      </c>
      <c r="U516" s="475">
        <v>35432514</v>
      </c>
      <c r="V516" s="406"/>
      <c r="W516" s="362"/>
      <c r="X516" s="483" t="s">
        <v>4219</v>
      </c>
      <c r="Y516" s="484">
        <v>44316</v>
      </c>
      <c r="Z516" s="484">
        <v>44316</v>
      </c>
      <c r="AA516" s="484">
        <v>44498</v>
      </c>
      <c r="AB516" s="485" t="s">
        <v>2575</v>
      </c>
      <c r="AC516" s="483" t="s">
        <v>3712</v>
      </c>
      <c r="AD516" s="485" t="s">
        <v>3167</v>
      </c>
      <c r="AE516" s="486" t="s">
        <v>3168</v>
      </c>
      <c r="AF516" s="473">
        <v>35432514</v>
      </c>
      <c r="AG516" s="474">
        <f t="shared" si="8"/>
        <v>0</v>
      </c>
      <c r="AM516" s="306">
        <v>5708572</v>
      </c>
    </row>
    <row r="517" spans="1:39" hidden="1" x14ac:dyDescent="0.25">
      <c r="A517" s="476" t="s">
        <v>2229</v>
      </c>
      <c r="B517" s="477">
        <v>90825000</v>
      </c>
      <c r="C517" s="212" t="s">
        <v>4220</v>
      </c>
      <c r="D517" s="478">
        <v>512</v>
      </c>
      <c r="E517" s="478">
        <v>20211400021713</v>
      </c>
      <c r="F517" s="479">
        <v>44302</v>
      </c>
      <c r="G517" s="478" t="s">
        <v>2572</v>
      </c>
      <c r="H517" s="212" t="s">
        <v>2573</v>
      </c>
      <c r="I517" s="212" t="s">
        <v>184</v>
      </c>
      <c r="J517" s="475">
        <v>64850000</v>
      </c>
      <c r="K517" s="212" t="s">
        <v>138</v>
      </c>
      <c r="L517" s="212" t="s">
        <v>2577</v>
      </c>
      <c r="M517" s="212" t="s">
        <v>2767</v>
      </c>
      <c r="N517" s="212" t="s">
        <v>157</v>
      </c>
      <c r="O517" s="212" t="s">
        <v>158</v>
      </c>
      <c r="P517" s="212" t="s">
        <v>43</v>
      </c>
      <c r="R517" s="486">
        <v>592</v>
      </c>
      <c r="S517" s="490">
        <v>44327</v>
      </c>
      <c r="T517" s="486" t="s">
        <v>4221</v>
      </c>
      <c r="U517" s="475">
        <f>64850000-26707098</f>
        <v>38142902</v>
      </c>
      <c r="V517" s="406">
        <v>26707098</v>
      </c>
      <c r="W517" s="362" t="s">
        <v>1453</v>
      </c>
      <c r="X517" s="308">
        <v>537</v>
      </c>
      <c r="Y517" s="472">
        <v>44335</v>
      </c>
      <c r="Z517" s="484">
        <v>44335</v>
      </c>
      <c r="AA517" s="484">
        <v>44514</v>
      </c>
      <c r="AB517" s="486" t="s">
        <v>3007</v>
      </c>
      <c r="AC517" s="483" t="s">
        <v>4222</v>
      </c>
      <c r="AD517" s="486" t="s">
        <v>4223</v>
      </c>
      <c r="AE517" s="486" t="s">
        <v>4224</v>
      </c>
      <c r="AF517" s="473">
        <v>38142902</v>
      </c>
      <c r="AG517" s="474">
        <f t="shared" si="8"/>
        <v>0</v>
      </c>
      <c r="AM517" s="212"/>
    </row>
    <row r="518" spans="1:39" hidden="1" x14ac:dyDescent="0.25">
      <c r="A518" s="476" t="s">
        <v>1985</v>
      </c>
      <c r="B518" s="477">
        <v>24000000</v>
      </c>
      <c r="C518" s="212" t="s">
        <v>2571</v>
      </c>
      <c r="D518" s="478">
        <v>513</v>
      </c>
      <c r="E518" s="478">
        <v>20213000022133</v>
      </c>
      <c r="F518" s="479">
        <v>44305</v>
      </c>
      <c r="G518" s="478" t="s">
        <v>2565</v>
      </c>
      <c r="H518" s="212" t="s">
        <v>2566</v>
      </c>
      <c r="I518" s="212" t="s">
        <v>432</v>
      </c>
      <c r="J518" s="475">
        <v>24000000</v>
      </c>
      <c r="K518" s="212" t="s">
        <v>342</v>
      </c>
      <c r="L518" s="212" t="s">
        <v>351</v>
      </c>
      <c r="M518" s="212" t="s">
        <v>44</v>
      </c>
      <c r="N518" s="212" t="s">
        <v>45</v>
      </c>
      <c r="O518" s="212" t="s">
        <v>63</v>
      </c>
      <c r="P518" s="212" t="s">
        <v>676</v>
      </c>
      <c r="R518" s="212">
        <v>564</v>
      </c>
      <c r="S518" s="490">
        <v>44305</v>
      </c>
      <c r="T518" s="486" t="s">
        <v>4225</v>
      </c>
      <c r="U518" s="475">
        <v>24000000</v>
      </c>
      <c r="V518" s="406"/>
      <c r="W518" s="362"/>
      <c r="X518" s="483" t="s">
        <v>4226</v>
      </c>
      <c r="Y518" s="484">
        <v>44319</v>
      </c>
      <c r="Z518" s="484">
        <v>44319</v>
      </c>
      <c r="AA518" s="484">
        <v>44502</v>
      </c>
      <c r="AB518" s="486" t="s">
        <v>2575</v>
      </c>
      <c r="AC518" s="483" t="s">
        <v>3744</v>
      </c>
      <c r="AD518" s="486" t="s">
        <v>4227</v>
      </c>
      <c r="AE518" s="486" t="s">
        <v>4228</v>
      </c>
      <c r="AF518" s="473">
        <v>24000000</v>
      </c>
      <c r="AG518" s="474">
        <f t="shared" si="8"/>
        <v>0</v>
      </c>
      <c r="AM518" s="306">
        <v>3733333</v>
      </c>
    </row>
    <row r="519" spans="1:39" hidden="1" x14ac:dyDescent="0.25">
      <c r="A519" s="466" t="s">
        <v>1816</v>
      </c>
      <c r="B519" s="467">
        <v>200000000</v>
      </c>
      <c r="C519" s="468" t="s">
        <v>4229</v>
      </c>
      <c r="D519" s="469">
        <v>514</v>
      </c>
      <c r="E519" s="469">
        <v>20213000021973</v>
      </c>
      <c r="F519" s="470">
        <v>44305</v>
      </c>
      <c r="G519" s="469" t="s">
        <v>2565</v>
      </c>
      <c r="H519" s="468" t="s">
        <v>2566</v>
      </c>
      <c r="I519" s="468" t="s">
        <v>432</v>
      </c>
      <c r="J519" s="471">
        <v>200000000</v>
      </c>
      <c r="K519" s="468" t="s">
        <v>358</v>
      </c>
      <c r="L519" s="468" t="s">
        <v>4230</v>
      </c>
      <c r="M519" s="468" t="s">
        <v>44</v>
      </c>
      <c r="N519" s="468" t="s">
        <v>45</v>
      </c>
      <c r="O519" s="212" t="s">
        <v>310</v>
      </c>
      <c r="P519" s="212" t="s">
        <v>676</v>
      </c>
      <c r="Q519" s="468"/>
      <c r="R519" s="468">
        <v>562</v>
      </c>
      <c r="S519" s="528">
        <v>44305</v>
      </c>
      <c r="T519" s="529" t="s">
        <v>4231</v>
      </c>
      <c r="U519" s="471">
        <v>200000000</v>
      </c>
      <c r="V519" s="414"/>
      <c r="W519" s="379"/>
      <c r="AG519" s="474">
        <f t="shared" si="8"/>
        <v>200000000</v>
      </c>
      <c r="AI519" s="471"/>
      <c r="AJ519" s="471"/>
      <c r="AK519" s="471"/>
      <c r="AL519" s="471"/>
      <c r="AM519" s="212"/>
    </row>
    <row r="520" spans="1:39" hidden="1" x14ac:dyDescent="0.25">
      <c r="A520" s="476" t="s">
        <v>2014</v>
      </c>
      <c r="B520" s="477">
        <v>34850000</v>
      </c>
      <c r="C520" s="212" t="s">
        <v>2571</v>
      </c>
      <c r="D520" s="478">
        <v>515</v>
      </c>
      <c r="E520" s="478">
        <v>20212000021873</v>
      </c>
      <c r="F520" s="479">
        <v>44305</v>
      </c>
      <c r="G520" s="478" t="s">
        <v>2565</v>
      </c>
      <c r="H520" s="212" t="s">
        <v>2566</v>
      </c>
      <c r="I520" s="212" t="s">
        <v>391</v>
      </c>
      <c r="J520" s="475">
        <v>20500000</v>
      </c>
      <c r="K520" s="210" t="s">
        <v>2636</v>
      </c>
      <c r="L520" s="212" t="s">
        <v>2637</v>
      </c>
      <c r="M520" s="210" t="s">
        <v>44</v>
      </c>
      <c r="N520" s="210" t="s">
        <v>45</v>
      </c>
      <c r="O520" s="212" t="s">
        <v>63</v>
      </c>
      <c r="P520" s="212" t="s">
        <v>676</v>
      </c>
      <c r="R520" s="212">
        <v>557</v>
      </c>
      <c r="S520" s="490">
        <v>44305</v>
      </c>
      <c r="T520" s="486" t="s">
        <v>4232</v>
      </c>
      <c r="U520" s="475">
        <v>20500000</v>
      </c>
      <c r="V520" s="406"/>
      <c r="W520" s="362"/>
      <c r="X520" s="483" t="s">
        <v>4233</v>
      </c>
      <c r="Y520" s="484">
        <v>44337</v>
      </c>
      <c r="Z520" s="484">
        <v>44337</v>
      </c>
      <c r="AA520" s="484">
        <v>44489</v>
      </c>
      <c r="AB520" s="486" t="s">
        <v>2575</v>
      </c>
      <c r="AC520" s="483" t="s">
        <v>3538</v>
      </c>
      <c r="AD520" s="486" t="s">
        <v>4234</v>
      </c>
      <c r="AE520" s="486" t="s">
        <v>4235</v>
      </c>
      <c r="AF520" s="473">
        <v>20500000</v>
      </c>
      <c r="AG520" s="474">
        <f t="shared" si="8"/>
        <v>0</v>
      </c>
      <c r="AM520" s="212"/>
    </row>
    <row r="521" spans="1:39" hidden="1" x14ac:dyDescent="0.25">
      <c r="A521" s="476" t="s">
        <v>2043</v>
      </c>
      <c r="B521" s="477">
        <v>34850000</v>
      </c>
      <c r="C521" s="212" t="s">
        <v>2571</v>
      </c>
      <c r="D521" s="478">
        <v>516</v>
      </c>
      <c r="E521" s="478">
        <v>20212000021893</v>
      </c>
      <c r="F521" s="479">
        <v>44305</v>
      </c>
      <c r="G521" s="478" t="s">
        <v>2565</v>
      </c>
      <c r="H521" s="212" t="s">
        <v>2566</v>
      </c>
      <c r="I521" s="212" t="s">
        <v>391</v>
      </c>
      <c r="J521" s="475">
        <v>20500000</v>
      </c>
      <c r="K521" s="210" t="s">
        <v>2636</v>
      </c>
      <c r="L521" s="212" t="s">
        <v>2637</v>
      </c>
      <c r="M521" s="210" t="s">
        <v>44</v>
      </c>
      <c r="N521" s="210" t="s">
        <v>45</v>
      </c>
      <c r="O521" s="212" t="s">
        <v>63</v>
      </c>
      <c r="P521" s="212" t="s">
        <v>676</v>
      </c>
      <c r="R521" s="212">
        <v>558</v>
      </c>
      <c r="S521" s="490">
        <v>44305</v>
      </c>
      <c r="T521" s="486" t="s">
        <v>4236</v>
      </c>
      <c r="U521" s="475">
        <v>20500000</v>
      </c>
      <c r="V521" s="406"/>
      <c r="W521" s="362"/>
      <c r="X521" s="483" t="s">
        <v>4237</v>
      </c>
      <c r="Y521" s="484">
        <v>44320</v>
      </c>
      <c r="Z521" s="484">
        <v>44320</v>
      </c>
      <c r="AA521" s="484">
        <v>44472</v>
      </c>
      <c r="AB521" s="486" t="s">
        <v>2575</v>
      </c>
      <c r="AC521" s="483" t="s">
        <v>4046</v>
      </c>
      <c r="AD521" s="486" t="s">
        <v>4238</v>
      </c>
      <c r="AE521" s="486" t="s">
        <v>4239</v>
      </c>
      <c r="AF521" s="473">
        <v>20500000</v>
      </c>
      <c r="AG521" s="474">
        <f t="shared" si="8"/>
        <v>0</v>
      </c>
      <c r="AM521" s="306">
        <v>3553333</v>
      </c>
    </row>
    <row r="522" spans="1:39" hidden="1" x14ac:dyDescent="0.25">
      <c r="A522" s="476" t="s">
        <v>1989</v>
      </c>
      <c r="B522" s="477">
        <v>34850000</v>
      </c>
      <c r="C522" s="212" t="s">
        <v>2571</v>
      </c>
      <c r="D522" s="478">
        <v>517</v>
      </c>
      <c r="E522" s="478">
        <v>20212000021913</v>
      </c>
      <c r="F522" s="479">
        <v>44305</v>
      </c>
      <c r="G522" s="478" t="s">
        <v>2565</v>
      </c>
      <c r="H522" s="212" t="s">
        <v>2566</v>
      </c>
      <c r="I522" s="212" t="s">
        <v>391</v>
      </c>
      <c r="J522" s="475">
        <v>20500000</v>
      </c>
      <c r="K522" s="210" t="s">
        <v>2636</v>
      </c>
      <c r="L522" s="212" t="s">
        <v>2637</v>
      </c>
      <c r="M522" s="210" t="s">
        <v>44</v>
      </c>
      <c r="N522" s="210" t="s">
        <v>45</v>
      </c>
      <c r="O522" s="212" t="s">
        <v>63</v>
      </c>
      <c r="P522" s="212" t="s">
        <v>676</v>
      </c>
      <c r="R522" s="212">
        <v>559</v>
      </c>
      <c r="S522" s="490">
        <v>44305</v>
      </c>
      <c r="T522" s="486" t="s">
        <v>4240</v>
      </c>
      <c r="U522" s="475">
        <v>20500000</v>
      </c>
      <c r="V522" s="406"/>
      <c r="W522" s="362"/>
      <c r="X522" s="483" t="s">
        <v>4241</v>
      </c>
      <c r="Y522" s="484">
        <v>44328</v>
      </c>
      <c r="Z522" s="484">
        <v>44328</v>
      </c>
      <c r="AA522" s="484">
        <v>44481</v>
      </c>
      <c r="AB522" s="486" t="s">
        <v>2575</v>
      </c>
      <c r="AC522" s="483" t="s">
        <v>3762</v>
      </c>
      <c r="AD522" s="486" t="s">
        <v>4242</v>
      </c>
      <c r="AE522" s="486" t="s">
        <v>4243</v>
      </c>
      <c r="AF522" s="473">
        <v>20500000</v>
      </c>
      <c r="AG522" s="474">
        <f t="shared" si="8"/>
        <v>0</v>
      </c>
      <c r="AM522" s="306">
        <v>2460000</v>
      </c>
    </row>
    <row r="523" spans="1:39" hidden="1" x14ac:dyDescent="0.25">
      <c r="A523" s="466" t="s">
        <v>2044</v>
      </c>
      <c r="B523" s="467">
        <v>34850000</v>
      </c>
      <c r="C523" s="212" t="s">
        <v>2571</v>
      </c>
      <c r="D523" s="469">
        <v>518</v>
      </c>
      <c r="E523" s="469">
        <v>20212000021923</v>
      </c>
      <c r="F523" s="470">
        <v>44305</v>
      </c>
      <c r="G523" s="469" t="s">
        <v>2565</v>
      </c>
      <c r="H523" s="468" t="s">
        <v>2566</v>
      </c>
      <c r="I523" s="468" t="s">
        <v>391</v>
      </c>
      <c r="J523" s="471">
        <v>20500000</v>
      </c>
      <c r="K523" s="377" t="s">
        <v>2636</v>
      </c>
      <c r="L523" s="468" t="s">
        <v>2637</v>
      </c>
      <c r="M523" s="377" t="s">
        <v>44</v>
      </c>
      <c r="N523" s="377" t="s">
        <v>45</v>
      </c>
      <c r="O523" s="468" t="s">
        <v>63</v>
      </c>
      <c r="P523" s="212" t="s">
        <v>676</v>
      </c>
      <c r="Q523" s="468"/>
      <c r="R523" s="468">
        <v>560</v>
      </c>
      <c r="S523" s="528">
        <v>44305</v>
      </c>
      <c r="T523" s="529" t="s">
        <v>4244</v>
      </c>
      <c r="U523" s="471">
        <v>20500000</v>
      </c>
      <c r="V523" s="414"/>
      <c r="W523" s="379"/>
      <c r="X523" s="483" t="s">
        <v>4245</v>
      </c>
      <c r="Y523" s="484">
        <v>44316</v>
      </c>
      <c r="Z523" s="484">
        <v>44316</v>
      </c>
      <c r="AA523" s="484">
        <v>44468</v>
      </c>
      <c r="AB523" s="485" t="s">
        <v>2575</v>
      </c>
      <c r="AC523" s="483" t="s">
        <v>3291</v>
      </c>
      <c r="AD523" s="485" t="s">
        <v>4246</v>
      </c>
      <c r="AE523" s="486" t="s">
        <v>4247</v>
      </c>
      <c r="AF523" s="473">
        <v>20500000</v>
      </c>
      <c r="AG523" s="474">
        <f t="shared" si="8"/>
        <v>0</v>
      </c>
      <c r="AI523" s="471"/>
      <c r="AJ523" s="471"/>
      <c r="AK523" s="471"/>
      <c r="AL523" s="471"/>
      <c r="AM523" s="306">
        <v>3826667</v>
      </c>
    </row>
    <row r="524" spans="1:39" hidden="1" x14ac:dyDescent="0.25">
      <c r="A524" s="476" t="s">
        <v>1669</v>
      </c>
      <c r="B524" s="477">
        <v>23162500</v>
      </c>
      <c r="C524" s="212" t="s">
        <v>2571</v>
      </c>
      <c r="D524" s="478">
        <v>519</v>
      </c>
      <c r="E524" s="478">
        <v>20212000021933</v>
      </c>
      <c r="F524" s="479">
        <v>44305</v>
      </c>
      <c r="G524" s="478" t="s">
        <v>2565</v>
      </c>
      <c r="H524" s="212" t="s">
        <v>2566</v>
      </c>
      <c r="I524" s="212" t="s">
        <v>391</v>
      </c>
      <c r="J524" s="475">
        <v>11350000</v>
      </c>
      <c r="K524" s="210" t="s">
        <v>2636</v>
      </c>
      <c r="L524" s="212" t="s">
        <v>2637</v>
      </c>
      <c r="M524" s="210" t="s">
        <v>44</v>
      </c>
      <c r="N524" s="210" t="s">
        <v>45</v>
      </c>
      <c r="O524" s="212" t="s">
        <v>63</v>
      </c>
      <c r="P524" s="212" t="s">
        <v>676</v>
      </c>
      <c r="R524" s="212">
        <v>561</v>
      </c>
      <c r="S524" s="490">
        <v>44305</v>
      </c>
      <c r="T524" s="486" t="s">
        <v>4248</v>
      </c>
      <c r="U524" s="475">
        <v>11350000</v>
      </c>
      <c r="V524" s="406"/>
      <c r="W524" s="362"/>
      <c r="AG524" s="474">
        <f t="shared" si="8"/>
        <v>11350000</v>
      </c>
      <c r="AM524" s="212"/>
    </row>
    <row r="525" spans="1:39" hidden="1" x14ac:dyDescent="0.25">
      <c r="A525" s="476" t="s">
        <v>1899</v>
      </c>
      <c r="B525" s="477">
        <v>49060404</v>
      </c>
      <c r="C525" s="212" t="s">
        <v>2571</v>
      </c>
      <c r="D525" s="478">
        <v>520</v>
      </c>
      <c r="E525" s="478">
        <v>20217000022053</v>
      </c>
      <c r="F525" s="479">
        <v>44305</v>
      </c>
      <c r="G525" s="478" t="s">
        <v>2572</v>
      </c>
      <c r="H525" s="212" t="s">
        <v>2573</v>
      </c>
      <c r="I525" s="212" t="s">
        <v>164</v>
      </c>
      <c r="J525" s="475">
        <v>41338000</v>
      </c>
      <c r="K525" s="212" t="s">
        <v>138</v>
      </c>
      <c r="L525" s="212" t="s">
        <v>139</v>
      </c>
      <c r="M525" s="212" t="s">
        <v>44</v>
      </c>
      <c r="N525" s="212" t="s">
        <v>45</v>
      </c>
      <c r="O525" s="212" t="s">
        <v>142</v>
      </c>
      <c r="P525" s="212" t="s">
        <v>43</v>
      </c>
      <c r="R525" s="212">
        <v>563</v>
      </c>
      <c r="S525" s="490">
        <v>44305</v>
      </c>
      <c r="T525" s="486" t="s">
        <v>4249</v>
      </c>
      <c r="U525" s="475">
        <v>41338000</v>
      </c>
      <c r="V525" s="406"/>
      <c r="W525" s="362"/>
      <c r="X525" s="483">
        <v>532</v>
      </c>
      <c r="Y525" s="484">
        <v>44329</v>
      </c>
      <c r="Z525" s="484">
        <v>44329</v>
      </c>
      <c r="AA525" s="484">
        <v>44543</v>
      </c>
      <c r="AB525" s="486" t="s">
        <v>2575</v>
      </c>
      <c r="AC525" s="483" t="s">
        <v>4005</v>
      </c>
      <c r="AD525" s="486" t="s">
        <v>4250</v>
      </c>
      <c r="AE525" s="486" t="s">
        <v>3257</v>
      </c>
      <c r="AF525" s="473">
        <v>41337933</v>
      </c>
      <c r="AG525" s="474">
        <f t="shared" si="8"/>
        <v>67</v>
      </c>
      <c r="AM525" s="306">
        <v>3543251</v>
      </c>
    </row>
    <row r="526" spans="1:39" hidden="1" x14ac:dyDescent="0.25">
      <c r="C526" s="212" t="s">
        <v>4251</v>
      </c>
      <c r="D526" s="478">
        <v>521</v>
      </c>
      <c r="E526" s="478">
        <v>20217000022213</v>
      </c>
      <c r="F526" s="479">
        <v>44306</v>
      </c>
      <c r="G526" s="478" t="s">
        <v>2572</v>
      </c>
      <c r="H526" s="212" t="s">
        <v>2573</v>
      </c>
      <c r="I526" s="212" t="s">
        <v>164</v>
      </c>
      <c r="J526" s="475">
        <v>38794972</v>
      </c>
      <c r="K526" s="212" t="s">
        <v>138</v>
      </c>
      <c r="L526" s="212" t="s">
        <v>4252</v>
      </c>
      <c r="M526" s="212" t="s">
        <v>44</v>
      </c>
      <c r="N526" s="212" t="s">
        <v>45</v>
      </c>
      <c r="O526" s="212" t="s">
        <v>310</v>
      </c>
      <c r="P526" s="212" t="s">
        <v>43</v>
      </c>
      <c r="R526" s="212">
        <v>565</v>
      </c>
      <c r="S526" s="490">
        <v>44306</v>
      </c>
      <c r="T526" s="486" t="s">
        <v>4253</v>
      </c>
      <c r="U526" s="475">
        <v>38794972</v>
      </c>
      <c r="V526" s="406"/>
      <c r="W526" s="362"/>
      <c r="X526" s="483" t="s">
        <v>4254</v>
      </c>
      <c r="Y526" s="484">
        <v>44341</v>
      </c>
      <c r="Z526" s="484">
        <v>44341</v>
      </c>
      <c r="AA526" s="484">
        <v>44346</v>
      </c>
      <c r="AB526" s="486" t="s">
        <v>3031</v>
      </c>
      <c r="AC526" s="483" t="s">
        <v>4255</v>
      </c>
      <c r="AD526" s="486" t="s">
        <v>4256</v>
      </c>
      <c r="AE526" s="486" t="s">
        <v>4257</v>
      </c>
      <c r="AF526" s="473">
        <v>1622584</v>
      </c>
      <c r="AG526" s="474">
        <f t="shared" si="8"/>
        <v>37172388</v>
      </c>
      <c r="AL526" s="475">
        <v>1622584</v>
      </c>
      <c r="AM526" s="212"/>
    </row>
    <row r="527" spans="1:39" s="312" customFormat="1" hidden="1" x14ac:dyDescent="0.25">
      <c r="A527" s="380" t="s">
        <v>1811</v>
      </c>
      <c r="B527" s="421">
        <v>490000000</v>
      </c>
      <c r="C527" s="364" t="s">
        <v>4258</v>
      </c>
      <c r="D527" s="381">
        <v>522</v>
      </c>
      <c r="E527" s="381">
        <v>20213000022283</v>
      </c>
      <c r="F527" s="382">
        <v>44306</v>
      </c>
      <c r="G527" s="381" t="s">
        <v>2565</v>
      </c>
      <c r="H527" s="364" t="s">
        <v>2566</v>
      </c>
      <c r="I527" s="364" t="s">
        <v>432</v>
      </c>
      <c r="J527" s="408">
        <v>278008956</v>
      </c>
      <c r="K527" s="364" t="s">
        <v>342</v>
      </c>
      <c r="L527" s="364" t="s">
        <v>351</v>
      </c>
      <c r="M527" s="364" t="s">
        <v>44</v>
      </c>
      <c r="N527" s="364" t="s">
        <v>45</v>
      </c>
      <c r="O527" s="364" t="s">
        <v>63</v>
      </c>
      <c r="P527" s="364" t="s">
        <v>676</v>
      </c>
      <c r="Q527" s="364"/>
      <c r="R527" s="364">
        <v>566</v>
      </c>
      <c r="S527" s="383">
        <v>44306</v>
      </c>
      <c r="T527" s="384" t="s">
        <v>4259</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x14ac:dyDescent="0.25">
      <c r="A528" s="476" t="s">
        <v>2102</v>
      </c>
      <c r="B528" s="477">
        <v>310700000</v>
      </c>
      <c r="C528" s="212" t="s">
        <v>4260</v>
      </c>
      <c r="D528" s="478">
        <v>523</v>
      </c>
      <c r="E528" s="478">
        <v>20215000022803</v>
      </c>
      <c r="F528" s="479">
        <v>44308</v>
      </c>
      <c r="G528" s="478" t="s">
        <v>2565</v>
      </c>
      <c r="H528" s="212" t="s">
        <v>2566</v>
      </c>
      <c r="I528" s="210" t="s">
        <v>228</v>
      </c>
      <c r="J528" s="475">
        <v>310700000</v>
      </c>
      <c r="K528" s="212" t="s">
        <v>223</v>
      </c>
      <c r="L528" s="212" t="s">
        <v>236</v>
      </c>
      <c r="M528" s="212" t="s">
        <v>44</v>
      </c>
      <c r="N528" s="212" t="s">
        <v>45</v>
      </c>
      <c r="O528" s="210" t="s">
        <v>265</v>
      </c>
      <c r="P528" s="212" t="s">
        <v>676</v>
      </c>
      <c r="R528" s="212">
        <v>570</v>
      </c>
      <c r="S528" s="490">
        <v>44309</v>
      </c>
      <c r="T528" s="486" t="s">
        <v>4261</v>
      </c>
      <c r="U528" s="693">
        <v>310700000</v>
      </c>
      <c r="V528" s="406"/>
      <c r="X528" s="483" t="s">
        <v>4262</v>
      </c>
      <c r="Y528" s="484">
        <v>44362</v>
      </c>
      <c r="Z528" s="484">
        <v>44362</v>
      </c>
      <c r="AA528" s="484">
        <v>44377</v>
      </c>
      <c r="AB528" s="486" t="s">
        <v>3007</v>
      </c>
      <c r="AC528" s="483" t="s">
        <v>4263</v>
      </c>
      <c r="AD528" s="486" t="s">
        <v>4264</v>
      </c>
      <c r="AE528" s="486" t="s">
        <v>4265</v>
      </c>
      <c r="AF528" s="473">
        <v>251850622</v>
      </c>
      <c r="AG528" s="474">
        <f t="shared" si="8"/>
        <v>58849378</v>
      </c>
      <c r="AM528" s="212"/>
    </row>
    <row r="529" spans="1:39" s="312" customFormat="1" hidden="1" x14ac:dyDescent="0.25">
      <c r="A529" s="361" t="s">
        <v>1813</v>
      </c>
      <c r="B529" s="417">
        <v>280000000</v>
      </c>
      <c r="C529" s="312" t="s">
        <v>4266</v>
      </c>
      <c r="D529" s="325">
        <v>524</v>
      </c>
      <c r="E529" s="325">
        <v>20213000022983</v>
      </c>
      <c r="F529" s="315">
        <v>44308</v>
      </c>
      <c r="G529" s="325" t="s">
        <v>2565</v>
      </c>
      <c r="H529" s="312" t="s">
        <v>2566</v>
      </c>
      <c r="I529" s="312" t="s">
        <v>432</v>
      </c>
      <c r="J529" s="405">
        <v>278008956</v>
      </c>
      <c r="K529" s="312" t="s">
        <v>342</v>
      </c>
      <c r="L529" s="312" t="s">
        <v>351</v>
      </c>
      <c r="M529" s="312" t="s">
        <v>44</v>
      </c>
      <c r="N529" s="312" t="s">
        <v>45</v>
      </c>
      <c r="O529" s="312" t="s">
        <v>63</v>
      </c>
      <c r="P529" s="312" t="s">
        <v>676</v>
      </c>
      <c r="R529" s="312">
        <v>571</v>
      </c>
      <c r="S529" s="363">
        <v>44309</v>
      </c>
      <c r="T529" s="360" t="s">
        <v>4267</v>
      </c>
      <c r="U529" s="405">
        <f>278008956-278008956</f>
        <v>0</v>
      </c>
      <c r="V529" s="406">
        <v>278008956</v>
      </c>
      <c r="W529" s="362" t="s">
        <v>4268</v>
      </c>
      <c r="X529" s="314"/>
      <c r="Y529" s="358"/>
      <c r="Z529" s="358"/>
      <c r="AA529" s="358"/>
      <c r="AB529" s="317"/>
      <c r="AC529" s="316"/>
      <c r="AD529" s="317"/>
      <c r="AF529" s="410"/>
      <c r="AG529" s="318">
        <f t="shared" si="8"/>
        <v>0</v>
      </c>
      <c r="AH529" s="405"/>
      <c r="AI529" s="405"/>
      <c r="AJ529" s="405"/>
      <c r="AK529" s="405"/>
      <c r="AL529" s="405"/>
      <c r="AM529" s="212"/>
    </row>
    <row r="530" spans="1:39" hidden="1" x14ac:dyDescent="0.25">
      <c r="A530" s="476" t="s">
        <v>3995</v>
      </c>
      <c r="B530" s="477">
        <v>63000000</v>
      </c>
      <c r="C530" s="212" t="s">
        <v>2571</v>
      </c>
      <c r="D530" s="478">
        <v>525</v>
      </c>
      <c r="E530" s="478">
        <v>20217000023003</v>
      </c>
      <c r="F530" s="479">
        <v>44308</v>
      </c>
      <c r="G530" s="478" t="s">
        <v>2572</v>
      </c>
      <c r="H530" s="212" t="s">
        <v>2573</v>
      </c>
      <c r="I530" s="212" t="s">
        <v>164</v>
      </c>
      <c r="J530" s="475">
        <v>29072832</v>
      </c>
      <c r="K530" s="212" t="s">
        <v>138</v>
      </c>
      <c r="L530" s="212" t="s">
        <v>139</v>
      </c>
      <c r="M530" s="212" t="s">
        <v>44</v>
      </c>
      <c r="N530" s="212" t="s">
        <v>45</v>
      </c>
      <c r="O530" s="212" t="s">
        <v>142</v>
      </c>
      <c r="P530" s="212" t="s">
        <v>43</v>
      </c>
      <c r="R530" s="212">
        <v>572</v>
      </c>
      <c r="S530" s="490">
        <v>44309</v>
      </c>
      <c r="T530" s="486" t="s">
        <v>4199</v>
      </c>
      <c r="U530" s="475">
        <v>29072832</v>
      </c>
      <c r="V530" s="406"/>
      <c r="W530" s="362"/>
      <c r="X530" s="483" t="s">
        <v>4269</v>
      </c>
      <c r="Y530" s="484">
        <v>44322</v>
      </c>
      <c r="Z530" s="484">
        <v>44322</v>
      </c>
      <c r="AA530" s="484">
        <v>44444</v>
      </c>
      <c r="AB530" s="486" t="s">
        <v>2575</v>
      </c>
      <c r="AC530" s="483" t="s">
        <v>3341</v>
      </c>
      <c r="AD530" s="486" t="s">
        <v>4270</v>
      </c>
      <c r="AE530" s="486" t="s">
        <v>3119</v>
      </c>
      <c r="AF530" s="473">
        <v>29072832</v>
      </c>
      <c r="AG530" s="474">
        <f t="shared" si="8"/>
        <v>0</v>
      </c>
      <c r="AM530" s="212"/>
    </row>
    <row r="531" spans="1:39" hidden="1" x14ac:dyDescent="0.25">
      <c r="A531" s="476" t="s">
        <v>2046</v>
      </c>
      <c r="B531" s="477">
        <v>32300000</v>
      </c>
      <c r="C531" s="212" t="s">
        <v>2571</v>
      </c>
      <c r="D531" s="478">
        <v>526</v>
      </c>
      <c r="E531" s="478">
        <v>20212000022543</v>
      </c>
      <c r="F531" s="479">
        <v>44309</v>
      </c>
      <c r="G531" s="478" t="s">
        <v>2565</v>
      </c>
      <c r="H531" s="212" t="s">
        <v>2566</v>
      </c>
      <c r="I531" s="212" t="s">
        <v>391</v>
      </c>
      <c r="J531" s="475">
        <v>19000000</v>
      </c>
      <c r="K531" s="210" t="s">
        <v>2636</v>
      </c>
      <c r="L531" s="212" t="s">
        <v>2637</v>
      </c>
      <c r="M531" s="210" t="s">
        <v>44</v>
      </c>
      <c r="N531" s="210" t="s">
        <v>45</v>
      </c>
      <c r="O531" s="212" t="s">
        <v>63</v>
      </c>
      <c r="P531" s="212" t="s">
        <v>676</v>
      </c>
      <c r="R531" s="212">
        <v>573</v>
      </c>
      <c r="S531" s="490">
        <v>44309</v>
      </c>
      <c r="T531" s="486" t="s">
        <v>4271</v>
      </c>
      <c r="U531" s="475">
        <v>19000000</v>
      </c>
      <c r="V531" s="406"/>
      <c r="W531" s="362"/>
      <c r="X531" s="483" t="s">
        <v>4272</v>
      </c>
      <c r="Y531" s="484">
        <v>44323</v>
      </c>
      <c r="Z531" s="484">
        <v>44323</v>
      </c>
      <c r="AA531" s="484">
        <v>44506</v>
      </c>
      <c r="AB531" s="486" t="s">
        <v>2575</v>
      </c>
      <c r="AC531" s="483" t="s">
        <v>4273</v>
      </c>
      <c r="AD531" s="486" t="s">
        <v>4274</v>
      </c>
      <c r="AE531" s="486" t="s">
        <v>4275</v>
      </c>
      <c r="AF531" s="473">
        <v>19000000</v>
      </c>
      <c r="AG531" s="474">
        <f t="shared" si="8"/>
        <v>0</v>
      </c>
      <c r="AM531" s="306">
        <v>2660000</v>
      </c>
    </row>
    <row r="532" spans="1:39" hidden="1" x14ac:dyDescent="0.25">
      <c r="A532" s="466" t="s">
        <v>2380</v>
      </c>
      <c r="B532" s="467">
        <v>44958672</v>
      </c>
      <c r="C532" s="212" t="s">
        <v>2571</v>
      </c>
      <c r="D532" s="469">
        <v>527</v>
      </c>
      <c r="E532" s="469">
        <v>20217000023053</v>
      </c>
      <c r="F532" s="470">
        <v>44309</v>
      </c>
      <c r="G532" s="469" t="s">
        <v>2572</v>
      </c>
      <c r="H532" s="468" t="s">
        <v>2573</v>
      </c>
      <c r="I532" s="468" t="s">
        <v>164</v>
      </c>
      <c r="J532" s="471">
        <v>34978251</v>
      </c>
      <c r="K532" s="468" t="s">
        <v>138</v>
      </c>
      <c r="L532" s="468" t="s">
        <v>139</v>
      </c>
      <c r="M532" s="468" t="s">
        <v>44</v>
      </c>
      <c r="N532" s="468" t="s">
        <v>45</v>
      </c>
      <c r="O532" s="468" t="s">
        <v>142</v>
      </c>
      <c r="P532" s="468" t="s">
        <v>43</v>
      </c>
      <c r="Q532" s="468"/>
      <c r="R532" s="468">
        <v>575</v>
      </c>
      <c r="S532" s="528">
        <v>44309</v>
      </c>
      <c r="T532" s="529" t="s">
        <v>4020</v>
      </c>
      <c r="U532" s="471">
        <v>34978251</v>
      </c>
      <c r="V532" s="414"/>
      <c r="W532" s="379"/>
      <c r="X532" s="483" t="s">
        <v>4276</v>
      </c>
      <c r="Y532" s="484">
        <v>44316</v>
      </c>
      <c r="Z532" s="484">
        <v>44316</v>
      </c>
      <c r="AA532" s="484">
        <v>44529</v>
      </c>
      <c r="AB532" s="485" t="s">
        <v>2575</v>
      </c>
      <c r="AC532" s="483" t="s">
        <v>3820</v>
      </c>
      <c r="AD532" s="485" t="s">
        <v>4277</v>
      </c>
      <c r="AE532" s="486" t="s">
        <v>2610</v>
      </c>
      <c r="AF532" s="473">
        <v>34978251</v>
      </c>
      <c r="AG532" s="474">
        <f t="shared" si="8"/>
        <v>0</v>
      </c>
      <c r="AI532" s="471"/>
      <c r="AJ532" s="471"/>
      <c r="AK532" s="471"/>
      <c r="AL532" s="471"/>
      <c r="AM532" s="306">
        <v>4663767</v>
      </c>
    </row>
    <row r="533" spans="1:39" hidden="1" x14ac:dyDescent="0.25">
      <c r="A533" s="313" t="s">
        <v>1895</v>
      </c>
      <c r="B533" s="419">
        <v>31798410</v>
      </c>
      <c r="C533" s="212" t="s">
        <v>2571</v>
      </c>
      <c r="D533" s="309">
        <v>528</v>
      </c>
      <c r="E533" s="309">
        <v>20217000023043</v>
      </c>
      <c r="F533" s="310">
        <v>44309</v>
      </c>
      <c r="G533" s="309" t="s">
        <v>2572</v>
      </c>
      <c r="H533" s="210" t="s">
        <v>2573</v>
      </c>
      <c r="I533" s="210" t="s">
        <v>164</v>
      </c>
      <c r="J533" s="407">
        <v>18433860</v>
      </c>
      <c r="K533" s="210" t="s">
        <v>138</v>
      </c>
      <c r="L533" s="210" t="s">
        <v>139</v>
      </c>
      <c r="M533" s="210" t="s">
        <v>44</v>
      </c>
      <c r="N533" s="210" t="s">
        <v>45</v>
      </c>
      <c r="O533" s="210" t="s">
        <v>142</v>
      </c>
      <c r="P533" s="210" t="s">
        <v>43</v>
      </c>
      <c r="Q533" s="210"/>
      <c r="R533" s="212">
        <v>574</v>
      </c>
      <c r="S533" s="490">
        <v>44309</v>
      </c>
      <c r="T533" s="486" t="s">
        <v>4215</v>
      </c>
      <c r="U533" s="475">
        <v>18433860</v>
      </c>
      <c r="V533" s="406"/>
      <c r="W533" s="362"/>
      <c r="X533" s="483" t="s">
        <v>4278</v>
      </c>
      <c r="Y533" s="484">
        <v>44315</v>
      </c>
      <c r="Z533" s="484">
        <v>44315</v>
      </c>
      <c r="AA533" s="484">
        <v>44497</v>
      </c>
      <c r="AB533" s="485" t="s">
        <v>2575</v>
      </c>
      <c r="AC533" s="483" t="s">
        <v>3457</v>
      </c>
      <c r="AD533" s="485" t="s">
        <v>4279</v>
      </c>
      <c r="AE533" s="486" t="s">
        <v>3117</v>
      </c>
      <c r="AF533" s="473">
        <v>18433860</v>
      </c>
      <c r="AG533" s="474">
        <f t="shared" si="8"/>
        <v>0</v>
      </c>
      <c r="AM533" s="306">
        <v>3174720</v>
      </c>
    </row>
    <row r="534" spans="1:39" hidden="1" x14ac:dyDescent="0.25">
      <c r="A534" s="313" t="s">
        <v>2504</v>
      </c>
      <c r="B534" s="419">
        <v>48000000</v>
      </c>
      <c r="C534" s="212" t="s">
        <v>2571</v>
      </c>
      <c r="D534" s="478">
        <v>529</v>
      </c>
      <c r="E534" s="478">
        <v>20214000023343</v>
      </c>
      <c r="F534" s="310">
        <v>44312</v>
      </c>
      <c r="G534" s="478" t="s">
        <v>2605</v>
      </c>
      <c r="H534" s="212" t="s">
        <v>2606</v>
      </c>
      <c r="I534" s="212" t="s">
        <v>47</v>
      </c>
      <c r="J534" s="475">
        <v>36000000</v>
      </c>
      <c r="K534" s="212" t="s">
        <v>37</v>
      </c>
      <c r="L534" s="212" t="s">
        <v>2607</v>
      </c>
      <c r="M534" s="212" t="s">
        <v>44</v>
      </c>
      <c r="N534" s="212" t="s">
        <v>45</v>
      </c>
      <c r="O534" s="212" t="s">
        <v>310</v>
      </c>
      <c r="P534" s="212" t="s">
        <v>43</v>
      </c>
      <c r="R534" s="212">
        <v>576</v>
      </c>
      <c r="S534" s="490">
        <v>44313</v>
      </c>
      <c r="T534" s="486" t="s">
        <v>4280</v>
      </c>
      <c r="U534" s="475">
        <v>36000000</v>
      </c>
      <c r="V534" s="406"/>
      <c r="X534" s="308">
        <v>563</v>
      </c>
      <c r="Y534" s="472">
        <v>44348</v>
      </c>
      <c r="Z534" s="472">
        <v>44348</v>
      </c>
      <c r="AA534" s="472">
        <v>44530</v>
      </c>
      <c r="AB534" s="486" t="s">
        <v>2575</v>
      </c>
      <c r="AC534" s="211">
        <v>423</v>
      </c>
      <c r="AD534" s="486" t="s">
        <v>4281</v>
      </c>
      <c r="AE534" s="212" t="s">
        <v>4282</v>
      </c>
      <c r="AF534" s="473">
        <v>36000000</v>
      </c>
      <c r="AG534" s="474">
        <f t="shared" si="8"/>
        <v>0</v>
      </c>
      <c r="AM534" s="212"/>
    </row>
    <row r="535" spans="1:39" hidden="1" x14ac:dyDescent="0.25">
      <c r="A535" s="313" t="s">
        <v>2356</v>
      </c>
      <c r="B535" s="419">
        <v>28800000</v>
      </c>
      <c r="C535" s="212" t="s">
        <v>2571</v>
      </c>
      <c r="D535" s="478">
        <v>530</v>
      </c>
      <c r="E535" s="478">
        <v>20215000023403</v>
      </c>
      <c r="F535" s="310">
        <v>44312</v>
      </c>
      <c r="G535" s="478" t="s">
        <v>2565</v>
      </c>
      <c r="H535" s="212" t="s">
        <v>2566</v>
      </c>
      <c r="I535" s="210" t="s">
        <v>228</v>
      </c>
      <c r="J535" s="475">
        <v>28800000</v>
      </c>
      <c r="K535" s="212" t="s">
        <v>223</v>
      </c>
      <c r="L535" s="212" t="s">
        <v>2683</v>
      </c>
      <c r="M535" s="212" t="s">
        <v>44</v>
      </c>
      <c r="N535" s="212" t="s">
        <v>45</v>
      </c>
      <c r="O535" s="212" t="s">
        <v>63</v>
      </c>
      <c r="P535" s="212" t="s">
        <v>676</v>
      </c>
      <c r="R535" s="212">
        <v>577</v>
      </c>
      <c r="S535" s="490">
        <v>44313</v>
      </c>
      <c r="T535" s="486" t="s">
        <v>4283</v>
      </c>
      <c r="U535" s="475">
        <f>28800000-11250000</f>
        <v>17550000</v>
      </c>
      <c r="V535" s="406">
        <v>11250000</v>
      </c>
      <c r="W535" s="307" t="s">
        <v>4268</v>
      </c>
      <c r="X535" s="483" t="s">
        <v>4284</v>
      </c>
      <c r="Y535" s="484">
        <v>44348</v>
      </c>
      <c r="Z535" s="484">
        <v>44348</v>
      </c>
      <c r="AA535" s="484">
        <v>44546</v>
      </c>
      <c r="AB535" s="486" t="s">
        <v>2575</v>
      </c>
      <c r="AC535" s="483" t="s">
        <v>3591</v>
      </c>
      <c r="AD535" s="694" t="s">
        <v>4285</v>
      </c>
      <c r="AE535" s="486" t="s">
        <v>4286</v>
      </c>
      <c r="AF535" s="496">
        <v>17550000</v>
      </c>
      <c r="AG535" s="474">
        <f t="shared" si="8"/>
        <v>0</v>
      </c>
      <c r="AM535" s="212"/>
    </row>
    <row r="536" spans="1:39" hidden="1" x14ac:dyDescent="0.25">
      <c r="A536" s="476" t="s">
        <v>4287</v>
      </c>
      <c r="B536" s="477">
        <v>16000000</v>
      </c>
      <c r="C536" s="212" t="s">
        <v>2571</v>
      </c>
      <c r="D536" s="478">
        <v>531</v>
      </c>
      <c r="E536" s="478">
        <v>20217000023663</v>
      </c>
      <c r="F536" s="310">
        <v>44313</v>
      </c>
      <c r="G536" s="478" t="s">
        <v>2572</v>
      </c>
      <c r="H536" s="212" t="s">
        <v>2573</v>
      </c>
      <c r="I536" s="212" t="s">
        <v>164</v>
      </c>
      <c r="J536" s="475">
        <v>14536416</v>
      </c>
      <c r="K536" s="212" t="s">
        <v>138</v>
      </c>
      <c r="L536" s="212" t="s">
        <v>139</v>
      </c>
      <c r="M536" s="212" t="s">
        <v>44</v>
      </c>
      <c r="N536" s="212" t="s">
        <v>45</v>
      </c>
      <c r="O536" s="212" t="s">
        <v>142</v>
      </c>
      <c r="P536" s="212" t="s">
        <v>43</v>
      </c>
      <c r="R536" s="212">
        <v>578</v>
      </c>
      <c r="S536" s="490">
        <v>44313</v>
      </c>
      <c r="T536" s="486" t="s">
        <v>4288</v>
      </c>
      <c r="U536" s="475">
        <v>14536416</v>
      </c>
      <c r="V536" s="406"/>
      <c r="W536" s="362"/>
      <c r="X536" s="483" t="s">
        <v>4289</v>
      </c>
      <c r="Y536" s="484">
        <v>44322</v>
      </c>
      <c r="Z536" s="484">
        <v>44322</v>
      </c>
      <c r="AA536" s="484">
        <v>44382</v>
      </c>
      <c r="AB536" s="486" t="s">
        <v>2575</v>
      </c>
      <c r="AC536" s="483" t="s">
        <v>4290</v>
      </c>
      <c r="AD536" s="486" t="s">
        <v>4291</v>
      </c>
      <c r="AE536" s="486" t="s">
        <v>4292</v>
      </c>
      <c r="AF536" s="473">
        <v>14536416</v>
      </c>
      <c r="AG536" s="474">
        <f t="shared" si="8"/>
        <v>0</v>
      </c>
      <c r="AM536" s="212"/>
    </row>
    <row r="537" spans="1:39" ht="15.75" hidden="1" x14ac:dyDescent="0.25">
      <c r="A537" s="466" t="s">
        <v>2157</v>
      </c>
      <c r="B537" s="467">
        <v>368824461</v>
      </c>
      <c r="C537" s="468" t="s">
        <v>4293</v>
      </c>
      <c r="D537" s="469">
        <v>532</v>
      </c>
      <c r="E537" s="469">
        <v>20214000024053</v>
      </c>
      <c r="F537" s="385">
        <v>44315</v>
      </c>
      <c r="G537" s="469" t="s">
        <v>2605</v>
      </c>
      <c r="H537" s="468" t="s">
        <v>2606</v>
      </c>
      <c r="I537" s="468" t="s">
        <v>47</v>
      </c>
      <c r="J537" s="471">
        <v>304350003</v>
      </c>
      <c r="K537" s="468" t="s">
        <v>37</v>
      </c>
      <c r="L537" s="534" t="s">
        <v>3105</v>
      </c>
      <c r="M537" s="468" t="s">
        <v>44</v>
      </c>
      <c r="N537" s="468" t="s">
        <v>45</v>
      </c>
      <c r="O537" s="212" t="s">
        <v>310</v>
      </c>
      <c r="P537" s="468" t="s">
        <v>43</v>
      </c>
      <c r="Q537" s="468"/>
      <c r="R537" s="468">
        <v>581</v>
      </c>
      <c r="S537" s="528">
        <v>44315</v>
      </c>
      <c r="T537" s="529" t="s">
        <v>4294</v>
      </c>
      <c r="U537" s="471">
        <v>304350003</v>
      </c>
      <c r="V537" s="414"/>
      <c r="W537" s="379"/>
      <c r="AG537" s="474">
        <f t="shared" si="8"/>
        <v>304350003</v>
      </c>
      <c r="AI537" s="471"/>
      <c r="AJ537" s="471"/>
      <c r="AK537" s="471"/>
      <c r="AL537" s="471"/>
      <c r="AM537" s="212"/>
    </row>
    <row r="538" spans="1:39" ht="15.75" hidden="1" x14ac:dyDescent="0.25">
      <c r="D538" s="537">
        <v>532</v>
      </c>
      <c r="E538" s="478">
        <v>20214000024053</v>
      </c>
      <c r="F538" s="310">
        <v>44315</v>
      </c>
      <c r="G538" s="478" t="s">
        <v>2605</v>
      </c>
      <c r="H538" s="212" t="s">
        <v>2606</v>
      </c>
      <c r="I538" s="212" t="s">
        <v>47</v>
      </c>
      <c r="J538" s="475">
        <v>61499459</v>
      </c>
      <c r="K538" s="212" t="s">
        <v>37</v>
      </c>
      <c r="L538" s="515" t="s">
        <v>3105</v>
      </c>
      <c r="M538" s="212" t="s">
        <v>44</v>
      </c>
      <c r="N538" s="212" t="s">
        <v>45</v>
      </c>
      <c r="O538" s="212" t="s">
        <v>310</v>
      </c>
      <c r="P538" s="210" t="s">
        <v>77</v>
      </c>
      <c r="R538" s="329">
        <v>581</v>
      </c>
      <c r="S538" s="490">
        <v>44315</v>
      </c>
      <c r="T538" s="486" t="s">
        <v>4294</v>
      </c>
      <c r="U538" s="475">
        <v>61499459</v>
      </c>
      <c r="V538" s="406"/>
      <c r="W538" s="362"/>
      <c r="AG538" s="474">
        <f t="shared" si="8"/>
        <v>61499459</v>
      </c>
      <c r="AM538" s="212"/>
    </row>
    <row r="539" spans="1:39" s="312" customFormat="1" hidden="1" x14ac:dyDescent="0.25">
      <c r="A539" s="361" t="s">
        <v>1675</v>
      </c>
      <c r="B539" s="417">
        <v>330000000</v>
      </c>
      <c r="C539" s="312" t="s">
        <v>4295</v>
      </c>
      <c r="D539" s="325">
        <v>533</v>
      </c>
      <c r="E539" s="325">
        <v>20215000023943</v>
      </c>
      <c r="F539" s="315">
        <v>44315</v>
      </c>
      <c r="G539" s="325" t="s">
        <v>2565</v>
      </c>
      <c r="H539" s="312" t="s">
        <v>2566</v>
      </c>
      <c r="I539" s="312" t="s">
        <v>228</v>
      </c>
      <c r="J539" s="406">
        <v>330000000</v>
      </c>
      <c r="K539" s="312" t="s">
        <v>223</v>
      </c>
      <c r="L539" s="312" t="s">
        <v>236</v>
      </c>
      <c r="M539" s="312" t="s">
        <v>44</v>
      </c>
      <c r="N539" s="312" t="s">
        <v>45</v>
      </c>
      <c r="O539" s="312" t="s">
        <v>63</v>
      </c>
      <c r="P539" s="312" t="s">
        <v>676</v>
      </c>
      <c r="R539" s="312">
        <v>580</v>
      </c>
      <c r="S539" s="363">
        <v>44315</v>
      </c>
      <c r="T539" s="360" t="s">
        <v>4296</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x14ac:dyDescent="0.25">
      <c r="A540" s="361" t="s">
        <v>1676</v>
      </c>
      <c r="B540" s="417">
        <v>251328000</v>
      </c>
      <c r="C540" s="312" t="s">
        <v>4295</v>
      </c>
      <c r="D540" s="325">
        <v>534</v>
      </c>
      <c r="E540" s="325">
        <v>20215000024063</v>
      </c>
      <c r="F540" s="315">
        <v>44315</v>
      </c>
      <c r="G540" s="325" t="s">
        <v>2565</v>
      </c>
      <c r="H540" s="312" t="s">
        <v>2566</v>
      </c>
      <c r="I540" s="312" t="s">
        <v>228</v>
      </c>
      <c r="J540" s="406">
        <v>240000000</v>
      </c>
      <c r="K540" s="312" t="s">
        <v>223</v>
      </c>
      <c r="L540" s="312" t="s">
        <v>236</v>
      </c>
      <c r="M540" s="312" t="s">
        <v>44</v>
      </c>
      <c r="N540" s="312" t="s">
        <v>45</v>
      </c>
      <c r="O540" s="312" t="s">
        <v>63</v>
      </c>
      <c r="P540" s="312" t="s">
        <v>676</v>
      </c>
      <c r="R540" s="312">
        <v>582</v>
      </c>
      <c r="S540" s="363">
        <v>44315</v>
      </c>
      <c r="T540" s="360" t="s">
        <v>4297</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x14ac:dyDescent="0.25">
      <c r="A541" s="361" t="s">
        <v>2444</v>
      </c>
      <c r="B541" s="417">
        <v>96000000</v>
      </c>
      <c r="C541" s="312" t="s">
        <v>2687</v>
      </c>
      <c r="D541" s="325">
        <v>535</v>
      </c>
      <c r="E541" s="365">
        <v>20213000024133</v>
      </c>
      <c r="F541" s="315">
        <v>44315</v>
      </c>
      <c r="G541" s="325" t="s">
        <v>2565</v>
      </c>
      <c r="H541" s="312" t="s">
        <v>2566</v>
      </c>
      <c r="I541" s="312" t="s">
        <v>432</v>
      </c>
      <c r="J541" s="405">
        <v>84000000</v>
      </c>
      <c r="K541" s="312" t="s">
        <v>342</v>
      </c>
      <c r="L541" s="312" t="s">
        <v>351</v>
      </c>
      <c r="M541" s="312" t="s">
        <v>44</v>
      </c>
      <c r="N541" s="312" t="s">
        <v>45</v>
      </c>
      <c r="O541" s="312" t="s">
        <v>63</v>
      </c>
      <c r="P541" s="312" t="s">
        <v>676</v>
      </c>
      <c r="R541" s="312">
        <v>583</v>
      </c>
      <c r="S541" s="363">
        <v>44315</v>
      </c>
      <c r="T541" s="360" t="s">
        <v>4298</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x14ac:dyDescent="0.25">
      <c r="A542" s="361"/>
      <c r="B542" s="417"/>
      <c r="C542" s="312" t="s">
        <v>4299</v>
      </c>
      <c r="D542" s="325">
        <v>536</v>
      </c>
      <c r="E542" s="325">
        <v>20215000024393</v>
      </c>
      <c r="F542" s="315">
        <v>44316</v>
      </c>
      <c r="G542" s="325" t="s">
        <v>2565</v>
      </c>
      <c r="H542" s="312" t="s">
        <v>2566</v>
      </c>
      <c r="I542" s="312" t="s">
        <v>228</v>
      </c>
      <c r="J542" s="406">
        <v>63655484</v>
      </c>
      <c r="K542" s="312" t="s">
        <v>223</v>
      </c>
      <c r="L542" s="312" t="s">
        <v>236</v>
      </c>
      <c r="M542" s="312" t="s">
        <v>44</v>
      </c>
      <c r="N542" s="312" t="s">
        <v>45</v>
      </c>
      <c r="O542" s="312" t="s">
        <v>63</v>
      </c>
      <c r="P542" s="312" t="s">
        <v>676</v>
      </c>
      <c r="R542" s="312">
        <v>584</v>
      </c>
      <c r="S542" s="363">
        <v>44316</v>
      </c>
      <c r="T542" s="360" t="s">
        <v>4300</v>
      </c>
      <c r="U542" s="405">
        <f>63655484-63655484</f>
        <v>0</v>
      </c>
      <c r="V542" s="406">
        <v>63655484</v>
      </c>
      <c r="W542" s="362" t="s">
        <v>1453</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x14ac:dyDescent="0.25">
      <c r="A543" s="361"/>
      <c r="B543" s="417"/>
      <c r="C543" s="312" t="s">
        <v>4299</v>
      </c>
      <c r="D543" s="538">
        <v>536</v>
      </c>
      <c r="E543" s="325">
        <v>20215000024393</v>
      </c>
      <c r="F543" s="315">
        <v>44316</v>
      </c>
      <c r="G543" s="325" t="s">
        <v>2565</v>
      </c>
      <c r="H543" s="312" t="s">
        <v>2566</v>
      </c>
      <c r="I543" s="312" t="s">
        <v>228</v>
      </c>
      <c r="J543" s="405">
        <v>61344516</v>
      </c>
      <c r="K543" s="312" t="s">
        <v>223</v>
      </c>
      <c r="L543" s="312" t="s">
        <v>224</v>
      </c>
      <c r="M543" s="312" t="s">
        <v>44</v>
      </c>
      <c r="N543" s="312" t="s">
        <v>45</v>
      </c>
      <c r="O543" s="312" t="s">
        <v>63</v>
      </c>
      <c r="P543" s="312" t="s">
        <v>676</v>
      </c>
      <c r="R543" s="360">
        <v>584</v>
      </c>
      <c r="S543" s="363">
        <v>44316</v>
      </c>
      <c r="T543" s="360" t="s">
        <v>4300</v>
      </c>
      <c r="U543" s="405">
        <f>61344516-61344516</f>
        <v>0</v>
      </c>
      <c r="V543" s="406">
        <v>61344516</v>
      </c>
      <c r="W543" s="362" t="s">
        <v>4268</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x14ac:dyDescent="0.25">
      <c r="A544" s="361"/>
      <c r="B544" s="417"/>
      <c r="C544" s="312" t="s">
        <v>4301</v>
      </c>
      <c r="D544" s="325">
        <v>537</v>
      </c>
      <c r="E544" s="325">
        <v>20215000024403</v>
      </c>
      <c r="F544" s="315">
        <v>44316</v>
      </c>
      <c r="G544" s="325" t="s">
        <v>2565</v>
      </c>
      <c r="H544" s="312" t="s">
        <v>2566</v>
      </c>
      <c r="I544" s="312" t="s">
        <v>228</v>
      </c>
      <c r="J544" s="406">
        <v>95200000</v>
      </c>
      <c r="K544" s="312" t="s">
        <v>223</v>
      </c>
      <c r="L544" s="312" t="s">
        <v>236</v>
      </c>
      <c r="M544" s="312" t="s">
        <v>44</v>
      </c>
      <c r="N544" s="312" t="s">
        <v>45</v>
      </c>
      <c r="O544" s="312" t="s">
        <v>63</v>
      </c>
      <c r="P544" s="312" t="s">
        <v>676</v>
      </c>
      <c r="R544" s="360">
        <v>585</v>
      </c>
      <c r="S544" s="363">
        <v>44316</v>
      </c>
      <c r="T544" s="360" t="s">
        <v>4302</v>
      </c>
      <c r="U544" s="405">
        <f>95200000-95200000</f>
        <v>0</v>
      </c>
      <c r="V544" s="406">
        <v>95200000</v>
      </c>
      <c r="W544" s="362" t="s">
        <v>1453</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x14ac:dyDescent="0.25">
      <c r="A545" s="380" t="s">
        <v>1811</v>
      </c>
      <c r="B545" s="421">
        <v>490000000</v>
      </c>
      <c r="C545" s="312" t="s">
        <v>4258</v>
      </c>
      <c r="D545" s="325">
        <v>538</v>
      </c>
      <c r="E545" s="325">
        <v>20213000024583</v>
      </c>
      <c r="F545" s="315">
        <v>44320</v>
      </c>
      <c r="G545" s="325" t="s">
        <v>2565</v>
      </c>
      <c r="H545" s="312" t="s">
        <v>2566</v>
      </c>
      <c r="I545" s="312" t="s">
        <v>432</v>
      </c>
      <c r="J545" s="406">
        <v>489976150</v>
      </c>
      <c r="K545" s="312" t="s">
        <v>342</v>
      </c>
      <c r="L545" s="312" t="s">
        <v>351</v>
      </c>
      <c r="M545" s="312" t="s">
        <v>44</v>
      </c>
      <c r="N545" s="312" t="s">
        <v>45</v>
      </c>
      <c r="O545" s="312" t="s">
        <v>63</v>
      </c>
      <c r="P545" s="312" t="s">
        <v>676</v>
      </c>
      <c r="R545" s="438">
        <v>586</v>
      </c>
      <c r="S545" s="439">
        <v>44321</v>
      </c>
      <c r="T545" s="438" t="s">
        <v>4259</v>
      </c>
      <c r="U545" s="440">
        <f>489976150-489976150</f>
        <v>0</v>
      </c>
      <c r="V545" s="406">
        <v>489976150</v>
      </c>
      <c r="W545" s="362" t="s">
        <v>1453</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x14ac:dyDescent="0.25">
      <c r="A546" s="476" t="s">
        <v>1961</v>
      </c>
      <c r="B546" s="477">
        <v>42400000</v>
      </c>
      <c r="C546" s="212" t="s">
        <v>2571</v>
      </c>
      <c r="D546" s="478">
        <v>539</v>
      </c>
      <c r="E546" s="478">
        <v>20215000024683</v>
      </c>
      <c r="F546" s="479">
        <v>44320</v>
      </c>
      <c r="G546" s="478" t="s">
        <v>2565</v>
      </c>
      <c r="H546" s="212" t="s">
        <v>2566</v>
      </c>
      <c r="I546" s="210" t="s">
        <v>228</v>
      </c>
      <c r="J546" s="475">
        <v>37100000</v>
      </c>
      <c r="K546" s="212" t="s">
        <v>223</v>
      </c>
      <c r="L546" s="212" t="s">
        <v>283</v>
      </c>
      <c r="M546" s="212" t="s">
        <v>44</v>
      </c>
      <c r="N546" s="212" t="s">
        <v>45</v>
      </c>
      <c r="O546" s="212" t="s">
        <v>63</v>
      </c>
      <c r="P546" s="212" t="s">
        <v>676</v>
      </c>
      <c r="R546" s="212">
        <v>587</v>
      </c>
      <c r="S546" s="490">
        <v>44321</v>
      </c>
      <c r="T546" s="486" t="s">
        <v>4303</v>
      </c>
      <c r="U546" s="475">
        <f>37100000-2800000</f>
        <v>34300000</v>
      </c>
      <c r="V546" s="406">
        <f>2800000</f>
        <v>2800000</v>
      </c>
      <c r="W546" s="362" t="s">
        <v>1453</v>
      </c>
      <c r="X546" s="483" t="s">
        <v>4304</v>
      </c>
      <c r="Y546" s="484">
        <v>44327</v>
      </c>
      <c r="Z546" s="484">
        <v>44327</v>
      </c>
      <c r="AA546" s="484">
        <v>44540</v>
      </c>
      <c r="AB546" s="486" t="s">
        <v>2575</v>
      </c>
      <c r="AC546" s="483" t="s">
        <v>4305</v>
      </c>
      <c r="AD546" s="486" t="s">
        <v>4306</v>
      </c>
      <c r="AE546" s="486" t="s">
        <v>4307</v>
      </c>
      <c r="AF546" s="473">
        <v>34300000</v>
      </c>
      <c r="AG546" s="474">
        <f t="shared" si="9"/>
        <v>0</v>
      </c>
      <c r="AM546" s="306">
        <v>3103333</v>
      </c>
    </row>
    <row r="547" spans="1:39" hidden="1" x14ac:dyDescent="0.25">
      <c r="A547" s="466" t="s">
        <v>1747</v>
      </c>
      <c r="B547" s="467">
        <v>42400000</v>
      </c>
      <c r="C547" s="212" t="s">
        <v>2571</v>
      </c>
      <c r="D547" s="469">
        <v>540</v>
      </c>
      <c r="E547" s="469">
        <v>20215000024693</v>
      </c>
      <c r="F547" s="470">
        <v>44320</v>
      </c>
      <c r="G547" s="469" t="s">
        <v>2565</v>
      </c>
      <c r="H547" s="468" t="s">
        <v>2566</v>
      </c>
      <c r="I547" s="377" t="s">
        <v>228</v>
      </c>
      <c r="J547" s="471">
        <v>37100000</v>
      </c>
      <c r="K547" s="468" t="s">
        <v>223</v>
      </c>
      <c r="L547" s="468" t="s">
        <v>283</v>
      </c>
      <c r="M547" s="468" t="s">
        <v>44</v>
      </c>
      <c r="N547" s="468" t="s">
        <v>45</v>
      </c>
      <c r="O547" s="468" t="s">
        <v>63</v>
      </c>
      <c r="P547" s="212" t="s">
        <v>676</v>
      </c>
      <c r="Q547" s="468"/>
      <c r="R547" s="468">
        <v>588</v>
      </c>
      <c r="S547" s="528">
        <v>44321</v>
      </c>
      <c r="T547" s="529" t="s">
        <v>4308</v>
      </c>
      <c r="U547" s="471">
        <f>37100000-2650000</f>
        <v>34450000</v>
      </c>
      <c r="V547" s="414">
        <v>2650000</v>
      </c>
      <c r="W547" s="307" t="s">
        <v>1453</v>
      </c>
      <c r="X547" s="483" t="s">
        <v>4038</v>
      </c>
      <c r="Y547" s="490">
        <v>44349</v>
      </c>
      <c r="Z547" s="484">
        <v>44349</v>
      </c>
      <c r="AA547" s="695">
        <v>44547</v>
      </c>
      <c r="AB547" s="536" t="s">
        <v>2575</v>
      </c>
      <c r="AC547" s="535" t="s">
        <v>3937</v>
      </c>
      <c r="AD547" s="536" t="s">
        <v>4309</v>
      </c>
      <c r="AE547" s="486" t="s">
        <v>4310</v>
      </c>
      <c r="AF547" s="692">
        <v>34450000</v>
      </c>
      <c r="AG547" s="474">
        <f t="shared" si="9"/>
        <v>0</v>
      </c>
      <c r="AI547" s="471"/>
      <c r="AJ547" s="471"/>
      <c r="AK547" s="471"/>
      <c r="AL547" s="471"/>
      <c r="AM547" s="212"/>
    </row>
    <row r="548" spans="1:39" s="312" customFormat="1" hidden="1" x14ac:dyDescent="0.25">
      <c r="A548" s="361" t="s">
        <v>1952</v>
      </c>
      <c r="B548" s="417">
        <v>58872500</v>
      </c>
      <c r="C548" s="312" t="s">
        <v>2687</v>
      </c>
      <c r="D548" s="325">
        <v>541</v>
      </c>
      <c r="E548" s="325">
        <v>20217000024933</v>
      </c>
      <c r="F548" s="315">
        <v>44321</v>
      </c>
      <c r="G548" s="325" t="s">
        <v>2572</v>
      </c>
      <c r="H548" s="312" t="s">
        <v>2573</v>
      </c>
      <c r="I548" s="312" t="s">
        <v>164</v>
      </c>
      <c r="J548" s="405">
        <v>34978251</v>
      </c>
      <c r="K548" s="312" t="s">
        <v>138</v>
      </c>
      <c r="L548" s="312" t="s">
        <v>139</v>
      </c>
      <c r="M548" s="312" t="s">
        <v>44</v>
      </c>
      <c r="N548" s="312" t="s">
        <v>45</v>
      </c>
      <c r="O548" s="312" t="s">
        <v>142</v>
      </c>
      <c r="P548" s="312" t="s">
        <v>43</v>
      </c>
      <c r="Q548" s="312" t="s">
        <v>3225</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x14ac:dyDescent="0.25">
      <c r="A549" s="476" t="s">
        <v>2391</v>
      </c>
      <c r="B549" s="477">
        <v>90000000</v>
      </c>
      <c r="C549" s="212" t="s">
        <v>2571</v>
      </c>
      <c r="D549" s="478">
        <v>542</v>
      </c>
      <c r="E549" s="478">
        <v>20213000024983</v>
      </c>
      <c r="F549" s="479">
        <v>44322</v>
      </c>
      <c r="G549" s="478" t="s">
        <v>2565</v>
      </c>
      <c r="H549" s="212" t="s">
        <v>2566</v>
      </c>
      <c r="I549" s="212" t="s">
        <v>432</v>
      </c>
      <c r="J549" s="475">
        <v>90000000</v>
      </c>
      <c r="K549" s="212" t="s">
        <v>342</v>
      </c>
      <c r="L549" s="212" t="s">
        <v>351</v>
      </c>
      <c r="M549" s="212" t="s">
        <v>44</v>
      </c>
      <c r="N549" s="212" t="s">
        <v>45</v>
      </c>
      <c r="O549" s="212" t="s">
        <v>63</v>
      </c>
      <c r="P549" s="212" t="s">
        <v>676</v>
      </c>
      <c r="R549" s="212">
        <v>590</v>
      </c>
      <c r="S549" s="490">
        <v>44323</v>
      </c>
      <c r="T549" s="486" t="s">
        <v>4311</v>
      </c>
      <c r="U549" s="475">
        <v>90000000</v>
      </c>
      <c r="V549" s="406"/>
      <c r="X549" s="483" t="s">
        <v>4312</v>
      </c>
      <c r="Y549" s="484">
        <v>44357</v>
      </c>
      <c r="Z549" s="484">
        <v>44357</v>
      </c>
      <c r="AA549" s="696">
        <v>44478</v>
      </c>
      <c r="AB549" s="486" t="s">
        <v>2575</v>
      </c>
      <c r="AC549" s="483" t="s">
        <v>3929</v>
      </c>
      <c r="AD549" s="486" t="s">
        <v>4313</v>
      </c>
      <c r="AE549" s="486" t="s">
        <v>4314</v>
      </c>
      <c r="AF549" s="496">
        <v>60000000</v>
      </c>
      <c r="AG549" s="474">
        <f t="shared" si="9"/>
        <v>30000000</v>
      </c>
      <c r="AM549" s="212"/>
    </row>
    <row r="550" spans="1:39" ht="15.75" hidden="1" x14ac:dyDescent="0.25">
      <c r="B550" s="477" t="s">
        <v>4315</v>
      </c>
      <c r="C550" s="212" t="s">
        <v>4316</v>
      </c>
      <c r="D550" s="478">
        <v>543</v>
      </c>
      <c r="E550" s="478">
        <v>20214000025163</v>
      </c>
      <c r="F550" s="479">
        <v>44322</v>
      </c>
      <c r="G550" s="478" t="s">
        <v>2605</v>
      </c>
      <c r="H550" s="212" t="s">
        <v>2606</v>
      </c>
      <c r="I550" s="212" t="s">
        <v>47</v>
      </c>
      <c r="J550" s="480">
        <v>190741417</v>
      </c>
      <c r="K550" s="212" t="s">
        <v>37</v>
      </c>
      <c r="L550" s="515" t="s">
        <v>2607</v>
      </c>
      <c r="M550" s="212" t="s">
        <v>44</v>
      </c>
      <c r="N550" s="212" t="s">
        <v>45</v>
      </c>
      <c r="O550" s="212" t="s">
        <v>310</v>
      </c>
      <c r="P550" s="212" t="s">
        <v>43</v>
      </c>
      <c r="R550" s="212">
        <v>591</v>
      </c>
      <c r="S550" s="490">
        <v>44323</v>
      </c>
      <c r="T550" s="486" t="s">
        <v>4317</v>
      </c>
      <c r="U550" s="475">
        <v>190741417</v>
      </c>
      <c r="V550" s="406"/>
      <c r="W550" s="362"/>
      <c r="X550" s="308" t="s">
        <v>4318</v>
      </c>
      <c r="Y550" s="484">
        <v>44342</v>
      </c>
      <c r="Z550" s="484">
        <v>44342</v>
      </c>
      <c r="AA550" s="484">
        <v>44469</v>
      </c>
      <c r="AB550" s="486" t="s">
        <v>2762</v>
      </c>
      <c r="AC550" s="483" t="s">
        <v>3792</v>
      </c>
      <c r="AD550" s="486" t="s">
        <v>4319</v>
      </c>
      <c r="AE550" s="486" t="s">
        <v>2763</v>
      </c>
      <c r="AF550" s="473">
        <v>190741417</v>
      </c>
      <c r="AG550" s="474">
        <f t="shared" si="9"/>
        <v>0</v>
      </c>
      <c r="AM550" s="212"/>
    </row>
    <row r="551" spans="1:39" hidden="1" x14ac:dyDescent="0.25">
      <c r="A551" s="466" t="s">
        <v>2388</v>
      </c>
      <c r="B551" s="467">
        <v>42000000</v>
      </c>
      <c r="C551" s="212" t="s">
        <v>2571</v>
      </c>
      <c r="D551" s="469">
        <v>544</v>
      </c>
      <c r="E551" s="469">
        <v>20213000025263</v>
      </c>
      <c r="F551" s="470">
        <v>44326</v>
      </c>
      <c r="G551" s="469" t="s">
        <v>2565</v>
      </c>
      <c r="H551" s="468" t="s">
        <v>2566</v>
      </c>
      <c r="I551" s="468" t="s">
        <v>432</v>
      </c>
      <c r="J551" s="471">
        <v>29981358</v>
      </c>
      <c r="K551" s="468" t="s">
        <v>342</v>
      </c>
      <c r="L551" s="468" t="s">
        <v>351</v>
      </c>
      <c r="M551" s="468" t="s">
        <v>44</v>
      </c>
      <c r="N551" s="468" t="s">
        <v>45</v>
      </c>
      <c r="O551" s="468" t="s">
        <v>63</v>
      </c>
      <c r="P551" s="212" t="s">
        <v>676</v>
      </c>
      <c r="Q551" s="468"/>
      <c r="R551" s="468">
        <v>599</v>
      </c>
      <c r="S551" s="528">
        <v>44328</v>
      </c>
      <c r="T551" s="529" t="s">
        <v>4320</v>
      </c>
      <c r="U551" s="471">
        <v>29981358</v>
      </c>
      <c r="V551" s="414"/>
      <c r="X551" s="483" t="s">
        <v>4321</v>
      </c>
      <c r="Y551" s="484">
        <v>44351</v>
      </c>
      <c r="Z551" s="484">
        <v>44351</v>
      </c>
      <c r="AA551" s="696">
        <v>44533</v>
      </c>
      <c r="AB551" s="486" t="s">
        <v>2575</v>
      </c>
      <c r="AC551" s="483" t="s">
        <v>4022</v>
      </c>
      <c r="AD551" s="486" t="s">
        <v>4322</v>
      </c>
      <c r="AE551" s="486" t="s">
        <v>4323</v>
      </c>
      <c r="AF551" s="496">
        <v>24530202</v>
      </c>
      <c r="AG551" s="474">
        <f t="shared" si="9"/>
        <v>5451156</v>
      </c>
      <c r="AI551" s="471"/>
      <c r="AJ551" s="471"/>
      <c r="AK551" s="471"/>
      <c r="AL551" s="471"/>
      <c r="AM551" s="212"/>
    </row>
    <row r="552" spans="1:39" hidden="1" x14ac:dyDescent="0.25">
      <c r="B552" s="477" t="s">
        <v>4324</v>
      </c>
      <c r="C552" s="212" t="s">
        <v>4325</v>
      </c>
      <c r="D552" s="478">
        <v>545</v>
      </c>
      <c r="E552" s="478">
        <v>20213000025353</v>
      </c>
      <c r="F552" s="479">
        <v>44326</v>
      </c>
      <c r="G552" s="478" t="s">
        <v>2565</v>
      </c>
      <c r="H552" s="212" t="s">
        <v>2566</v>
      </c>
      <c r="I552" s="212" t="s">
        <v>432</v>
      </c>
      <c r="J552" s="475">
        <v>1416000</v>
      </c>
      <c r="K552" s="212" t="s">
        <v>342</v>
      </c>
      <c r="L552" s="212" t="s">
        <v>351</v>
      </c>
      <c r="M552" s="212" t="s">
        <v>44</v>
      </c>
      <c r="N552" s="212" t="s">
        <v>4326</v>
      </c>
      <c r="O552" s="212" t="s">
        <v>255</v>
      </c>
      <c r="P552" s="212" t="s">
        <v>4327</v>
      </c>
      <c r="R552" s="212">
        <v>603</v>
      </c>
      <c r="S552" s="490">
        <v>44328</v>
      </c>
      <c r="T552" s="486" t="s">
        <v>4328</v>
      </c>
      <c r="U552" s="475">
        <v>1416000</v>
      </c>
      <c r="V552" s="406"/>
      <c r="W552" s="362"/>
      <c r="X552" s="483" t="s">
        <v>4329</v>
      </c>
      <c r="Y552" s="484">
        <v>44334</v>
      </c>
      <c r="Z552" s="484">
        <v>44334</v>
      </c>
      <c r="AA552" s="484">
        <v>44561</v>
      </c>
      <c r="AB552" s="486" t="s">
        <v>3031</v>
      </c>
      <c r="AC552" s="483" t="s">
        <v>3608</v>
      </c>
      <c r="AD552" s="486" t="s">
        <v>4330</v>
      </c>
      <c r="AE552" s="486" t="s">
        <v>4331</v>
      </c>
      <c r="AF552" s="473">
        <v>1416000</v>
      </c>
      <c r="AG552" s="474">
        <f t="shared" si="9"/>
        <v>0</v>
      </c>
      <c r="AM552" s="306">
        <v>1416000</v>
      </c>
    </row>
    <row r="553" spans="1:39" hidden="1" x14ac:dyDescent="0.25">
      <c r="C553" s="212" t="s">
        <v>4325</v>
      </c>
      <c r="D553" s="478">
        <v>545</v>
      </c>
      <c r="E553" s="478">
        <v>20213000025353</v>
      </c>
      <c r="F553" s="479">
        <v>44326</v>
      </c>
      <c r="G553" s="478" t="s">
        <v>2565</v>
      </c>
      <c r="H553" s="212" t="s">
        <v>2566</v>
      </c>
      <c r="I553" s="212" t="s">
        <v>432</v>
      </c>
      <c r="J553" s="475">
        <v>90888000</v>
      </c>
      <c r="K553" s="212" t="s">
        <v>342</v>
      </c>
      <c r="L553" s="212" t="s">
        <v>351</v>
      </c>
      <c r="M553" s="212" t="s">
        <v>44</v>
      </c>
      <c r="N553" s="212" t="s">
        <v>4326</v>
      </c>
      <c r="O553" s="212" t="s">
        <v>255</v>
      </c>
      <c r="P553" s="212" t="s">
        <v>4332</v>
      </c>
      <c r="R553" s="329">
        <v>603</v>
      </c>
      <c r="S553" s="490">
        <v>44328</v>
      </c>
      <c r="T553" s="486" t="s">
        <v>4328</v>
      </c>
      <c r="U553" s="475">
        <v>90888000</v>
      </c>
      <c r="V553" s="406"/>
      <c r="W553" s="362"/>
      <c r="X553" s="483" t="s">
        <v>4329</v>
      </c>
      <c r="Y553" s="484">
        <v>44334</v>
      </c>
      <c r="Z553" s="484">
        <v>44334</v>
      </c>
      <c r="AA553" s="484">
        <v>44561</v>
      </c>
      <c r="AB553" s="486" t="s">
        <v>3031</v>
      </c>
      <c r="AC553" s="483" t="s">
        <v>3608</v>
      </c>
      <c r="AD553" s="486" t="s">
        <v>4330</v>
      </c>
      <c r="AE553" s="486" t="s">
        <v>4331</v>
      </c>
      <c r="AF553" s="473">
        <v>90888000</v>
      </c>
      <c r="AG553" s="474">
        <f t="shared" si="9"/>
        <v>0</v>
      </c>
      <c r="AM553" s="306">
        <v>90888000</v>
      </c>
    </row>
    <row r="554" spans="1:39" hidden="1" x14ac:dyDescent="0.25">
      <c r="C554" s="212" t="s">
        <v>4325</v>
      </c>
      <c r="D554" s="386">
        <v>545</v>
      </c>
      <c r="E554" s="478">
        <v>20213000025353</v>
      </c>
      <c r="F554" s="479">
        <v>44326</v>
      </c>
      <c r="G554" s="478" t="s">
        <v>2565</v>
      </c>
      <c r="H554" s="212" t="s">
        <v>2566</v>
      </c>
      <c r="I554" s="212" t="s">
        <v>432</v>
      </c>
      <c r="J554" s="475">
        <v>23964000</v>
      </c>
      <c r="K554" s="212" t="s">
        <v>342</v>
      </c>
      <c r="L554" s="212" t="s">
        <v>351</v>
      </c>
      <c r="M554" s="212" t="s">
        <v>44</v>
      </c>
      <c r="N554" s="212" t="s">
        <v>4326</v>
      </c>
      <c r="O554" s="212" t="s">
        <v>255</v>
      </c>
      <c r="P554" s="212" t="s">
        <v>4333</v>
      </c>
      <c r="R554" s="329">
        <v>603</v>
      </c>
      <c r="S554" s="490">
        <v>44328</v>
      </c>
      <c r="T554" s="486" t="s">
        <v>4328</v>
      </c>
      <c r="U554" s="475">
        <v>23964000</v>
      </c>
      <c r="V554" s="406"/>
      <c r="W554" s="362"/>
      <c r="X554" s="483" t="s">
        <v>4329</v>
      </c>
      <c r="Y554" s="484">
        <v>44334</v>
      </c>
      <c r="Z554" s="484">
        <v>44334</v>
      </c>
      <c r="AA554" s="484">
        <v>44561</v>
      </c>
      <c r="AB554" s="486" t="s">
        <v>3031</v>
      </c>
      <c r="AC554" s="483" t="s">
        <v>3608</v>
      </c>
      <c r="AD554" s="486" t="s">
        <v>4330</v>
      </c>
      <c r="AE554" s="486" t="s">
        <v>4331</v>
      </c>
      <c r="AF554" s="473">
        <v>23964000</v>
      </c>
      <c r="AG554" s="474">
        <f t="shared" si="9"/>
        <v>0</v>
      </c>
      <c r="AM554" s="306">
        <v>23964000</v>
      </c>
    </row>
    <row r="555" spans="1:39" hidden="1" x14ac:dyDescent="0.25">
      <c r="A555" s="476" t="s">
        <v>2366</v>
      </c>
      <c r="B555" s="477">
        <v>37500000</v>
      </c>
      <c r="C555" s="212" t="s">
        <v>2571</v>
      </c>
      <c r="D555" s="478">
        <v>546</v>
      </c>
      <c r="E555" s="478">
        <v>20215000025453</v>
      </c>
      <c r="F555" s="479">
        <v>44326</v>
      </c>
      <c r="G555" s="478" t="s">
        <v>2565</v>
      </c>
      <c r="H555" s="212" t="s">
        <v>2566</v>
      </c>
      <c r="I555" s="210" t="s">
        <v>228</v>
      </c>
      <c r="J555" s="475">
        <v>37500000</v>
      </c>
      <c r="K555" s="212" t="s">
        <v>223</v>
      </c>
      <c r="L555" s="212" t="s">
        <v>2683</v>
      </c>
      <c r="M555" s="212" t="s">
        <v>44</v>
      </c>
      <c r="N555" s="212" t="s">
        <v>45</v>
      </c>
      <c r="O555" s="212" t="s">
        <v>63</v>
      </c>
      <c r="P555" s="212" t="s">
        <v>676</v>
      </c>
      <c r="R555" s="212">
        <v>601</v>
      </c>
      <c r="S555" s="490">
        <v>44328</v>
      </c>
      <c r="T555" s="486" t="s">
        <v>4334</v>
      </c>
      <c r="U555" s="475">
        <f>37500000-400000</f>
        <v>37100000</v>
      </c>
      <c r="V555" s="406">
        <v>400000</v>
      </c>
      <c r="W555" s="678" t="s">
        <v>1453</v>
      </c>
      <c r="X555" s="483" t="s">
        <v>4335</v>
      </c>
      <c r="Y555" s="484">
        <v>44344</v>
      </c>
      <c r="Z555" s="484">
        <v>44344</v>
      </c>
      <c r="AA555" s="484">
        <v>44557</v>
      </c>
      <c r="AB555" s="486" t="s">
        <v>2575</v>
      </c>
      <c r="AC555" s="483" t="s">
        <v>3959</v>
      </c>
      <c r="AD555" s="486" t="s">
        <v>4336</v>
      </c>
      <c r="AE555" s="486" t="s">
        <v>4337</v>
      </c>
      <c r="AF555" s="473">
        <v>37100000</v>
      </c>
      <c r="AG555" s="474">
        <f t="shared" si="9"/>
        <v>0</v>
      </c>
      <c r="AM555" s="212"/>
    </row>
    <row r="556" spans="1:39" hidden="1" x14ac:dyDescent="0.25">
      <c r="A556" s="466" t="s">
        <v>1952</v>
      </c>
      <c r="B556" s="467">
        <v>58872500</v>
      </c>
      <c r="C556" s="212" t="s">
        <v>2571</v>
      </c>
      <c r="D556" s="469">
        <v>547</v>
      </c>
      <c r="E556" s="469">
        <v>20217000025233</v>
      </c>
      <c r="F556" s="470">
        <v>44326</v>
      </c>
      <c r="G556" s="469" t="s">
        <v>2572</v>
      </c>
      <c r="H556" s="468" t="s">
        <v>2573</v>
      </c>
      <c r="I556" s="468" t="s">
        <v>164</v>
      </c>
      <c r="J556" s="471">
        <v>50877456</v>
      </c>
      <c r="K556" s="468" t="s">
        <v>138</v>
      </c>
      <c r="L556" s="468" t="s">
        <v>139</v>
      </c>
      <c r="M556" s="468" t="s">
        <v>44</v>
      </c>
      <c r="N556" s="468" t="s">
        <v>45</v>
      </c>
      <c r="O556" s="468" t="s">
        <v>142</v>
      </c>
      <c r="P556" s="468" t="s">
        <v>43</v>
      </c>
      <c r="Q556" s="468"/>
      <c r="R556" s="468">
        <v>600</v>
      </c>
      <c r="S556" s="528">
        <v>44328</v>
      </c>
      <c r="T556" s="529" t="s">
        <v>4338</v>
      </c>
      <c r="U556" s="471">
        <v>50877456</v>
      </c>
      <c r="V556" s="414"/>
      <c r="X556" s="483" t="s">
        <v>4339</v>
      </c>
      <c r="Y556" s="484">
        <v>44351</v>
      </c>
      <c r="Z556" s="484">
        <v>44351</v>
      </c>
      <c r="AA556" s="696">
        <v>44558</v>
      </c>
      <c r="AB556" s="486" t="s">
        <v>2575</v>
      </c>
      <c r="AC556" s="483" t="s">
        <v>3486</v>
      </c>
      <c r="AD556" s="486" t="s">
        <v>3751</v>
      </c>
      <c r="AE556" s="486" t="s">
        <v>3752</v>
      </c>
      <c r="AF556" s="496">
        <v>49666088</v>
      </c>
      <c r="AG556" s="474">
        <f t="shared" si="9"/>
        <v>1211368</v>
      </c>
      <c r="AI556" s="471"/>
      <c r="AJ556" s="471"/>
      <c r="AK556" s="471"/>
      <c r="AL556" s="471"/>
      <c r="AM556" s="212"/>
    </row>
    <row r="557" spans="1:39" hidden="1" x14ac:dyDescent="0.25">
      <c r="A557" s="476" t="s">
        <v>2225</v>
      </c>
      <c r="B557" s="477">
        <v>59000000</v>
      </c>
      <c r="C557" s="212" t="s">
        <v>4340</v>
      </c>
      <c r="D557" s="478">
        <v>548</v>
      </c>
      <c r="E557" s="478">
        <v>20211400025543</v>
      </c>
      <c r="F557" s="479">
        <v>44327</v>
      </c>
      <c r="G557" s="478" t="s">
        <v>2572</v>
      </c>
      <c r="H557" s="212" t="s">
        <v>2573</v>
      </c>
      <c r="I557" s="212" t="s">
        <v>184</v>
      </c>
      <c r="J557" s="475">
        <v>59000000</v>
      </c>
      <c r="K557" s="212" t="s">
        <v>138</v>
      </c>
      <c r="L557" s="212" t="s">
        <v>181</v>
      </c>
      <c r="M557" s="212" t="s">
        <v>2767</v>
      </c>
      <c r="N557" s="212" t="s">
        <v>157</v>
      </c>
      <c r="O557" s="212" t="s">
        <v>158</v>
      </c>
      <c r="P557" s="212" t="s">
        <v>43</v>
      </c>
      <c r="R557" s="212">
        <v>594</v>
      </c>
      <c r="S557" s="490">
        <v>44327</v>
      </c>
      <c r="T557" s="486" t="s">
        <v>4341</v>
      </c>
      <c r="U557" s="475">
        <v>59000000</v>
      </c>
      <c r="V557" s="406"/>
      <c r="W557" s="362"/>
      <c r="AG557" s="474">
        <f t="shared" si="9"/>
        <v>59000000</v>
      </c>
      <c r="AM557" s="212"/>
    </row>
    <row r="558" spans="1:39" hidden="1" x14ac:dyDescent="0.25">
      <c r="A558" s="476" t="s">
        <v>2368</v>
      </c>
      <c r="B558" s="477">
        <v>292754108</v>
      </c>
      <c r="C558" s="212" t="s">
        <v>4342</v>
      </c>
      <c r="D558" s="478">
        <v>549</v>
      </c>
      <c r="E558" s="478">
        <v>20211400025523</v>
      </c>
      <c r="F558" s="479">
        <v>44327</v>
      </c>
      <c r="G558" s="478" t="s">
        <v>2572</v>
      </c>
      <c r="H558" s="212" t="s">
        <v>2573</v>
      </c>
      <c r="I558" s="212" t="s">
        <v>184</v>
      </c>
      <c r="J558" s="475">
        <v>292754108</v>
      </c>
      <c r="K558" s="212" t="s">
        <v>138</v>
      </c>
      <c r="L558" s="212" t="s">
        <v>181</v>
      </c>
      <c r="M558" s="212" t="s">
        <v>2767</v>
      </c>
      <c r="N558" s="212" t="s">
        <v>157</v>
      </c>
      <c r="O558" s="212" t="s">
        <v>158</v>
      </c>
      <c r="P558" s="212" t="s">
        <v>43</v>
      </c>
      <c r="R558" s="212">
        <v>593</v>
      </c>
      <c r="S558" s="490">
        <v>44327</v>
      </c>
      <c r="T558" s="486" t="s">
        <v>4343</v>
      </c>
      <c r="U558" s="475">
        <v>292754108</v>
      </c>
      <c r="V558" s="406"/>
      <c r="X558" s="530" t="s">
        <v>4344</v>
      </c>
      <c r="Y558" s="491">
        <v>44372</v>
      </c>
      <c r="Z558" s="491">
        <v>44372</v>
      </c>
      <c r="AA558" s="697">
        <v>44561</v>
      </c>
      <c r="AB558" s="493" t="s">
        <v>3206</v>
      </c>
      <c r="AC558" s="530" t="s">
        <v>3374</v>
      </c>
      <c r="AD558" s="486" t="s">
        <v>3208</v>
      </c>
      <c r="AE558" s="486" t="s">
        <v>2768</v>
      </c>
      <c r="AF558" s="496">
        <v>292754108</v>
      </c>
      <c r="AG558" s="474">
        <f t="shared" si="9"/>
        <v>0</v>
      </c>
      <c r="AM558" s="212"/>
    </row>
    <row r="559" spans="1:39" ht="15.75" hidden="1" x14ac:dyDescent="0.25">
      <c r="A559" s="476" t="s">
        <v>2506</v>
      </c>
      <c r="B559" s="477">
        <v>52500000</v>
      </c>
      <c r="C559" s="212" t="s">
        <v>2571</v>
      </c>
      <c r="D559" s="478">
        <v>550</v>
      </c>
      <c r="E559" s="478">
        <v>20214000025633</v>
      </c>
      <c r="F559" s="479">
        <v>44327</v>
      </c>
      <c r="G559" s="478" t="s">
        <v>2605</v>
      </c>
      <c r="H559" s="212" t="s">
        <v>2606</v>
      </c>
      <c r="I559" s="212" t="s">
        <v>47</v>
      </c>
      <c r="J559" s="480">
        <v>49000000</v>
      </c>
      <c r="K559" s="212" t="s">
        <v>37</v>
      </c>
      <c r="L559" s="515" t="s">
        <v>2607</v>
      </c>
      <c r="M559" s="212" t="s">
        <v>44</v>
      </c>
      <c r="N559" s="212" t="s">
        <v>45</v>
      </c>
      <c r="O559" s="212" t="s">
        <v>310</v>
      </c>
      <c r="P559" s="212" t="s">
        <v>43</v>
      </c>
      <c r="R559" s="212">
        <v>597</v>
      </c>
      <c r="S559" s="490">
        <v>44327</v>
      </c>
      <c r="T559" s="486" t="s">
        <v>4345</v>
      </c>
      <c r="U559" s="475">
        <v>49000000</v>
      </c>
      <c r="V559" s="406"/>
      <c r="W559" s="362"/>
      <c r="X559" s="483" t="s">
        <v>4346</v>
      </c>
      <c r="Y559" s="484">
        <v>44336</v>
      </c>
      <c r="Z559" s="484">
        <v>44336</v>
      </c>
      <c r="AA559" s="484">
        <v>44549</v>
      </c>
      <c r="AB559" s="486" t="s">
        <v>2575</v>
      </c>
      <c r="AC559" s="483" t="s">
        <v>4097</v>
      </c>
      <c r="AD559" s="486" t="s">
        <v>4347</v>
      </c>
      <c r="AE559" s="486" t="s">
        <v>4348</v>
      </c>
      <c r="AF559" s="473">
        <v>49000000</v>
      </c>
      <c r="AG559" s="474">
        <f t="shared" si="9"/>
        <v>0</v>
      </c>
      <c r="AM559" s="306">
        <v>2566667</v>
      </c>
    </row>
    <row r="560" spans="1:39" hidden="1" x14ac:dyDescent="0.25">
      <c r="A560" s="466" t="s">
        <v>2373</v>
      </c>
      <c r="B560" s="467">
        <v>18600000</v>
      </c>
      <c r="C560" s="212" t="s">
        <v>2571</v>
      </c>
      <c r="D560" s="469">
        <v>551</v>
      </c>
      <c r="E560" s="469">
        <v>20217000025593</v>
      </c>
      <c r="F560" s="470">
        <v>44327</v>
      </c>
      <c r="G560" s="469" t="s">
        <v>2572</v>
      </c>
      <c r="H560" s="468" t="s">
        <v>2573</v>
      </c>
      <c r="I560" s="468" t="s">
        <v>164</v>
      </c>
      <c r="J560" s="471">
        <v>14536416</v>
      </c>
      <c r="K560" s="468" t="s">
        <v>138</v>
      </c>
      <c r="L560" s="468" t="s">
        <v>139</v>
      </c>
      <c r="M560" s="468" t="s">
        <v>44</v>
      </c>
      <c r="N560" s="468" t="s">
        <v>45</v>
      </c>
      <c r="O560" s="468" t="s">
        <v>142</v>
      </c>
      <c r="P560" s="468" t="s">
        <v>43</v>
      </c>
      <c r="Q560" s="468"/>
      <c r="R560" s="468">
        <v>595</v>
      </c>
      <c r="S560" s="528">
        <v>44327</v>
      </c>
      <c r="T560" s="529" t="s">
        <v>4349</v>
      </c>
      <c r="U560" s="471">
        <v>14536416</v>
      </c>
      <c r="V560" s="414"/>
      <c r="X560" s="483" t="s">
        <v>4350</v>
      </c>
      <c r="Y560" s="484">
        <v>44351</v>
      </c>
      <c r="Z560" s="484">
        <v>44351</v>
      </c>
      <c r="AA560" s="696">
        <v>44472</v>
      </c>
      <c r="AB560" s="486" t="s">
        <v>2575</v>
      </c>
      <c r="AC560" s="483" t="s">
        <v>3702</v>
      </c>
      <c r="AD560" s="486" t="s">
        <v>3888</v>
      </c>
      <c r="AE560" s="486" t="s">
        <v>3889</v>
      </c>
      <c r="AF560" s="496">
        <v>14536416</v>
      </c>
      <c r="AG560" s="474">
        <f t="shared" si="9"/>
        <v>0</v>
      </c>
      <c r="AI560" s="471"/>
      <c r="AJ560" s="471"/>
      <c r="AK560" s="471"/>
      <c r="AL560" s="471"/>
      <c r="AM560" s="212"/>
    </row>
    <row r="561" spans="1:39" hidden="1" x14ac:dyDescent="0.25">
      <c r="A561" s="476" t="s">
        <v>2128</v>
      </c>
      <c r="B561" s="477">
        <v>40000000</v>
      </c>
      <c r="C561" s="212" t="s">
        <v>2571</v>
      </c>
      <c r="D561" s="478">
        <v>552</v>
      </c>
      <c r="E561" s="478">
        <v>20211200025623</v>
      </c>
      <c r="F561" s="479">
        <v>44327</v>
      </c>
      <c r="G561" s="478" t="s">
        <v>2572</v>
      </c>
      <c r="H561" s="212" t="s">
        <v>2573</v>
      </c>
      <c r="I561" s="212" t="s">
        <v>143</v>
      </c>
      <c r="J561" s="475">
        <v>15000000</v>
      </c>
      <c r="K561" s="212" t="s">
        <v>138</v>
      </c>
      <c r="L561" s="212" t="s">
        <v>139</v>
      </c>
      <c r="M561" s="212" t="s">
        <v>44</v>
      </c>
      <c r="N561" s="212" t="s">
        <v>45</v>
      </c>
      <c r="O561" s="212" t="s">
        <v>142</v>
      </c>
      <c r="P561" s="212" t="s">
        <v>43</v>
      </c>
      <c r="R561" s="212">
        <v>596</v>
      </c>
      <c r="S561" s="490">
        <v>44327</v>
      </c>
      <c r="T561" s="486" t="s">
        <v>4351</v>
      </c>
      <c r="U561" s="475">
        <v>15000000</v>
      </c>
      <c r="V561" s="406"/>
      <c r="W561" s="362"/>
      <c r="X561" s="483" t="s">
        <v>4352</v>
      </c>
      <c r="Y561" s="484">
        <v>44337</v>
      </c>
      <c r="Z561" s="484">
        <v>44337</v>
      </c>
      <c r="AA561" s="484">
        <v>44428</v>
      </c>
      <c r="AB561" s="486" t="s">
        <v>2575</v>
      </c>
      <c r="AC561" s="483" t="s">
        <v>3509</v>
      </c>
      <c r="AD561" s="486" t="s">
        <v>4353</v>
      </c>
      <c r="AE561" s="486" t="s">
        <v>4354</v>
      </c>
      <c r="AF561" s="473">
        <v>15000000</v>
      </c>
      <c r="AG561" s="474">
        <f t="shared" si="9"/>
        <v>0</v>
      </c>
      <c r="AM561" s="306">
        <v>1666667</v>
      </c>
    </row>
    <row r="562" spans="1:39" hidden="1" x14ac:dyDescent="0.25">
      <c r="A562" s="476" t="s">
        <v>1869</v>
      </c>
      <c r="B562" s="477">
        <v>34850000</v>
      </c>
      <c r="C562" s="212" t="s">
        <v>2571</v>
      </c>
      <c r="D562" s="478">
        <v>553</v>
      </c>
      <c r="E562" s="478">
        <v>20212000025663</v>
      </c>
      <c r="F562" s="479">
        <v>44327</v>
      </c>
      <c r="G562" s="478" t="s">
        <v>2565</v>
      </c>
      <c r="H562" s="212" t="s">
        <v>2566</v>
      </c>
      <c r="I562" s="212" t="s">
        <v>391</v>
      </c>
      <c r="J562" s="475">
        <v>30660000</v>
      </c>
      <c r="K562" s="210" t="s">
        <v>2636</v>
      </c>
      <c r="L562" s="212" t="s">
        <v>2637</v>
      </c>
      <c r="M562" s="210" t="s">
        <v>44</v>
      </c>
      <c r="N562" s="210" t="s">
        <v>45</v>
      </c>
      <c r="O562" s="212" t="s">
        <v>63</v>
      </c>
      <c r="P562" s="212" t="s">
        <v>676</v>
      </c>
      <c r="R562" s="212">
        <v>607</v>
      </c>
      <c r="S562" s="490">
        <v>44329</v>
      </c>
      <c r="T562" s="486" t="s">
        <v>4355</v>
      </c>
      <c r="U562" s="475">
        <v>30660000</v>
      </c>
      <c r="V562" s="406"/>
      <c r="W562" s="362"/>
      <c r="X562" s="308">
        <v>557</v>
      </c>
      <c r="Y562" s="472">
        <v>44343</v>
      </c>
      <c r="Z562" s="484">
        <v>44343</v>
      </c>
      <c r="AA562" s="484">
        <v>44556</v>
      </c>
      <c r="AB562" s="486" t="s">
        <v>2575</v>
      </c>
      <c r="AC562" s="483" t="s">
        <v>3971</v>
      </c>
      <c r="AD562" s="486" t="s">
        <v>4356</v>
      </c>
      <c r="AE562" s="486" t="s">
        <v>4357</v>
      </c>
      <c r="AF562" s="473">
        <v>28616000</v>
      </c>
      <c r="AG562" s="474">
        <f t="shared" si="9"/>
        <v>2044000</v>
      </c>
      <c r="AM562" s="212"/>
    </row>
    <row r="563" spans="1:39" hidden="1" x14ac:dyDescent="0.25">
      <c r="A563" s="466" t="s">
        <v>2375</v>
      </c>
      <c r="B563" s="467">
        <v>17025000</v>
      </c>
      <c r="C563" s="212" t="s">
        <v>2571</v>
      </c>
      <c r="D563" s="469">
        <v>554</v>
      </c>
      <c r="E563" s="469">
        <v>20212000025673</v>
      </c>
      <c r="F563" s="470">
        <v>44327</v>
      </c>
      <c r="G563" s="469" t="s">
        <v>2565</v>
      </c>
      <c r="H563" s="468" t="s">
        <v>2566</v>
      </c>
      <c r="I563" s="468" t="s">
        <v>391</v>
      </c>
      <c r="J563" s="471">
        <v>17025000</v>
      </c>
      <c r="K563" s="377" t="s">
        <v>2636</v>
      </c>
      <c r="L563" s="468" t="s">
        <v>2637</v>
      </c>
      <c r="M563" s="377" t="s">
        <v>44</v>
      </c>
      <c r="N563" s="377" t="s">
        <v>45</v>
      </c>
      <c r="O563" s="468" t="s">
        <v>63</v>
      </c>
      <c r="P563" s="212" t="s">
        <v>676</v>
      </c>
      <c r="Q563" s="468"/>
      <c r="R563" s="468">
        <v>608</v>
      </c>
      <c r="S563" s="528">
        <v>44329</v>
      </c>
      <c r="T563" s="529" t="s">
        <v>4358</v>
      </c>
      <c r="U563" s="471">
        <v>17025000</v>
      </c>
      <c r="V563" s="414"/>
      <c r="X563" s="483" t="s">
        <v>4359</v>
      </c>
      <c r="Y563" s="484">
        <v>44355</v>
      </c>
      <c r="Z563" s="484">
        <v>44355</v>
      </c>
      <c r="AA563" s="696">
        <v>44554</v>
      </c>
      <c r="AB563" s="486" t="s">
        <v>2575</v>
      </c>
      <c r="AC563" s="483" t="s">
        <v>3926</v>
      </c>
      <c r="AD563" s="486" t="s">
        <v>4360</v>
      </c>
      <c r="AE563" s="486" t="s">
        <v>4361</v>
      </c>
      <c r="AF563" s="496">
        <v>14755000</v>
      </c>
      <c r="AG563" s="474">
        <f t="shared" si="9"/>
        <v>2270000</v>
      </c>
      <c r="AI563" s="471"/>
      <c r="AJ563" s="471"/>
      <c r="AK563" s="471"/>
      <c r="AL563" s="471"/>
      <c r="AM563" s="212"/>
    </row>
    <row r="564" spans="1:39" hidden="1" x14ac:dyDescent="0.25">
      <c r="A564" s="476" t="s">
        <v>2376</v>
      </c>
      <c r="B564" s="477">
        <v>42075000</v>
      </c>
      <c r="C564" s="212" t="s">
        <v>2571</v>
      </c>
      <c r="D564" s="478">
        <v>555</v>
      </c>
      <c r="E564" s="478">
        <v>20212000025683</v>
      </c>
      <c r="F564" s="479">
        <v>44327</v>
      </c>
      <c r="G564" s="478" t="s">
        <v>2565</v>
      </c>
      <c r="H564" s="212" t="s">
        <v>2566</v>
      </c>
      <c r="I564" s="212" t="s">
        <v>391</v>
      </c>
      <c r="J564" s="475">
        <v>42075000</v>
      </c>
      <c r="K564" s="210" t="s">
        <v>2636</v>
      </c>
      <c r="L564" s="212" t="s">
        <v>2637</v>
      </c>
      <c r="M564" s="210" t="s">
        <v>44</v>
      </c>
      <c r="N564" s="210" t="s">
        <v>45</v>
      </c>
      <c r="O564" s="212" t="s">
        <v>63</v>
      </c>
      <c r="P564" s="212" t="s">
        <v>676</v>
      </c>
      <c r="R564" s="212">
        <v>609</v>
      </c>
      <c r="S564" s="490">
        <v>44329</v>
      </c>
      <c r="T564" s="486" t="s">
        <v>4362</v>
      </c>
      <c r="U564" s="475">
        <v>42075000</v>
      </c>
      <c r="V564" s="406"/>
      <c r="X564" s="483" t="s">
        <v>4363</v>
      </c>
      <c r="Y564" s="484">
        <v>44355</v>
      </c>
      <c r="Z564" s="484">
        <v>44355</v>
      </c>
      <c r="AA564" s="696">
        <v>44553</v>
      </c>
      <c r="AB564" s="486" t="s">
        <v>2575</v>
      </c>
      <c r="AC564" s="483" t="s">
        <v>3533</v>
      </c>
      <c r="AD564" s="486" t="s">
        <v>4364</v>
      </c>
      <c r="AE564" s="486" t="s">
        <v>4365</v>
      </c>
      <c r="AF564" s="496">
        <v>36465000</v>
      </c>
      <c r="AG564" s="474">
        <f t="shared" si="9"/>
        <v>5610000</v>
      </c>
      <c r="AM564" s="212"/>
    </row>
    <row r="565" spans="1:39" hidden="1" x14ac:dyDescent="0.25">
      <c r="A565" s="476" t="s">
        <v>1855</v>
      </c>
      <c r="B565" s="477">
        <v>44517774</v>
      </c>
      <c r="C565" s="212" t="s">
        <v>2571</v>
      </c>
      <c r="D565" s="478">
        <v>556</v>
      </c>
      <c r="E565" s="478">
        <v>20217000025743</v>
      </c>
      <c r="F565" s="479">
        <v>44327</v>
      </c>
      <c r="G565" s="478" t="s">
        <v>2572</v>
      </c>
      <c r="H565" s="212" t="s">
        <v>2573</v>
      </c>
      <c r="I565" s="212" t="s">
        <v>164</v>
      </c>
      <c r="J565" s="475">
        <v>17530120</v>
      </c>
      <c r="K565" s="212" t="s">
        <v>138</v>
      </c>
      <c r="L565" s="212" t="s">
        <v>139</v>
      </c>
      <c r="M565" s="212" t="s">
        <v>44</v>
      </c>
      <c r="N565" s="212" t="s">
        <v>45</v>
      </c>
      <c r="O565" s="212" t="s">
        <v>142</v>
      </c>
      <c r="P565" s="212" t="s">
        <v>43</v>
      </c>
      <c r="R565" s="212">
        <v>610</v>
      </c>
      <c r="S565" s="490">
        <v>44329</v>
      </c>
      <c r="T565" s="486" t="s">
        <v>4366</v>
      </c>
      <c r="U565" s="475">
        <v>17530120</v>
      </c>
      <c r="V565" s="406"/>
      <c r="W565" s="362"/>
      <c r="X565" s="483" t="s">
        <v>4367</v>
      </c>
      <c r="Y565" s="484">
        <v>44341</v>
      </c>
      <c r="Z565" s="484">
        <v>44341</v>
      </c>
      <c r="AA565" s="484">
        <v>44463</v>
      </c>
      <c r="AB565" s="486" t="s">
        <v>2575</v>
      </c>
      <c r="AC565" s="483" t="s">
        <v>3022</v>
      </c>
      <c r="AD565" s="486" t="s">
        <v>3180</v>
      </c>
      <c r="AE565" s="486" t="s">
        <v>3181</v>
      </c>
      <c r="AF565" s="473">
        <v>17530120</v>
      </c>
      <c r="AG565" s="474">
        <f t="shared" si="9"/>
        <v>0</v>
      </c>
      <c r="AM565" s="212"/>
    </row>
    <row r="566" spans="1:39" hidden="1" x14ac:dyDescent="0.25">
      <c r="A566" s="476" t="s">
        <v>2328</v>
      </c>
      <c r="B566" s="477">
        <v>19078983</v>
      </c>
      <c r="C566" s="212" t="s">
        <v>2571</v>
      </c>
      <c r="D566" s="478">
        <v>557</v>
      </c>
      <c r="E566" s="478">
        <v>20211400025823</v>
      </c>
      <c r="F566" s="479">
        <v>44328</v>
      </c>
      <c r="G566" s="478" t="s">
        <v>2572</v>
      </c>
      <c r="H566" s="212" t="s">
        <v>2573</v>
      </c>
      <c r="I566" s="212" t="s">
        <v>184</v>
      </c>
      <c r="J566" s="475">
        <v>19078983</v>
      </c>
      <c r="K566" s="212" t="s">
        <v>138</v>
      </c>
      <c r="L566" s="212" t="s">
        <v>181</v>
      </c>
      <c r="M566" s="212" t="s">
        <v>44</v>
      </c>
      <c r="N566" s="212" t="s">
        <v>45</v>
      </c>
      <c r="O566" s="212" t="s">
        <v>142</v>
      </c>
      <c r="P566" s="212" t="s">
        <v>43</v>
      </c>
      <c r="R566" s="212">
        <v>604</v>
      </c>
      <c r="S566" s="490">
        <v>44328</v>
      </c>
      <c r="T566" s="486" t="s">
        <v>4368</v>
      </c>
      <c r="U566" s="475">
        <v>19078983</v>
      </c>
      <c r="V566" s="406"/>
      <c r="W566" s="362"/>
      <c r="X566" s="483" t="s">
        <v>4369</v>
      </c>
      <c r="Y566" s="484">
        <v>44341</v>
      </c>
      <c r="Z566" s="484">
        <v>44341</v>
      </c>
      <c r="AA566" s="484">
        <v>44554</v>
      </c>
      <c r="AB566" s="486" t="s">
        <v>2575</v>
      </c>
      <c r="AC566" s="483" t="s">
        <v>3043</v>
      </c>
      <c r="AD566" s="486" t="s">
        <v>4051</v>
      </c>
      <c r="AE566" s="486" t="s">
        <v>4052</v>
      </c>
      <c r="AF566" s="473">
        <v>19078983</v>
      </c>
      <c r="AG566" s="474">
        <f t="shared" si="9"/>
        <v>0</v>
      </c>
      <c r="AM566" s="212"/>
    </row>
    <row r="567" spans="1:39" hidden="1" x14ac:dyDescent="0.25">
      <c r="A567" s="476" t="s">
        <v>1751</v>
      </c>
      <c r="B567" s="477">
        <v>56000000</v>
      </c>
      <c r="C567" s="212" t="s">
        <v>2571</v>
      </c>
      <c r="D567" s="478">
        <v>558</v>
      </c>
      <c r="E567" s="478">
        <v>20215000025853</v>
      </c>
      <c r="F567" s="479">
        <v>44328</v>
      </c>
      <c r="G567" s="478" t="s">
        <v>2565</v>
      </c>
      <c r="H567" s="212" t="s">
        <v>2566</v>
      </c>
      <c r="I567" s="210" t="s">
        <v>228</v>
      </c>
      <c r="J567" s="475">
        <v>53900000</v>
      </c>
      <c r="K567" s="212" t="s">
        <v>223</v>
      </c>
      <c r="L567" s="212" t="s">
        <v>2683</v>
      </c>
      <c r="M567" s="212" t="s">
        <v>44</v>
      </c>
      <c r="N567" s="212" t="s">
        <v>45</v>
      </c>
      <c r="O567" s="212" t="s">
        <v>63</v>
      </c>
      <c r="P567" s="212" t="s">
        <v>676</v>
      </c>
      <c r="R567" s="212">
        <v>605</v>
      </c>
      <c r="S567" s="490">
        <v>44328</v>
      </c>
      <c r="T567" s="486" t="s">
        <v>4370</v>
      </c>
      <c r="U567" s="475">
        <v>53900000</v>
      </c>
      <c r="V567" s="406"/>
      <c r="W567" s="362"/>
      <c r="X567" s="483" t="s">
        <v>4371</v>
      </c>
      <c r="Y567" s="484">
        <v>44335</v>
      </c>
      <c r="Z567" s="484">
        <v>44335</v>
      </c>
      <c r="AA567" s="484">
        <v>44548</v>
      </c>
      <c r="AB567" s="486" t="s">
        <v>2575</v>
      </c>
      <c r="AC567" s="483" t="s">
        <v>4074</v>
      </c>
      <c r="AD567" s="486" t="s">
        <v>4372</v>
      </c>
      <c r="AE567" s="486" t="s">
        <v>4373</v>
      </c>
      <c r="AF567" s="473">
        <v>53900000</v>
      </c>
      <c r="AG567" s="474">
        <f t="shared" si="9"/>
        <v>0</v>
      </c>
      <c r="AM567" s="212"/>
    </row>
    <row r="568" spans="1:39" hidden="1" x14ac:dyDescent="0.25">
      <c r="A568" s="466" t="s">
        <v>2052</v>
      </c>
      <c r="B568" s="467">
        <v>42400000</v>
      </c>
      <c r="C568" s="212" t="s">
        <v>2571</v>
      </c>
      <c r="D568" s="469">
        <v>559</v>
      </c>
      <c r="E568" s="469">
        <v>20215000025873</v>
      </c>
      <c r="F568" s="470">
        <v>44328</v>
      </c>
      <c r="G568" s="378" t="s">
        <v>2565</v>
      </c>
      <c r="H568" s="377" t="s">
        <v>2566</v>
      </c>
      <c r="I568" s="377" t="s">
        <v>228</v>
      </c>
      <c r="J568" s="425">
        <v>42400000</v>
      </c>
      <c r="K568" s="377" t="s">
        <v>223</v>
      </c>
      <c r="L568" s="468" t="s">
        <v>236</v>
      </c>
      <c r="M568" s="377" t="s">
        <v>44</v>
      </c>
      <c r="N568" s="377" t="s">
        <v>45</v>
      </c>
      <c r="O568" s="377" t="s">
        <v>63</v>
      </c>
      <c r="P568" s="212" t="s">
        <v>676</v>
      </c>
      <c r="Q568" s="468"/>
      <c r="R568" s="468">
        <v>606</v>
      </c>
      <c r="S568" s="528">
        <v>44328</v>
      </c>
      <c r="T568" s="529" t="s">
        <v>4374</v>
      </c>
      <c r="U568" s="475">
        <f>42400000-18400000</f>
        <v>24000000</v>
      </c>
      <c r="V568" s="414">
        <v>18400000</v>
      </c>
      <c r="W568" s="680" t="s">
        <v>1453</v>
      </c>
      <c r="X568" s="483">
        <v>593</v>
      </c>
      <c r="Y568" s="484">
        <v>44362</v>
      </c>
      <c r="Z568" s="484">
        <v>44362</v>
      </c>
      <c r="AA568" s="484">
        <v>44544</v>
      </c>
      <c r="AB568" s="486" t="s">
        <v>2575</v>
      </c>
      <c r="AC568" s="483" t="s">
        <v>3807</v>
      </c>
      <c r="AD568" s="486" t="s">
        <v>4375</v>
      </c>
      <c r="AE568" s="486" t="s">
        <v>4376</v>
      </c>
      <c r="AF568" s="473">
        <v>24000000</v>
      </c>
      <c r="AG568" s="474">
        <f t="shared" si="9"/>
        <v>0</v>
      </c>
      <c r="AI568" s="471"/>
      <c r="AJ568" s="471"/>
      <c r="AK568" s="471"/>
      <c r="AL568" s="471"/>
      <c r="AM568" s="212"/>
    </row>
    <row r="569" spans="1:39" s="312" customFormat="1" hidden="1" x14ac:dyDescent="0.25">
      <c r="A569" s="361" t="s">
        <v>4377</v>
      </c>
      <c r="B569" s="417">
        <v>34000000</v>
      </c>
      <c r="C569" s="312" t="s">
        <v>2687</v>
      </c>
      <c r="D569" s="325">
        <v>560</v>
      </c>
      <c r="E569" s="325">
        <v>20211200025723</v>
      </c>
      <c r="F569" s="315">
        <v>44329</v>
      </c>
      <c r="G569" s="325" t="s">
        <v>2572</v>
      </c>
      <c r="H569" s="312" t="s">
        <v>2573</v>
      </c>
      <c r="I569" s="312" t="s">
        <v>143</v>
      </c>
      <c r="J569" s="405">
        <v>34000000</v>
      </c>
      <c r="K569" s="312" t="s">
        <v>138</v>
      </c>
      <c r="L569" s="312" t="s">
        <v>139</v>
      </c>
      <c r="M569" s="312" t="s">
        <v>44</v>
      </c>
      <c r="N569" s="312" t="s">
        <v>45</v>
      </c>
      <c r="O569" s="312" t="s">
        <v>142</v>
      </c>
      <c r="P569" s="312" t="s">
        <v>43</v>
      </c>
      <c r="R569" s="312">
        <v>611</v>
      </c>
      <c r="S569" s="363">
        <v>44330</v>
      </c>
      <c r="T569" s="360" t="s">
        <v>4378</v>
      </c>
      <c r="U569" s="405">
        <f>34000000</f>
        <v>34000000</v>
      </c>
      <c r="V569" s="406" t="s">
        <v>4379</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x14ac:dyDescent="0.25">
      <c r="A570" s="476" t="s">
        <v>1906</v>
      </c>
      <c r="B570" s="477">
        <v>32706936</v>
      </c>
      <c r="C570" s="212" t="s">
        <v>2571</v>
      </c>
      <c r="D570" s="478">
        <v>561</v>
      </c>
      <c r="E570" s="478">
        <v>20217000025973</v>
      </c>
      <c r="F570" s="479">
        <v>44329</v>
      </c>
      <c r="G570" s="478" t="s">
        <v>2572</v>
      </c>
      <c r="H570" s="212" t="s">
        <v>2573</v>
      </c>
      <c r="I570" s="212" t="s">
        <v>164</v>
      </c>
      <c r="J570" s="475">
        <v>21804624</v>
      </c>
      <c r="K570" s="212" t="s">
        <v>138</v>
      </c>
      <c r="L570" s="212" t="s">
        <v>139</v>
      </c>
      <c r="M570" s="212" t="s">
        <v>44</v>
      </c>
      <c r="N570" s="212" t="s">
        <v>45</v>
      </c>
      <c r="O570" s="212" t="s">
        <v>142</v>
      </c>
      <c r="P570" s="212" t="s">
        <v>43</v>
      </c>
      <c r="R570" s="212">
        <v>612</v>
      </c>
      <c r="S570" s="490">
        <v>44330</v>
      </c>
      <c r="T570" s="486" t="s">
        <v>4380</v>
      </c>
      <c r="U570" s="475">
        <v>21804624</v>
      </c>
      <c r="V570" s="406"/>
      <c r="W570" s="362"/>
      <c r="X570" s="483" t="s">
        <v>4381</v>
      </c>
      <c r="Y570" s="472">
        <v>44343</v>
      </c>
      <c r="Z570" s="484">
        <v>44343</v>
      </c>
      <c r="AA570" s="484">
        <v>44526</v>
      </c>
      <c r="AB570" s="486" t="s">
        <v>2575</v>
      </c>
      <c r="AC570" s="483" t="s">
        <v>4382</v>
      </c>
      <c r="AD570" s="486" t="s">
        <v>3783</v>
      </c>
      <c r="AE570" s="486" t="s">
        <v>3784</v>
      </c>
      <c r="AF570" s="473">
        <v>21804624</v>
      </c>
      <c r="AG570" s="474">
        <f t="shared" si="9"/>
        <v>0</v>
      </c>
      <c r="AM570" s="212"/>
    </row>
    <row r="571" spans="1:39" s="210" customFormat="1" hidden="1" x14ac:dyDescent="0.25">
      <c r="A571" s="313" t="s">
        <v>2444</v>
      </c>
      <c r="B571" s="419">
        <v>96000000</v>
      </c>
      <c r="C571" s="212" t="s">
        <v>2571</v>
      </c>
      <c r="D571" s="309">
        <v>562</v>
      </c>
      <c r="E571" s="366">
        <v>20213000026013</v>
      </c>
      <c r="F571" s="310">
        <v>44330</v>
      </c>
      <c r="G571" s="309" t="s">
        <v>2565</v>
      </c>
      <c r="H571" s="210" t="s">
        <v>2566</v>
      </c>
      <c r="I571" s="210" t="s">
        <v>432</v>
      </c>
      <c r="J571" s="407">
        <v>95340000</v>
      </c>
      <c r="K571" s="212" t="s">
        <v>342</v>
      </c>
      <c r="L571" s="210" t="s">
        <v>351</v>
      </c>
      <c r="M571" s="210" t="s">
        <v>44</v>
      </c>
      <c r="N571" s="210" t="s">
        <v>45</v>
      </c>
      <c r="O571" s="210" t="s">
        <v>63</v>
      </c>
      <c r="P571" s="212" t="s">
        <v>676</v>
      </c>
      <c r="R571" s="210">
        <v>613</v>
      </c>
      <c r="S571" s="490">
        <v>44330</v>
      </c>
      <c r="T571" s="486" t="s">
        <v>2444</v>
      </c>
      <c r="U571" s="407">
        <v>95340000</v>
      </c>
      <c r="V571" s="415"/>
      <c r="W571" s="401"/>
      <c r="X571" s="483" t="s">
        <v>4383</v>
      </c>
      <c r="Y571" s="484">
        <v>44336</v>
      </c>
      <c r="Z571" s="484">
        <v>44336</v>
      </c>
      <c r="AA571" s="484">
        <v>44549</v>
      </c>
      <c r="AB571" s="486" t="s">
        <v>2575</v>
      </c>
      <c r="AC571" s="483" t="s">
        <v>3824</v>
      </c>
      <c r="AD571" s="486" t="s">
        <v>4384</v>
      </c>
      <c r="AE571" s="486" t="s">
        <v>4385</v>
      </c>
      <c r="AF571" s="473">
        <v>95340000</v>
      </c>
      <c r="AG571" s="474">
        <f t="shared" si="9"/>
        <v>0</v>
      </c>
      <c r="AH571" s="407"/>
      <c r="AI571" s="407"/>
      <c r="AJ571" s="407"/>
      <c r="AK571" s="407"/>
      <c r="AL571" s="475"/>
      <c r="AM571" s="212"/>
    </row>
    <row r="572" spans="1:39" hidden="1" x14ac:dyDescent="0.25">
      <c r="A572" s="387" t="s">
        <v>2467</v>
      </c>
      <c r="B572" s="422">
        <v>90000000</v>
      </c>
      <c r="C572" s="212" t="s">
        <v>2571</v>
      </c>
      <c r="D572" s="469">
        <v>563</v>
      </c>
      <c r="E572" s="469">
        <v>20213000026073</v>
      </c>
      <c r="F572" s="385">
        <v>44330</v>
      </c>
      <c r="G572" s="378" t="s">
        <v>2565</v>
      </c>
      <c r="H572" s="377" t="s">
        <v>2566</v>
      </c>
      <c r="I572" s="377" t="s">
        <v>432</v>
      </c>
      <c r="J572" s="424">
        <v>90000000</v>
      </c>
      <c r="K572" s="468" t="s">
        <v>342</v>
      </c>
      <c r="L572" s="377" t="s">
        <v>351</v>
      </c>
      <c r="M572" s="377" t="s">
        <v>44</v>
      </c>
      <c r="N572" s="377" t="s">
        <v>45</v>
      </c>
      <c r="O572" s="377" t="s">
        <v>63</v>
      </c>
      <c r="P572" s="212" t="s">
        <v>676</v>
      </c>
      <c r="Q572" s="468"/>
      <c r="R572" s="468">
        <v>614</v>
      </c>
      <c r="S572" s="528">
        <v>44330</v>
      </c>
      <c r="T572" s="529" t="s">
        <v>2467</v>
      </c>
      <c r="U572" s="471">
        <v>90000000</v>
      </c>
      <c r="V572" s="414"/>
      <c r="W572" s="379"/>
      <c r="AG572" s="474">
        <f t="shared" si="9"/>
        <v>90000000</v>
      </c>
      <c r="AI572" s="471"/>
      <c r="AJ572" s="471"/>
      <c r="AK572" s="471"/>
      <c r="AL572" s="471"/>
      <c r="AM572" s="212"/>
    </row>
    <row r="573" spans="1:39" hidden="1" x14ac:dyDescent="0.25">
      <c r="A573" s="313" t="s">
        <v>2374</v>
      </c>
      <c r="B573" s="419">
        <v>18000000</v>
      </c>
      <c r="C573" s="212" t="s">
        <v>2571</v>
      </c>
      <c r="D573" s="478">
        <v>564</v>
      </c>
      <c r="E573" s="478">
        <v>20217000025983</v>
      </c>
      <c r="F573" s="310">
        <v>44334</v>
      </c>
      <c r="G573" s="478" t="s">
        <v>2572</v>
      </c>
      <c r="H573" s="212" t="s">
        <v>2573</v>
      </c>
      <c r="I573" s="212" t="s">
        <v>164</v>
      </c>
      <c r="J573" s="475">
        <v>17928246</v>
      </c>
      <c r="K573" s="212" t="s">
        <v>138</v>
      </c>
      <c r="L573" s="212" t="s">
        <v>139</v>
      </c>
      <c r="M573" s="212" t="s">
        <v>44</v>
      </c>
      <c r="N573" s="212" t="s">
        <v>45</v>
      </c>
      <c r="O573" s="212" t="s">
        <v>142</v>
      </c>
      <c r="P573" s="212" t="s">
        <v>43</v>
      </c>
      <c r="R573" s="212">
        <v>615</v>
      </c>
      <c r="S573" s="490">
        <v>44335</v>
      </c>
      <c r="T573" s="212" t="s">
        <v>2374</v>
      </c>
      <c r="U573" s="475">
        <v>17928246</v>
      </c>
      <c r="V573" s="406"/>
      <c r="X573" s="483" t="s">
        <v>4386</v>
      </c>
      <c r="Y573" s="484">
        <v>44351</v>
      </c>
      <c r="Z573" s="484">
        <v>44351</v>
      </c>
      <c r="AA573" s="484">
        <v>44489</v>
      </c>
      <c r="AB573" s="486" t="s">
        <v>2575</v>
      </c>
      <c r="AC573" s="483" t="s">
        <v>4090</v>
      </c>
      <c r="AD573" s="486" t="s">
        <v>3253</v>
      </c>
      <c r="AE573" s="486" t="s">
        <v>3254</v>
      </c>
      <c r="AF573" s="496">
        <v>16353468</v>
      </c>
      <c r="AG573" s="474">
        <f t="shared" si="9"/>
        <v>1574778</v>
      </c>
      <c r="AM573" s="212"/>
    </row>
    <row r="574" spans="1:39" hidden="1" x14ac:dyDescent="0.25">
      <c r="B574" s="477" t="s">
        <v>4315</v>
      </c>
      <c r="C574" s="212" t="s">
        <v>4387</v>
      </c>
      <c r="D574" s="478">
        <v>565</v>
      </c>
      <c r="E574" s="478">
        <v>20217000026343</v>
      </c>
      <c r="F574" s="310">
        <v>44336</v>
      </c>
      <c r="G574" s="478" t="s">
        <v>2572</v>
      </c>
      <c r="H574" s="212" t="s">
        <v>2573</v>
      </c>
      <c r="I574" s="212" t="s">
        <v>164</v>
      </c>
      <c r="J574" s="475">
        <v>3474800</v>
      </c>
      <c r="K574" s="212" t="s">
        <v>138</v>
      </c>
      <c r="L574" s="212" t="s">
        <v>4252</v>
      </c>
      <c r="M574" s="212" t="s">
        <v>44</v>
      </c>
      <c r="N574" s="212" t="s">
        <v>45</v>
      </c>
      <c r="O574" s="212" t="s">
        <v>310</v>
      </c>
      <c r="P574" s="212" t="s">
        <v>43</v>
      </c>
      <c r="R574" s="486">
        <v>618</v>
      </c>
      <c r="S574" s="490">
        <v>44337</v>
      </c>
      <c r="T574" s="486" t="s">
        <v>4388</v>
      </c>
      <c r="U574" s="475">
        <v>3474800</v>
      </c>
      <c r="V574" s="406"/>
      <c r="X574" s="483" t="s">
        <v>4389</v>
      </c>
      <c r="Y574" s="484">
        <v>44362</v>
      </c>
      <c r="Z574" s="484">
        <v>44383</v>
      </c>
      <c r="AA574" s="484">
        <v>44444</v>
      </c>
      <c r="AB574" s="486" t="s">
        <v>2575</v>
      </c>
      <c r="AC574" s="483" t="s">
        <v>4390</v>
      </c>
      <c r="AD574" s="486" t="s">
        <v>4391</v>
      </c>
      <c r="AE574" s="486" t="s">
        <v>4392</v>
      </c>
      <c r="AF574" s="496">
        <v>3474800</v>
      </c>
      <c r="AG574" s="474">
        <f t="shared" si="9"/>
        <v>0</v>
      </c>
      <c r="AM574" s="212"/>
    </row>
    <row r="575" spans="1:39" hidden="1" x14ac:dyDescent="0.25">
      <c r="A575" s="476" t="s">
        <v>2296</v>
      </c>
      <c r="B575" s="417">
        <v>21000000</v>
      </c>
      <c r="C575" s="212" t="s">
        <v>2571</v>
      </c>
      <c r="D575" s="478">
        <v>566</v>
      </c>
      <c r="E575" s="478">
        <v>20211200026553</v>
      </c>
      <c r="F575" s="310">
        <v>44336</v>
      </c>
      <c r="G575" s="478" t="s">
        <v>2572</v>
      </c>
      <c r="H575" s="212" t="s">
        <v>2573</v>
      </c>
      <c r="I575" s="212" t="s">
        <v>143</v>
      </c>
      <c r="J575" s="475">
        <v>21000000</v>
      </c>
      <c r="K575" s="212" t="s">
        <v>138</v>
      </c>
      <c r="L575" s="212" t="s">
        <v>139</v>
      </c>
      <c r="M575" s="212" t="s">
        <v>44</v>
      </c>
      <c r="N575" s="212" t="s">
        <v>45</v>
      </c>
      <c r="O575" s="212" t="s">
        <v>142</v>
      </c>
      <c r="P575" s="212" t="s">
        <v>43</v>
      </c>
      <c r="R575" s="486">
        <v>619</v>
      </c>
      <c r="S575" s="490">
        <v>44337</v>
      </c>
      <c r="T575" s="486" t="s">
        <v>4393</v>
      </c>
      <c r="U575" s="475">
        <v>21000000</v>
      </c>
      <c r="V575" s="406"/>
      <c r="W575" s="362"/>
      <c r="X575" s="483" t="s">
        <v>4394</v>
      </c>
      <c r="Y575" s="484">
        <v>44347</v>
      </c>
      <c r="Z575" s="484">
        <v>44347</v>
      </c>
      <c r="AA575" s="484">
        <v>44560</v>
      </c>
      <c r="AB575" s="486" t="s">
        <v>2575</v>
      </c>
      <c r="AC575" s="483" t="s">
        <v>4087</v>
      </c>
      <c r="AD575" s="486" t="s">
        <v>4395</v>
      </c>
      <c r="AE575" s="486" t="s">
        <v>3097</v>
      </c>
      <c r="AF575" s="473">
        <v>21000000</v>
      </c>
      <c r="AG575" s="474">
        <f t="shared" si="9"/>
        <v>0</v>
      </c>
      <c r="AM575" s="212"/>
    </row>
    <row r="576" spans="1:39" hidden="1" x14ac:dyDescent="0.25">
      <c r="A576" s="466" t="s">
        <v>1905</v>
      </c>
      <c r="B576" s="467">
        <v>36795303</v>
      </c>
      <c r="C576" s="212" t="s">
        <v>2571</v>
      </c>
      <c r="D576" s="469">
        <v>567</v>
      </c>
      <c r="E576" s="469">
        <v>20217000026563</v>
      </c>
      <c r="F576" s="385">
        <v>44336</v>
      </c>
      <c r="G576" s="469" t="s">
        <v>2572</v>
      </c>
      <c r="H576" s="468" t="s">
        <v>2573</v>
      </c>
      <c r="I576" s="468" t="s">
        <v>164</v>
      </c>
      <c r="J576" s="471">
        <v>24530202</v>
      </c>
      <c r="K576" s="468" t="s">
        <v>138</v>
      </c>
      <c r="L576" s="468" t="s">
        <v>139</v>
      </c>
      <c r="M576" s="468" t="s">
        <v>44</v>
      </c>
      <c r="N576" s="468" t="s">
        <v>45</v>
      </c>
      <c r="O576" s="468" t="s">
        <v>142</v>
      </c>
      <c r="P576" s="468" t="s">
        <v>43</v>
      </c>
      <c r="Q576" s="468"/>
      <c r="R576" s="529">
        <v>620</v>
      </c>
      <c r="S576" s="528">
        <v>44337</v>
      </c>
      <c r="T576" s="529" t="s">
        <v>4396</v>
      </c>
      <c r="U576" s="475">
        <v>24530202</v>
      </c>
      <c r="V576" s="414"/>
      <c r="X576" s="483" t="s">
        <v>4397</v>
      </c>
      <c r="Y576" s="484">
        <v>44349</v>
      </c>
      <c r="Z576" s="484">
        <v>44349</v>
      </c>
      <c r="AA576" s="484">
        <v>44532</v>
      </c>
      <c r="AB576" s="486" t="s">
        <v>2575</v>
      </c>
      <c r="AC576" s="483" t="s">
        <v>3860</v>
      </c>
      <c r="AD576" s="486" t="s">
        <v>3804</v>
      </c>
      <c r="AE576" s="486" t="s">
        <v>3805</v>
      </c>
      <c r="AF576" s="496">
        <v>24530202</v>
      </c>
      <c r="AG576" s="474">
        <f t="shared" si="9"/>
        <v>0</v>
      </c>
      <c r="AI576" s="471"/>
      <c r="AJ576" s="471"/>
      <c r="AK576" s="471"/>
      <c r="AL576" s="471"/>
      <c r="AM576" s="212"/>
    </row>
    <row r="577" spans="1:39" hidden="1" x14ac:dyDescent="0.25">
      <c r="A577" s="476" t="s">
        <v>2378</v>
      </c>
      <c r="B577" s="477">
        <v>14536416</v>
      </c>
      <c r="C577" s="212" t="s">
        <v>2571</v>
      </c>
      <c r="D577" s="478">
        <v>568</v>
      </c>
      <c r="E577" s="478">
        <v>20211300026663</v>
      </c>
      <c r="F577" s="310">
        <v>44336</v>
      </c>
      <c r="G577" s="478" t="s">
        <v>2572</v>
      </c>
      <c r="H577" s="212" t="s">
        <v>2573</v>
      </c>
      <c r="I577" s="212" t="s">
        <v>210</v>
      </c>
      <c r="J577" s="475">
        <v>14536416</v>
      </c>
      <c r="K577" s="212" t="s">
        <v>138</v>
      </c>
      <c r="L577" s="212" t="s">
        <v>139</v>
      </c>
      <c r="M577" s="212" t="s">
        <v>44</v>
      </c>
      <c r="N577" s="212" t="s">
        <v>45</v>
      </c>
      <c r="O577" s="212" t="s">
        <v>142</v>
      </c>
      <c r="P577" s="212" t="s">
        <v>43</v>
      </c>
      <c r="R577" s="486">
        <v>621</v>
      </c>
      <c r="S577" s="490">
        <v>44337</v>
      </c>
      <c r="T577" s="486" t="s">
        <v>4398</v>
      </c>
      <c r="U577" s="475">
        <v>14536416</v>
      </c>
      <c r="V577" s="406"/>
      <c r="X577" s="483" t="s">
        <v>4399</v>
      </c>
      <c r="Y577" s="484">
        <v>44355</v>
      </c>
      <c r="Z577" s="484">
        <v>44355</v>
      </c>
      <c r="AA577" s="484">
        <v>44476</v>
      </c>
      <c r="AB577" s="486" t="s">
        <v>2575</v>
      </c>
      <c r="AC577" s="483" t="s">
        <v>3697</v>
      </c>
      <c r="AD577" s="486" t="s">
        <v>4011</v>
      </c>
      <c r="AE577" s="486" t="s">
        <v>4012</v>
      </c>
      <c r="AF577" s="496">
        <v>14536416</v>
      </c>
      <c r="AG577" s="474">
        <f t="shared" si="9"/>
        <v>0</v>
      </c>
      <c r="AM577" s="212"/>
    </row>
    <row r="578" spans="1:39" hidden="1" x14ac:dyDescent="0.25">
      <c r="A578" s="476" t="s">
        <v>2377</v>
      </c>
      <c r="B578" s="477">
        <v>35432514</v>
      </c>
      <c r="C578" s="212" t="s">
        <v>2571</v>
      </c>
      <c r="D578" s="478">
        <v>569</v>
      </c>
      <c r="E578" s="478">
        <v>20211300026673</v>
      </c>
      <c r="F578" s="310">
        <v>44336</v>
      </c>
      <c r="G578" s="478" t="s">
        <v>2572</v>
      </c>
      <c r="H578" s="212" t="s">
        <v>2573</v>
      </c>
      <c r="I578" s="212" t="s">
        <v>210</v>
      </c>
      <c r="J578" s="475">
        <v>29527095</v>
      </c>
      <c r="K578" s="212" t="s">
        <v>138</v>
      </c>
      <c r="L578" s="212" t="s">
        <v>139</v>
      </c>
      <c r="M578" s="212" t="s">
        <v>44</v>
      </c>
      <c r="N578" s="212" t="s">
        <v>45</v>
      </c>
      <c r="O578" s="212" t="s">
        <v>142</v>
      </c>
      <c r="P578" s="212" t="s">
        <v>43</v>
      </c>
      <c r="R578" s="486">
        <v>622</v>
      </c>
      <c r="S578" s="490">
        <v>44337</v>
      </c>
      <c r="T578" s="486" t="s">
        <v>4400</v>
      </c>
      <c r="U578" s="475">
        <v>29527095</v>
      </c>
      <c r="V578" s="406"/>
      <c r="X578" s="483" t="s">
        <v>4401</v>
      </c>
      <c r="Y578" s="484">
        <v>44355</v>
      </c>
      <c r="Z578" s="484">
        <v>44355</v>
      </c>
      <c r="AA578" s="484">
        <v>44507</v>
      </c>
      <c r="AB578" s="486" t="s">
        <v>2575</v>
      </c>
      <c r="AC578" s="483" t="s">
        <v>3549</v>
      </c>
      <c r="AD578" s="486" t="s">
        <v>3988</v>
      </c>
      <c r="AE578" s="486" t="s">
        <v>3989</v>
      </c>
      <c r="AF578" s="496">
        <v>29527095</v>
      </c>
      <c r="AG578" s="474">
        <f t="shared" si="9"/>
        <v>0</v>
      </c>
      <c r="AM578" s="212"/>
    </row>
    <row r="579" spans="1:39" s="210" customFormat="1" hidden="1" x14ac:dyDescent="0.25">
      <c r="A579" s="313" t="s">
        <v>2305</v>
      </c>
      <c r="B579" s="419">
        <v>32706936</v>
      </c>
      <c r="C579" s="212" t="s">
        <v>2571</v>
      </c>
      <c r="D579" s="309">
        <v>570</v>
      </c>
      <c r="E579" s="309">
        <v>20217000026753</v>
      </c>
      <c r="F579" s="310">
        <v>44336</v>
      </c>
      <c r="G579" s="309" t="s">
        <v>2572</v>
      </c>
      <c r="H579" s="210" t="s">
        <v>2573</v>
      </c>
      <c r="I579" s="210" t="s">
        <v>164</v>
      </c>
      <c r="J579" s="407">
        <v>22081128</v>
      </c>
      <c r="K579" s="210" t="s">
        <v>138</v>
      </c>
      <c r="L579" s="210" t="s">
        <v>139</v>
      </c>
      <c r="M579" s="210" t="s">
        <v>44</v>
      </c>
      <c r="N579" s="210" t="s">
        <v>45</v>
      </c>
      <c r="O579" s="210" t="s">
        <v>142</v>
      </c>
      <c r="P579" s="210" t="s">
        <v>43</v>
      </c>
      <c r="R579" s="486">
        <v>623</v>
      </c>
      <c r="S579" s="490">
        <v>44337</v>
      </c>
      <c r="T579" s="486" t="s">
        <v>4402</v>
      </c>
      <c r="U579" s="475">
        <v>22081128</v>
      </c>
      <c r="V579" s="415"/>
      <c r="W579" s="463"/>
      <c r="X579" s="483" t="s">
        <v>4403</v>
      </c>
      <c r="Y579" s="484">
        <v>44351</v>
      </c>
      <c r="Z579" s="484">
        <v>44351</v>
      </c>
      <c r="AA579" s="484">
        <v>44533</v>
      </c>
      <c r="AB579" s="486" t="s">
        <v>2575</v>
      </c>
      <c r="AC579" s="483" t="s">
        <v>3519</v>
      </c>
      <c r="AD579" s="486" t="s">
        <v>3812</v>
      </c>
      <c r="AE579" s="486" t="s">
        <v>3813</v>
      </c>
      <c r="AF579" s="496">
        <v>21804624</v>
      </c>
      <c r="AG579" s="474">
        <f t="shared" si="9"/>
        <v>276504</v>
      </c>
      <c r="AH579" s="407"/>
      <c r="AI579" s="407"/>
      <c r="AJ579" s="407"/>
      <c r="AK579" s="407"/>
      <c r="AL579" s="475"/>
      <c r="AM579" s="212"/>
    </row>
    <row r="580" spans="1:39" hidden="1" x14ac:dyDescent="0.25">
      <c r="C580" s="212" t="s">
        <v>4404</v>
      </c>
      <c r="D580" s="478">
        <v>571</v>
      </c>
      <c r="E580" s="478">
        <v>20213000026803</v>
      </c>
      <c r="F580" s="310">
        <v>44337</v>
      </c>
      <c r="G580" s="478" t="s">
        <v>2565</v>
      </c>
      <c r="H580" s="212" t="s">
        <v>2566</v>
      </c>
      <c r="I580" s="212" t="s">
        <v>432</v>
      </c>
      <c r="J580" s="407">
        <v>22516000</v>
      </c>
      <c r="K580" s="212" t="s">
        <v>342</v>
      </c>
      <c r="L580" s="212" t="s">
        <v>343</v>
      </c>
      <c r="M580" s="212" t="s">
        <v>44</v>
      </c>
      <c r="N580" s="212" t="s">
        <v>45</v>
      </c>
      <c r="O580" s="212" t="s">
        <v>310</v>
      </c>
      <c r="P580" s="212" t="s">
        <v>676</v>
      </c>
      <c r="R580" s="698">
        <v>625</v>
      </c>
      <c r="S580" s="490">
        <v>44337</v>
      </c>
      <c r="T580" s="486" t="s">
        <v>4405</v>
      </c>
      <c r="U580" s="475">
        <v>22516000</v>
      </c>
      <c r="V580" s="406"/>
      <c r="W580" s="362"/>
      <c r="AG580" s="474">
        <f t="shared" si="9"/>
        <v>22516000</v>
      </c>
      <c r="AM580" s="212"/>
    </row>
    <row r="581" spans="1:39" hidden="1" x14ac:dyDescent="0.25">
      <c r="A581" s="313" t="s">
        <v>2008</v>
      </c>
      <c r="B581" s="419">
        <v>36000000</v>
      </c>
      <c r="C581" s="212" t="s">
        <v>2571</v>
      </c>
      <c r="D581" s="478">
        <v>572</v>
      </c>
      <c r="E581" s="478">
        <v>20214000026953</v>
      </c>
      <c r="F581" s="310">
        <v>44337</v>
      </c>
      <c r="G581" s="478" t="s">
        <v>2605</v>
      </c>
      <c r="H581" s="212" t="s">
        <v>2606</v>
      </c>
      <c r="I581" s="212" t="s">
        <v>47</v>
      </c>
      <c r="J581" s="475">
        <v>36000000</v>
      </c>
      <c r="K581" s="212" t="s">
        <v>37</v>
      </c>
      <c r="L581" s="212" t="s">
        <v>2607</v>
      </c>
      <c r="M581" s="212" t="s">
        <v>44</v>
      </c>
      <c r="N581" s="212" t="s">
        <v>45</v>
      </c>
      <c r="O581" s="212" t="s">
        <v>310</v>
      </c>
      <c r="P581" s="212" t="s">
        <v>43</v>
      </c>
      <c r="R581" s="536">
        <v>626</v>
      </c>
      <c r="S581" s="490">
        <v>44337</v>
      </c>
      <c r="T581" s="486" t="s">
        <v>4406</v>
      </c>
      <c r="U581" s="475">
        <v>36000000</v>
      </c>
      <c r="V581" s="406"/>
      <c r="X581" s="483" t="s">
        <v>4407</v>
      </c>
      <c r="Y581" s="484">
        <v>44358</v>
      </c>
      <c r="Z581" s="484">
        <v>44358</v>
      </c>
      <c r="AA581" s="484">
        <v>44540</v>
      </c>
      <c r="AB581" s="486" t="s">
        <v>2575</v>
      </c>
      <c r="AC581" s="483" t="s">
        <v>3868</v>
      </c>
      <c r="AD581" s="486" t="s">
        <v>4408</v>
      </c>
      <c r="AE581" s="486" t="s">
        <v>4409</v>
      </c>
      <c r="AF581" s="496">
        <v>30857142</v>
      </c>
      <c r="AG581" s="474">
        <f t="shared" si="9"/>
        <v>5142858</v>
      </c>
      <c r="AM581" s="212"/>
    </row>
    <row r="582" spans="1:39" hidden="1" x14ac:dyDescent="0.25">
      <c r="A582" s="313" t="s">
        <v>2102</v>
      </c>
      <c r="B582" s="419">
        <v>310700000</v>
      </c>
      <c r="C582" s="212" t="s">
        <v>4260</v>
      </c>
      <c r="D582" s="478">
        <v>573</v>
      </c>
      <c r="E582" s="478">
        <v>20215000027033</v>
      </c>
      <c r="F582" s="310">
        <v>44337</v>
      </c>
      <c r="G582" s="309" t="s">
        <v>2565</v>
      </c>
      <c r="H582" s="210" t="s">
        <v>2566</v>
      </c>
      <c r="I582" s="210" t="s">
        <v>228</v>
      </c>
      <c r="J582" s="415">
        <v>150000000</v>
      </c>
      <c r="K582" s="210" t="s">
        <v>223</v>
      </c>
      <c r="L582" s="212" t="s">
        <v>236</v>
      </c>
      <c r="M582" s="210" t="s">
        <v>44</v>
      </c>
      <c r="N582" s="210" t="s">
        <v>45</v>
      </c>
      <c r="O582" s="210" t="s">
        <v>265</v>
      </c>
      <c r="P582" s="212" t="s">
        <v>676</v>
      </c>
      <c r="R582" s="536">
        <v>627</v>
      </c>
      <c r="S582" s="490">
        <v>44337</v>
      </c>
      <c r="T582" s="486" t="s">
        <v>4261</v>
      </c>
      <c r="U582" s="693">
        <v>150000000</v>
      </c>
      <c r="V582" s="406"/>
      <c r="W582" s="362"/>
      <c r="AG582" s="474">
        <f t="shared" si="9"/>
        <v>150000000</v>
      </c>
      <c r="AM582" s="212"/>
    </row>
    <row r="583" spans="1:39" s="312" customFormat="1" hidden="1" x14ac:dyDescent="0.25">
      <c r="A583" s="361"/>
      <c r="B583" s="417" t="s">
        <v>4315</v>
      </c>
      <c r="C583" s="312" t="s">
        <v>4410</v>
      </c>
      <c r="D583" s="325">
        <v>574</v>
      </c>
      <c r="E583" s="325">
        <v>20215000027133</v>
      </c>
      <c r="F583" s="315">
        <v>44342</v>
      </c>
      <c r="G583" s="325" t="s">
        <v>2565</v>
      </c>
      <c r="H583" s="312" t="s">
        <v>2566</v>
      </c>
      <c r="I583" s="312" t="s">
        <v>228</v>
      </c>
      <c r="J583" s="406">
        <v>57120000</v>
      </c>
      <c r="K583" s="312" t="s">
        <v>223</v>
      </c>
      <c r="L583" s="312" t="s">
        <v>236</v>
      </c>
      <c r="M583" s="312" t="s">
        <v>44</v>
      </c>
      <c r="N583" s="312" t="s">
        <v>45</v>
      </c>
      <c r="O583" s="312" t="s">
        <v>63</v>
      </c>
      <c r="P583" s="312" t="s">
        <v>676</v>
      </c>
      <c r="R583" s="388">
        <v>630</v>
      </c>
      <c r="S583" s="315">
        <v>44343</v>
      </c>
      <c r="T583" s="312" t="s">
        <v>4410</v>
      </c>
      <c r="U583" s="405">
        <f>57120000-57120000</f>
        <v>0</v>
      </c>
      <c r="V583" s="406">
        <v>57120000</v>
      </c>
      <c r="W583" s="362" t="s">
        <v>1453</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x14ac:dyDescent="0.25">
      <c r="A584" s="361" t="s">
        <v>4411</v>
      </c>
      <c r="B584" s="417">
        <v>20000000</v>
      </c>
      <c r="C584" s="312" t="s">
        <v>4412</v>
      </c>
      <c r="D584" s="325">
        <v>575</v>
      </c>
      <c r="E584" s="325">
        <v>20213000027343</v>
      </c>
      <c r="F584" s="315">
        <v>44342</v>
      </c>
      <c r="G584" s="325" t="s">
        <v>2565</v>
      </c>
      <c r="H584" s="312" t="s">
        <v>2566</v>
      </c>
      <c r="I584" s="312" t="s">
        <v>432</v>
      </c>
      <c r="J584" s="406">
        <v>20000000</v>
      </c>
      <c r="K584" s="312" t="s">
        <v>342</v>
      </c>
      <c r="L584" s="312" t="s">
        <v>351</v>
      </c>
      <c r="M584" s="312" t="s">
        <v>44</v>
      </c>
      <c r="N584" s="312" t="s">
        <v>45</v>
      </c>
      <c r="O584" s="312" t="s">
        <v>63</v>
      </c>
      <c r="P584" s="312" t="s">
        <v>4413</v>
      </c>
      <c r="Q584" s="312" t="s">
        <v>3225</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x14ac:dyDescent="0.25">
      <c r="A585" s="361" t="s">
        <v>4414</v>
      </c>
      <c r="B585" s="417">
        <v>100000000</v>
      </c>
      <c r="C585" s="312" t="s">
        <v>4415</v>
      </c>
      <c r="D585" s="325">
        <v>576</v>
      </c>
      <c r="E585" s="325">
        <v>20213000027353</v>
      </c>
      <c r="F585" s="315">
        <v>44342</v>
      </c>
      <c r="G585" s="325" t="s">
        <v>2565</v>
      </c>
      <c r="H585" s="312" t="s">
        <v>2566</v>
      </c>
      <c r="I585" s="312" t="s">
        <v>432</v>
      </c>
      <c r="J585" s="406">
        <v>100000000</v>
      </c>
      <c r="K585" s="312" t="s">
        <v>342</v>
      </c>
      <c r="L585" s="312" t="s">
        <v>351</v>
      </c>
      <c r="M585" s="312" t="s">
        <v>44</v>
      </c>
      <c r="N585" s="312" t="s">
        <v>45</v>
      </c>
      <c r="O585" s="312" t="s">
        <v>63</v>
      </c>
      <c r="P585" s="312" t="s">
        <v>4413</v>
      </c>
      <c r="Q585" s="312" t="s">
        <v>3225</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x14ac:dyDescent="0.25">
      <c r="A586" s="313" t="s">
        <v>2141</v>
      </c>
      <c r="B586" s="419">
        <v>29072832</v>
      </c>
      <c r="C586" s="212" t="s">
        <v>2571</v>
      </c>
      <c r="D586" s="478">
        <v>577</v>
      </c>
      <c r="E586" s="478">
        <v>20211300027503</v>
      </c>
      <c r="F586" s="310">
        <v>44342</v>
      </c>
      <c r="G586" s="478" t="s">
        <v>2572</v>
      </c>
      <c r="H586" s="212" t="s">
        <v>2573</v>
      </c>
      <c r="I586" s="212" t="s">
        <v>210</v>
      </c>
      <c r="J586" s="475">
        <v>29072832</v>
      </c>
      <c r="K586" s="212" t="s">
        <v>138</v>
      </c>
      <c r="L586" s="212" t="s">
        <v>139</v>
      </c>
      <c r="M586" s="212" t="s">
        <v>44</v>
      </c>
      <c r="N586" s="212" t="s">
        <v>45</v>
      </c>
      <c r="O586" s="212" t="s">
        <v>142</v>
      </c>
      <c r="P586" s="212" t="s">
        <v>43</v>
      </c>
      <c r="R586" s="212">
        <v>631</v>
      </c>
      <c r="S586" s="479">
        <v>44343</v>
      </c>
      <c r="T586" s="212" t="s">
        <v>2141</v>
      </c>
      <c r="U586" s="475">
        <v>29072832</v>
      </c>
      <c r="V586" s="406"/>
      <c r="W586" s="362"/>
      <c r="AG586" s="474">
        <f t="shared" si="9"/>
        <v>29072832</v>
      </c>
      <c r="AM586" s="212"/>
    </row>
    <row r="587" spans="1:39" hidden="1" x14ac:dyDescent="0.25">
      <c r="A587" s="313" t="s">
        <v>2003</v>
      </c>
      <c r="B587" s="419">
        <v>28800000</v>
      </c>
      <c r="C587" s="212" t="s">
        <v>2571</v>
      </c>
      <c r="D587" s="478">
        <v>578</v>
      </c>
      <c r="E587" s="478">
        <v>20215000027553</v>
      </c>
      <c r="F587" s="310">
        <v>44342</v>
      </c>
      <c r="G587" s="309" t="s">
        <v>2565</v>
      </c>
      <c r="H587" s="210" t="s">
        <v>2566</v>
      </c>
      <c r="I587" s="210" t="s">
        <v>228</v>
      </c>
      <c r="J587" s="415">
        <v>13666667</v>
      </c>
      <c r="K587" s="210" t="s">
        <v>223</v>
      </c>
      <c r="L587" s="212" t="s">
        <v>236</v>
      </c>
      <c r="M587" s="210" t="s">
        <v>44</v>
      </c>
      <c r="N587" s="210" t="s">
        <v>45</v>
      </c>
      <c r="O587" s="210" t="s">
        <v>63</v>
      </c>
      <c r="P587" s="212" t="s">
        <v>676</v>
      </c>
      <c r="R587" s="212">
        <v>632</v>
      </c>
      <c r="S587" s="479">
        <v>44343</v>
      </c>
      <c r="T587" s="212" t="s">
        <v>2003</v>
      </c>
      <c r="U587" s="475">
        <f>13666667-666667</f>
        <v>13000000</v>
      </c>
      <c r="V587" s="406">
        <v>666667</v>
      </c>
      <c r="W587" s="680" t="s">
        <v>1453</v>
      </c>
      <c r="X587" s="483" t="s">
        <v>4416</v>
      </c>
      <c r="Y587" s="484">
        <v>44363</v>
      </c>
      <c r="Z587" s="484">
        <v>44363</v>
      </c>
      <c r="AA587" s="484">
        <v>44560</v>
      </c>
      <c r="AB587" s="486" t="s">
        <v>2575</v>
      </c>
      <c r="AC587" s="483" t="s">
        <v>4104</v>
      </c>
      <c r="AD587" s="486" t="s">
        <v>4417</v>
      </c>
      <c r="AE587" s="486" t="s">
        <v>4418</v>
      </c>
      <c r="AF587" s="496">
        <v>13000000</v>
      </c>
      <c r="AG587" s="474">
        <f t="shared" si="9"/>
        <v>0</v>
      </c>
      <c r="AM587" s="212"/>
    </row>
    <row r="588" spans="1:39" hidden="1" x14ac:dyDescent="0.25">
      <c r="A588" s="313" t="s">
        <v>2174</v>
      </c>
      <c r="B588" s="419">
        <v>39900000</v>
      </c>
      <c r="C588" s="212" t="s">
        <v>2571</v>
      </c>
      <c r="D588" s="478">
        <v>579</v>
      </c>
      <c r="E588" s="478">
        <v>20214000027603</v>
      </c>
      <c r="F588" s="310">
        <v>44344</v>
      </c>
      <c r="G588" s="311" t="s">
        <v>2598</v>
      </c>
      <c r="H588" s="441" t="s">
        <v>2599</v>
      </c>
      <c r="I588" s="441" t="s">
        <v>117</v>
      </c>
      <c r="J588" s="426">
        <v>34972000</v>
      </c>
      <c r="K588" s="441" t="s">
        <v>112</v>
      </c>
      <c r="L588" s="441" t="s">
        <v>2600</v>
      </c>
      <c r="M588" s="441" t="s">
        <v>44</v>
      </c>
      <c r="N588" s="441" t="s">
        <v>45</v>
      </c>
      <c r="O588" s="441" t="s">
        <v>63</v>
      </c>
      <c r="P588" s="441" t="s">
        <v>43</v>
      </c>
      <c r="R588" s="212">
        <v>634</v>
      </c>
      <c r="S588" s="490">
        <v>44347</v>
      </c>
      <c r="T588" s="486" t="s">
        <v>4419</v>
      </c>
      <c r="U588" s="475">
        <v>34972000</v>
      </c>
      <c r="V588" s="406"/>
      <c r="X588" s="483" t="s">
        <v>4420</v>
      </c>
      <c r="Y588" s="484">
        <v>44355</v>
      </c>
      <c r="Z588" s="484">
        <v>44355</v>
      </c>
      <c r="AA588" s="484">
        <v>44557</v>
      </c>
      <c r="AB588" s="486" t="s">
        <v>2575</v>
      </c>
      <c r="AC588" s="483" t="s">
        <v>3852</v>
      </c>
      <c r="AD588" s="486" t="s">
        <v>4421</v>
      </c>
      <c r="AE588" s="486" t="s">
        <v>2695</v>
      </c>
      <c r="AF588" s="496">
        <v>33306666</v>
      </c>
      <c r="AG588" s="474">
        <f t="shared" si="9"/>
        <v>1665334</v>
      </c>
      <c r="AM588" s="212"/>
    </row>
    <row r="589" spans="1:39" hidden="1" x14ac:dyDescent="0.25">
      <c r="A589" s="313" t="s">
        <v>2144</v>
      </c>
      <c r="B589" s="419">
        <v>32704000</v>
      </c>
      <c r="C589" s="212" t="s">
        <v>2571</v>
      </c>
      <c r="D589" s="478">
        <v>580</v>
      </c>
      <c r="E589" s="478">
        <v>20214000027783</v>
      </c>
      <c r="F589" s="310">
        <v>44344</v>
      </c>
      <c r="G589" s="311" t="s">
        <v>2598</v>
      </c>
      <c r="H589" s="441" t="s">
        <v>2599</v>
      </c>
      <c r="I589" s="441" t="s">
        <v>117</v>
      </c>
      <c r="J589" s="426">
        <v>24528000</v>
      </c>
      <c r="K589" s="441" t="s">
        <v>112</v>
      </c>
      <c r="L589" s="441" t="s">
        <v>2600</v>
      </c>
      <c r="M589" s="441" t="s">
        <v>44</v>
      </c>
      <c r="N589" s="441" t="s">
        <v>45</v>
      </c>
      <c r="O589" s="441" t="s">
        <v>63</v>
      </c>
      <c r="P589" s="441" t="s">
        <v>43</v>
      </c>
      <c r="R589" s="212">
        <v>636</v>
      </c>
      <c r="S589" s="490">
        <v>44347</v>
      </c>
      <c r="T589" s="486" t="s">
        <v>4422</v>
      </c>
      <c r="U589" s="475">
        <v>24528000</v>
      </c>
      <c r="V589" s="406"/>
      <c r="W589" s="464"/>
      <c r="X589" s="483" t="s">
        <v>4423</v>
      </c>
      <c r="Y589" s="484">
        <v>44358</v>
      </c>
      <c r="Z589" s="484">
        <v>44358</v>
      </c>
      <c r="AA589" s="484">
        <v>44540</v>
      </c>
      <c r="AB589" s="486" t="s">
        <v>2575</v>
      </c>
      <c r="AC589" s="483" t="s">
        <v>4001</v>
      </c>
      <c r="AD589" s="486" t="s">
        <v>4424</v>
      </c>
      <c r="AE589" s="486" t="s">
        <v>4425</v>
      </c>
      <c r="AF589" s="496">
        <v>24528000</v>
      </c>
      <c r="AG589" s="474">
        <f t="shared" si="9"/>
        <v>0</v>
      </c>
      <c r="AM589" s="212"/>
    </row>
    <row r="590" spans="1:39" hidden="1" x14ac:dyDescent="0.25">
      <c r="A590" s="313" t="s">
        <v>2264</v>
      </c>
      <c r="B590" s="419">
        <v>85500000</v>
      </c>
      <c r="C590" s="212" t="s">
        <v>2571</v>
      </c>
      <c r="D590" s="478">
        <v>581</v>
      </c>
      <c r="E590" s="478">
        <v>20216000027703</v>
      </c>
      <c r="F590" s="310">
        <v>44344</v>
      </c>
      <c r="G590" s="478" t="s">
        <v>2572</v>
      </c>
      <c r="H590" s="212" t="s">
        <v>2573</v>
      </c>
      <c r="I590" s="212" t="s">
        <v>214</v>
      </c>
      <c r="J590" s="480">
        <v>56000000</v>
      </c>
      <c r="K590" s="212" t="s">
        <v>138</v>
      </c>
      <c r="L590" s="212" t="s">
        <v>139</v>
      </c>
      <c r="M590" s="212" t="s">
        <v>44</v>
      </c>
      <c r="N590" s="212" t="s">
        <v>45</v>
      </c>
      <c r="O590" s="212" t="s">
        <v>142</v>
      </c>
      <c r="P590" s="212" t="s">
        <v>43</v>
      </c>
      <c r="R590" s="212">
        <v>635</v>
      </c>
      <c r="S590" s="490">
        <v>44347</v>
      </c>
      <c r="T590" s="486" t="s">
        <v>4426</v>
      </c>
      <c r="U590" s="475">
        <v>56000000</v>
      </c>
      <c r="V590" s="406"/>
      <c r="X590" s="483" t="s">
        <v>4427</v>
      </c>
      <c r="Y590" s="484">
        <v>44370</v>
      </c>
      <c r="Z590" s="484">
        <v>44370</v>
      </c>
      <c r="AA590" s="484">
        <v>44552</v>
      </c>
      <c r="AB590" s="486" t="s">
        <v>2575</v>
      </c>
      <c r="AC590" s="483" t="s">
        <v>4189</v>
      </c>
      <c r="AD590" s="486" t="s">
        <v>4428</v>
      </c>
      <c r="AE590" s="486" t="s">
        <v>4429</v>
      </c>
      <c r="AF590" s="496">
        <v>48000000</v>
      </c>
      <c r="AG590" s="474">
        <f t="shared" si="9"/>
        <v>8000000</v>
      </c>
      <c r="AM590" s="212"/>
    </row>
    <row r="591" spans="1:39" hidden="1" x14ac:dyDescent="0.25">
      <c r="A591" s="313" t="s">
        <v>2138</v>
      </c>
      <c r="B591" s="419">
        <v>41337934</v>
      </c>
      <c r="C591" s="212" t="s">
        <v>2571</v>
      </c>
      <c r="D591" s="478">
        <v>582</v>
      </c>
      <c r="E591" s="478">
        <v>20211300027863</v>
      </c>
      <c r="F591" s="310">
        <v>44344</v>
      </c>
      <c r="G591" s="478" t="s">
        <v>2572</v>
      </c>
      <c r="H591" s="212" t="s">
        <v>2573</v>
      </c>
      <c r="I591" s="212" t="s">
        <v>210</v>
      </c>
      <c r="J591" s="480">
        <v>29527096</v>
      </c>
      <c r="K591" s="212" t="s">
        <v>138</v>
      </c>
      <c r="L591" s="212" t="s">
        <v>139</v>
      </c>
      <c r="M591" s="212" t="s">
        <v>44</v>
      </c>
      <c r="N591" s="212" t="s">
        <v>45</v>
      </c>
      <c r="O591" s="212" t="s">
        <v>142</v>
      </c>
      <c r="P591" s="212" t="s">
        <v>43</v>
      </c>
      <c r="R591" s="212">
        <v>637</v>
      </c>
      <c r="S591" s="490">
        <v>44347</v>
      </c>
      <c r="T591" s="486" t="s">
        <v>4430</v>
      </c>
      <c r="U591" s="475">
        <v>29527096</v>
      </c>
      <c r="V591" s="406"/>
      <c r="X591" s="483" t="s">
        <v>4431</v>
      </c>
      <c r="Y591" s="484">
        <v>44365</v>
      </c>
      <c r="Z591" s="484">
        <v>44365</v>
      </c>
      <c r="AA591" s="484">
        <v>44517</v>
      </c>
      <c r="AB591" s="486" t="s">
        <v>2575</v>
      </c>
      <c r="AC591" s="483" t="s">
        <v>3966</v>
      </c>
      <c r="AD591" s="486" t="s">
        <v>3656</v>
      </c>
      <c r="AE591" s="486" t="s">
        <v>3657</v>
      </c>
      <c r="AF591" s="496">
        <v>29527095</v>
      </c>
      <c r="AG591" s="474">
        <f t="shared" si="9"/>
        <v>1</v>
      </c>
      <c r="AM591" s="212"/>
    </row>
    <row r="592" spans="1:39" hidden="1" x14ac:dyDescent="0.25">
      <c r="A592" s="313" t="s">
        <v>2139</v>
      </c>
      <c r="B592" s="419">
        <v>41337934</v>
      </c>
      <c r="C592" s="212" t="s">
        <v>2571</v>
      </c>
      <c r="D592" s="478">
        <v>583</v>
      </c>
      <c r="E592" s="478">
        <v>20211300027883</v>
      </c>
      <c r="F592" s="310">
        <v>44344</v>
      </c>
      <c r="G592" s="478" t="s">
        <v>2572</v>
      </c>
      <c r="H592" s="212" t="s">
        <v>2573</v>
      </c>
      <c r="I592" s="212" t="s">
        <v>210</v>
      </c>
      <c r="J592" s="480">
        <v>29527096</v>
      </c>
      <c r="K592" s="212" t="s">
        <v>138</v>
      </c>
      <c r="L592" s="212" t="s">
        <v>139</v>
      </c>
      <c r="M592" s="212" t="s">
        <v>44</v>
      </c>
      <c r="N592" s="212" t="s">
        <v>45</v>
      </c>
      <c r="O592" s="212" t="s">
        <v>142</v>
      </c>
      <c r="P592" s="212" t="s">
        <v>43</v>
      </c>
      <c r="R592" s="212">
        <v>638</v>
      </c>
      <c r="S592" s="490">
        <v>44347</v>
      </c>
      <c r="T592" s="486" t="s">
        <v>4432</v>
      </c>
      <c r="U592" s="475">
        <v>29527096</v>
      </c>
      <c r="V592" s="406"/>
      <c r="X592" s="483" t="s">
        <v>4433</v>
      </c>
      <c r="Y592" s="484">
        <v>44369</v>
      </c>
      <c r="Z592" s="484">
        <v>44369</v>
      </c>
      <c r="AA592" s="484">
        <v>44521</v>
      </c>
      <c r="AB592" s="486" t="s">
        <v>2575</v>
      </c>
      <c r="AC592" s="483" t="s">
        <v>4042</v>
      </c>
      <c r="AD592" s="486" t="s">
        <v>3913</v>
      </c>
      <c r="AE592" s="486" t="s">
        <v>3914</v>
      </c>
      <c r="AF592" s="496">
        <v>29527095</v>
      </c>
      <c r="AG592" s="474">
        <f t="shared" si="9"/>
        <v>1</v>
      </c>
      <c r="AM592" s="212"/>
    </row>
    <row r="593" spans="1:39" hidden="1" x14ac:dyDescent="0.25">
      <c r="C593" s="212" t="s">
        <v>4434</v>
      </c>
      <c r="D593" s="478">
        <v>584</v>
      </c>
      <c r="E593" s="478">
        <v>20217000027903</v>
      </c>
      <c r="F593" s="310">
        <v>44347</v>
      </c>
      <c r="G593" s="478" t="s">
        <v>2572</v>
      </c>
      <c r="H593" s="212" t="s">
        <v>2573</v>
      </c>
      <c r="I593" s="210" t="s">
        <v>164</v>
      </c>
      <c r="J593" s="475">
        <v>234069437</v>
      </c>
      <c r="K593" s="212" t="s">
        <v>138</v>
      </c>
      <c r="L593" s="212" t="s">
        <v>139</v>
      </c>
      <c r="M593" s="212" t="s">
        <v>44</v>
      </c>
      <c r="N593" s="212" t="s">
        <v>45</v>
      </c>
      <c r="O593" s="212" t="s">
        <v>142</v>
      </c>
      <c r="P593" s="212" t="s">
        <v>43</v>
      </c>
      <c r="R593" s="212">
        <v>639</v>
      </c>
      <c r="S593" s="490">
        <v>44347</v>
      </c>
      <c r="T593" s="212" t="s">
        <v>4434</v>
      </c>
      <c r="U593" s="475">
        <v>234069437</v>
      </c>
      <c r="V593" s="406"/>
      <c r="X593" s="483" t="s">
        <v>4435</v>
      </c>
      <c r="Y593" s="484">
        <v>44348</v>
      </c>
      <c r="Z593" s="484">
        <v>44348</v>
      </c>
      <c r="AA593" s="484">
        <v>44408</v>
      </c>
      <c r="AB593" s="486" t="s">
        <v>4436</v>
      </c>
      <c r="AC593" s="483" t="s">
        <v>3874</v>
      </c>
      <c r="AD593" s="486" t="s">
        <v>4437</v>
      </c>
      <c r="AE593" s="486" t="s">
        <v>4438</v>
      </c>
      <c r="AF593" s="699">
        <v>212260942</v>
      </c>
      <c r="AG593" s="474">
        <f t="shared" si="9"/>
        <v>21808495</v>
      </c>
      <c r="AM593" s="212"/>
    </row>
    <row r="594" spans="1:39" hidden="1" x14ac:dyDescent="0.25">
      <c r="C594" s="212" t="s">
        <v>4434</v>
      </c>
      <c r="D594" s="386">
        <v>584</v>
      </c>
      <c r="E594" s="478">
        <v>20217000027903</v>
      </c>
      <c r="F594" s="310">
        <v>44347</v>
      </c>
      <c r="G594" s="478" t="s">
        <v>2605</v>
      </c>
      <c r="H594" s="212" t="s">
        <v>2606</v>
      </c>
      <c r="I594" s="212" t="s">
        <v>47</v>
      </c>
      <c r="J594" s="475">
        <v>59008248</v>
      </c>
      <c r="K594" s="212" t="s">
        <v>37</v>
      </c>
      <c r="L594" s="212" t="s">
        <v>3105</v>
      </c>
      <c r="M594" s="212" t="s">
        <v>44</v>
      </c>
      <c r="N594" s="212" t="s">
        <v>45</v>
      </c>
      <c r="O594" s="212" t="s">
        <v>142</v>
      </c>
      <c r="P594" s="212" t="s">
        <v>43</v>
      </c>
      <c r="R594" s="329">
        <v>639</v>
      </c>
      <c r="S594" s="490">
        <v>44347</v>
      </c>
      <c r="T594" s="212" t="s">
        <v>4434</v>
      </c>
      <c r="U594" s="475">
        <v>59008248</v>
      </c>
      <c r="V594" s="406"/>
      <c r="X594" s="483" t="s">
        <v>4435</v>
      </c>
      <c r="Y594" s="484">
        <v>44348</v>
      </c>
      <c r="Z594" s="484">
        <v>44348</v>
      </c>
      <c r="AA594" s="484">
        <v>44408</v>
      </c>
      <c r="AB594" s="486" t="s">
        <v>4436</v>
      </c>
      <c r="AC594" s="483" t="s">
        <v>3874</v>
      </c>
      <c r="AD594" s="486" t="s">
        <v>4437</v>
      </c>
      <c r="AE594" s="486" t="s">
        <v>4438</v>
      </c>
      <c r="AF594" s="496">
        <v>53510388</v>
      </c>
      <c r="AG594" s="474">
        <f t="shared" si="9"/>
        <v>5497860</v>
      </c>
      <c r="AM594" s="212"/>
    </row>
    <row r="595" spans="1:39" hidden="1" x14ac:dyDescent="0.25">
      <c r="A595" s="476" t="s">
        <v>1877</v>
      </c>
      <c r="B595" s="477">
        <v>59500000</v>
      </c>
      <c r="C595" s="212" t="s">
        <v>2571</v>
      </c>
      <c r="D595" s="478">
        <v>585</v>
      </c>
      <c r="E595" s="478">
        <v>20216000028303</v>
      </c>
      <c r="F595" s="479">
        <v>44349</v>
      </c>
      <c r="G595" s="478" t="s">
        <v>2572</v>
      </c>
      <c r="H595" s="212" t="s">
        <v>2573</v>
      </c>
      <c r="I595" s="212" t="s">
        <v>214</v>
      </c>
      <c r="J595" s="475">
        <v>59500000</v>
      </c>
      <c r="K595" s="212" t="s">
        <v>138</v>
      </c>
      <c r="L595" s="212" t="s">
        <v>139</v>
      </c>
      <c r="M595" s="212" t="s">
        <v>44</v>
      </c>
      <c r="N595" s="212" t="s">
        <v>45</v>
      </c>
      <c r="O595" s="212" t="s">
        <v>142</v>
      </c>
      <c r="P595" s="212" t="s">
        <v>43</v>
      </c>
      <c r="R595" s="212">
        <v>641</v>
      </c>
      <c r="S595" s="490">
        <v>44349</v>
      </c>
      <c r="T595" s="212" t="s">
        <v>4439</v>
      </c>
      <c r="U595" s="480">
        <v>59500000</v>
      </c>
      <c r="V595" s="406"/>
      <c r="X595" s="483" t="s">
        <v>4075</v>
      </c>
      <c r="Y595" s="490">
        <v>44377</v>
      </c>
      <c r="Z595" s="490">
        <v>44377</v>
      </c>
      <c r="AA595" s="490">
        <v>44559</v>
      </c>
      <c r="AB595" s="486" t="s">
        <v>2575</v>
      </c>
      <c r="AC595" s="483" t="s">
        <v>4168</v>
      </c>
      <c r="AD595" s="486" t="s">
        <v>4440</v>
      </c>
      <c r="AE595" s="486" t="s">
        <v>4441</v>
      </c>
      <c r="AF595" s="496">
        <v>51000000</v>
      </c>
      <c r="AG595" s="474">
        <f t="shared" si="9"/>
        <v>8500000</v>
      </c>
      <c r="AM595" s="212"/>
    </row>
    <row r="596" spans="1:39" s="312" customFormat="1" hidden="1" x14ac:dyDescent="0.25">
      <c r="A596" s="361" t="s">
        <v>1894</v>
      </c>
      <c r="B596" s="417">
        <v>45500000</v>
      </c>
      <c r="C596" s="312" t="s">
        <v>2687</v>
      </c>
      <c r="D596" s="325">
        <v>586</v>
      </c>
      <c r="E596" s="325">
        <v>20216000028283</v>
      </c>
      <c r="F596" s="315">
        <v>44349</v>
      </c>
      <c r="G596" s="325" t="s">
        <v>2572</v>
      </c>
      <c r="H596" s="312" t="s">
        <v>2573</v>
      </c>
      <c r="I596" s="312" t="s">
        <v>214</v>
      </c>
      <c r="J596" s="405">
        <v>42000000</v>
      </c>
      <c r="K596" s="312" t="s">
        <v>138</v>
      </c>
      <c r="L596" s="312" t="s">
        <v>139</v>
      </c>
      <c r="M596" s="312" t="s">
        <v>44</v>
      </c>
      <c r="N596" s="312" t="s">
        <v>45</v>
      </c>
      <c r="O596" s="312" t="s">
        <v>142</v>
      </c>
      <c r="P596" s="312" t="s">
        <v>43</v>
      </c>
      <c r="R596" s="312">
        <v>642</v>
      </c>
      <c r="S596" s="363">
        <v>44349</v>
      </c>
      <c r="T596" s="312" t="s">
        <v>4442</v>
      </c>
      <c r="U596" s="406">
        <f>42000000-42000000</f>
        <v>0</v>
      </c>
      <c r="V596" s="406">
        <v>42000000</v>
      </c>
      <c r="W596" s="362" t="s">
        <v>1453</v>
      </c>
      <c r="X596" s="314"/>
      <c r="Y596" s="358"/>
      <c r="Z596" s="358"/>
      <c r="AA596" s="358"/>
      <c r="AB596" s="317"/>
      <c r="AC596" s="316"/>
      <c r="AD596" s="317"/>
      <c r="AF596" s="410"/>
      <c r="AG596" s="318">
        <f t="shared" si="9"/>
        <v>0</v>
      </c>
      <c r="AH596" s="405"/>
      <c r="AI596" s="405"/>
      <c r="AJ596" s="405"/>
      <c r="AK596" s="405"/>
      <c r="AL596" s="405"/>
      <c r="AM596" s="212"/>
    </row>
    <row r="597" spans="1:39" hidden="1" x14ac:dyDescent="0.25">
      <c r="A597" s="313" t="s">
        <v>2310</v>
      </c>
      <c r="B597" s="419">
        <v>35000000</v>
      </c>
      <c r="C597" s="212" t="s">
        <v>2571</v>
      </c>
      <c r="D597" s="478">
        <v>587</v>
      </c>
      <c r="E597" s="478">
        <v>20216000028273</v>
      </c>
      <c r="F597" s="479">
        <v>44349</v>
      </c>
      <c r="G597" s="478" t="s">
        <v>2572</v>
      </c>
      <c r="H597" s="212" t="s">
        <v>2573</v>
      </c>
      <c r="I597" s="212" t="s">
        <v>214</v>
      </c>
      <c r="J597" s="480">
        <v>35000000</v>
      </c>
      <c r="K597" s="212" t="s">
        <v>138</v>
      </c>
      <c r="L597" s="212" t="s">
        <v>139</v>
      </c>
      <c r="M597" s="212" t="s">
        <v>44</v>
      </c>
      <c r="N597" s="212" t="s">
        <v>45</v>
      </c>
      <c r="O597" s="212" t="s">
        <v>142</v>
      </c>
      <c r="P597" s="212" t="s">
        <v>43</v>
      </c>
      <c r="R597" s="212">
        <v>643</v>
      </c>
      <c r="S597" s="479">
        <v>44349</v>
      </c>
      <c r="T597" s="212" t="s">
        <v>4443</v>
      </c>
      <c r="U597" s="480">
        <v>35000000</v>
      </c>
      <c r="V597" s="406"/>
      <c r="X597" s="483" t="s">
        <v>4444</v>
      </c>
      <c r="Y597" s="484">
        <v>44355</v>
      </c>
      <c r="Z597" s="484">
        <v>44355</v>
      </c>
      <c r="AA597" s="484">
        <v>44554</v>
      </c>
      <c r="AB597" s="486" t="s">
        <v>2575</v>
      </c>
      <c r="AC597" s="483" t="s">
        <v>3903</v>
      </c>
      <c r="AD597" s="486" t="s">
        <v>4445</v>
      </c>
      <c r="AE597" s="486" t="s">
        <v>4446</v>
      </c>
      <c r="AF597" s="496">
        <v>31330000</v>
      </c>
      <c r="AG597" s="474">
        <f t="shared" si="9"/>
        <v>3670000</v>
      </c>
      <c r="AM597" s="212"/>
    </row>
    <row r="598" spans="1:39" hidden="1" x14ac:dyDescent="0.25">
      <c r="A598" s="313"/>
      <c r="B598" s="419"/>
      <c r="C598" s="212" t="s">
        <v>4447</v>
      </c>
      <c r="D598" s="478">
        <v>588</v>
      </c>
      <c r="E598" s="478">
        <v>20212000028203</v>
      </c>
      <c r="F598" s="479">
        <v>44349</v>
      </c>
      <c r="G598" s="478" t="s">
        <v>2565</v>
      </c>
      <c r="H598" s="212" t="s">
        <v>2566</v>
      </c>
      <c r="I598" s="212" t="s">
        <v>391</v>
      </c>
      <c r="J598" s="480">
        <v>490454490</v>
      </c>
      <c r="K598" s="212" t="s">
        <v>2636</v>
      </c>
      <c r="L598" s="212" t="s">
        <v>4448</v>
      </c>
      <c r="M598" s="212" t="s">
        <v>44</v>
      </c>
      <c r="N598" s="212" t="s">
        <v>2861</v>
      </c>
      <c r="O598" s="212" t="s">
        <v>255</v>
      </c>
      <c r="P598" s="212" t="s">
        <v>4332</v>
      </c>
      <c r="R598" s="212">
        <v>644</v>
      </c>
      <c r="S598" s="479">
        <v>44349</v>
      </c>
      <c r="T598" s="212" t="s">
        <v>4449</v>
      </c>
      <c r="U598" s="475">
        <v>490454490</v>
      </c>
      <c r="V598" s="406"/>
      <c r="X598" s="483" t="s">
        <v>4450</v>
      </c>
      <c r="Y598" s="484">
        <v>44355</v>
      </c>
      <c r="Z598" s="484">
        <v>44355</v>
      </c>
      <c r="AA598" s="484">
        <v>44561</v>
      </c>
      <c r="AB598" s="486" t="s">
        <v>3031</v>
      </c>
      <c r="AC598" s="483" t="s">
        <v>3445</v>
      </c>
      <c r="AD598" s="486" t="s">
        <v>3468</v>
      </c>
      <c r="AE598" s="486" t="s">
        <v>3469</v>
      </c>
      <c r="AF598" s="496">
        <v>490454490</v>
      </c>
      <c r="AG598" s="474">
        <f t="shared" si="9"/>
        <v>0</v>
      </c>
      <c r="AM598" s="306">
        <v>490454490</v>
      </c>
    </row>
    <row r="599" spans="1:39" hidden="1" x14ac:dyDescent="0.25">
      <c r="A599" s="313" t="s">
        <v>1661</v>
      </c>
      <c r="B599" s="419">
        <v>20000000</v>
      </c>
      <c r="C599" s="212" t="s">
        <v>4451</v>
      </c>
      <c r="D599" s="478">
        <v>589</v>
      </c>
      <c r="E599" s="478">
        <v>20213000027343</v>
      </c>
      <c r="F599" s="479">
        <v>44349</v>
      </c>
      <c r="G599" s="378" t="s">
        <v>2565</v>
      </c>
      <c r="H599" s="377" t="s">
        <v>2566</v>
      </c>
      <c r="I599" s="377" t="s">
        <v>432</v>
      </c>
      <c r="J599" s="424">
        <v>20000000</v>
      </c>
      <c r="K599" s="468" t="s">
        <v>342</v>
      </c>
      <c r="L599" s="377" t="s">
        <v>351</v>
      </c>
      <c r="M599" s="377" t="s">
        <v>44</v>
      </c>
      <c r="N599" s="377" t="s">
        <v>45</v>
      </c>
      <c r="O599" s="377" t="s">
        <v>63</v>
      </c>
      <c r="P599" s="377" t="s">
        <v>4413</v>
      </c>
      <c r="Q599" s="468"/>
      <c r="R599" s="212">
        <v>647</v>
      </c>
      <c r="S599" s="479">
        <v>44349</v>
      </c>
      <c r="T599" s="212" t="s">
        <v>1661</v>
      </c>
      <c r="U599" s="475">
        <v>20000000</v>
      </c>
      <c r="V599" s="406"/>
      <c r="W599" s="362"/>
      <c r="AF599" s="496"/>
      <c r="AG599" s="474">
        <f t="shared" si="9"/>
        <v>20000000</v>
      </c>
      <c r="AM599" s="212"/>
    </row>
    <row r="600" spans="1:39" hidden="1" x14ac:dyDescent="0.25">
      <c r="A600" s="313" t="s">
        <v>2200</v>
      </c>
      <c r="B600" s="419">
        <v>100000000</v>
      </c>
      <c r="C600" s="212" t="s">
        <v>4452</v>
      </c>
      <c r="D600" s="478">
        <v>590</v>
      </c>
      <c r="E600" s="478">
        <v>20213000027353</v>
      </c>
      <c r="F600" s="479">
        <v>44349</v>
      </c>
      <c r="G600" s="378" t="s">
        <v>2565</v>
      </c>
      <c r="H600" s="377" t="s">
        <v>2566</v>
      </c>
      <c r="I600" s="377" t="s">
        <v>432</v>
      </c>
      <c r="J600" s="424">
        <v>100000000</v>
      </c>
      <c r="K600" s="468" t="s">
        <v>342</v>
      </c>
      <c r="L600" s="377" t="s">
        <v>351</v>
      </c>
      <c r="M600" s="377" t="s">
        <v>44</v>
      </c>
      <c r="N600" s="377" t="s">
        <v>45</v>
      </c>
      <c r="O600" s="377" t="s">
        <v>63</v>
      </c>
      <c r="P600" s="377" t="s">
        <v>4413</v>
      </c>
      <c r="R600" s="212">
        <v>646</v>
      </c>
      <c r="S600" s="479">
        <v>44349</v>
      </c>
      <c r="T600" s="212" t="s">
        <v>2200</v>
      </c>
      <c r="U600" s="475">
        <v>100000000</v>
      </c>
      <c r="V600" s="406"/>
      <c r="W600" s="362"/>
      <c r="AF600" s="496"/>
      <c r="AG600" s="474">
        <f t="shared" si="9"/>
        <v>100000000</v>
      </c>
      <c r="AM600" s="212"/>
    </row>
    <row r="601" spans="1:39" hidden="1" x14ac:dyDescent="0.25">
      <c r="A601" s="313" t="s">
        <v>2389</v>
      </c>
      <c r="B601" s="419">
        <v>24589800</v>
      </c>
      <c r="C601" s="212" t="s">
        <v>2571</v>
      </c>
      <c r="D601" s="478">
        <v>591</v>
      </c>
      <c r="E601" s="478">
        <v>20213000027953</v>
      </c>
      <c r="F601" s="479">
        <v>44349</v>
      </c>
      <c r="G601" s="378" t="s">
        <v>2565</v>
      </c>
      <c r="H601" s="377" t="s">
        <v>2566</v>
      </c>
      <c r="I601" s="377" t="s">
        <v>432</v>
      </c>
      <c r="J601" s="424">
        <v>24530202</v>
      </c>
      <c r="K601" s="468" t="s">
        <v>342</v>
      </c>
      <c r="L601" s="377" t="s">
        <v>351</v>
      </c>
      <c r="M601" s="377" t="s">
        <v>44</v>
      </c>
      <c r="N601" s="377" t="s">
        <v>45</v>
      </c>
      <c r="O601" s="377" t="s">
        <v>63</v>
      </c>
      <c r="P601" s="377" t="s">
        <v>676</v>
      </c>
      <c r="R601" s="212">
        <v>645</v>
      </c>
      <c r="S601" s="479">
        <v>44349</v>
      </c>
      <c r="T601" s="212" t="s">
        <v>2389</v>
      </c>
      <c r="U601" s="475">
        <v>24530202</v>
      </c>
      <c r="V601" s="406"/>
      <c r="X601" s="483" t="s">
        <v>4453</v>
      </c>
      <c r="Y601" s="484">
        <v>44362</v>
      </c>
      <c r="Z601" s="484">
        <v>44362</v>
      </c>
      <c r="AA601" s="484">
        <v>44544</v>
      </c>
      <c r="AB601" s="486" t="s">
        <v>2575</v>
      </c>
      <c r="AC601" s="483" t="s">
        <v>4454</v>
      </c>
      <c r="AD601" s="486" t="s">
        <v>4455</v>
      </c>
      <c r="AE601" s="486" t="s">
        <v>2904</v>
      </c>
      <c r="AF601" s="496">
        <v>24530202</v>
      </c>
      <c r="AG601" s="474">
        <f t="shared" si="9"/>
        <v>0</v>
      </c>
      <c r="AM601" s="212"/>
    </row>
    <row r="602" spans="1:39" s="312" customFormat="1" hidden="1" x14ac:dyDescent="0.25">
      <c r="A602" s="361"/>
      <c r="B602" s="417"/>
      <c r="C602" s="312" t="s">
        <v>4456</v>
      </c>
      <c r="D602" s="325">
        <v>592</v>
      </c>
      <c r="E602" s="325">
        <v>20213000028183</v>
      </c>
      <c r="F602" s="315">
        <v>44349</v>
      </c>
      <c r="G602" s="381" t="s">
        <v>2565</v>
      </c>
      <c r="H602" s="364" t="s">
        <v>2566</v>
      </c>
      <c r="I602" s="364" t="s">
        <v>432</v>
      </c>
      <c r="J602" s="408">
        <v>8176734</v>
      </c>
      <c r="K602" s="364" t="s">
        <v>342</v>
      </c>
      <c r="L602" s="364" t="s">
        <v>351</v>
      </c>
      <c r="M602" s="364" t="s">
        <v>44</v>
      </c>
      <c r="N602" s="364" t="s">
        <v>45</v>
      </c>
      <c r="O602" s="364" t="s">
        <v>63</v>
      </c>
      <c r="P602" s="364" t="s">
        <v>676</v>
      </c>
      <c r="Q602" s="312" t="s">
        <v>3225</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x14ac:dyDescent="0.25">
      <c r="A603" s="313" t="s">
        <v>4069</v>
      </c>
      <c r="B603" s="419">
        <v>117952800</v>
      </c>
      <c r="C603" s="212" t="s">
        <v>4457</v>
      </c>
      <c r="D603" s="478">
        <v>593</v>
      </c>
      <c r="E603" s="478">
        <v>20215000028213</v>
      </c>
      <c r="F603" s="479">
        <v>44350</v>
      </c>
      <c r="G603" s="309" t="s">
        <v>2565</v>
      </c>
      <c r="H603" s="210" t="s">
        <v>2566</v>
      </c>
      <c r="I603" s="210" t="s">
        <v>228</v>
      </c>
      <c r="J603" s="415">
        <v>117952800</v>
      </c>
      <c r="K603" s="212" t="s">
        <v>223</v>
      </c>
      <c r="L603" s="212" t="s">
        <v>257</v>
      </c>
      <c r="M603" s="212" t="s">
        <v>44</v>
      </c>
      <c r="N603" s="212" t="s">
        <v>45</v>
      </c>
      <c r="O603" s="212" t="s">
        <v>46</v>
      </c>
      <c r="P603" s="212" t="s">
        <v>676</v>
      </c>
      <c r="R603" s="212">
        <v>650</v>
      </c>
      <c r="S603" s="479">
        <v>44350</v>
      </c>
      <c r="T603" s="212" t="s">
        <v>4458</v>
      </c>
      <c r="U603" s="415">
        <v>117952800</v>
      </c>
      <c r="V603" s="406"/>
      <c r="W603" s="362"/>
      <c r="AF603" s="496"/>
      <c r="AG603" s="474"/>
      <c r="AM603" s="212"/>
    </row>
    <row r="604" spans="1:39" hidden="1" x14ac:dyDescent="0.25">
      <c r="A604" s="313"/>
      <c r="B604" s="419" t="s">
        <v>4315</v>
      </c>
      <c r="C604" s="212" t="s">
        <v>4410</v>
      </c>
      <c r="D604" s="478">
        <v>594</v>
      </c>
      <c r="E604" s="478">
        <v>20215000028503</v>
      </c>
      <c r="F604" s="479">
        <v>44350</v>
      </c>
      <c r="G604" s="309" t="s">
        <v>2565</v>
      </c>
      <c r="H604" s="210" t="s">
        <v>2566</v>
      </c>
      <c r="I604" s="210" t="s">
        <v>228</v>
      </c>
      <c r="J604" s="415">
        <v>114240000</v>
      </c>
      <c r="K604" s="212" t="s">
        <v>223</v>
      </c>
      <c r="L604" s="212" t="s">
        <v>236</v>
      </c>
      <c r="M604" s="212" t="s">
        <v>44</v>
      </c>
      <c r="N604" s="212" t="s">
        <v>45</v>
      </c>
      <c r="O604" s="212" t="s">
        <v>63</v>
      </c>
      <c r="P604" s="212" t="s">
        <v>676</v>
      </c>
      <c r="R604" s="212">
        <v>652</v>
      </c>
      <c r="S604" s="479">
        <v>44350</v>
      </c>
      <c r="T604" s="212" t="s">
        <v>4459</v>
      </c>
      <c r="U604" s="693">
        <v>114240000</v>
      </c>
      <c r="V604" s="406"/>
      <c r="X604" s="483" t="s">
        <v>4460</v>
      </c>
      <c r="Y604" s="484">
        <v>44352</v>
      </c>
      <c r="Z604" s="484">
        <v>44322</v>
      </c>
      <c r="AA604" s="484">
        <v>44535</v>
      </c>
      <c r="AB604" s="486" t="s">
        <v>3967</v>
      </c>
      <c r="AC604" s="483" t="s">
        <v>3979</v>
      </c>
      <c r="AD604" s="486" t="s">
        <v>4461</v>
      </c>
      <c r="AE604" s="486" t="s">
        <v>4462</v>
      </c>
      <c r="AF604" s="496">
        <v>114240000</v>
      </c>
      <c r="AG604" s="474">
        <f t="shared" ref="AG604:AG617" si="10">+U604-AF604</f>
        <v>0</v>
      </c>
      <c r="AM604" s="212"/>
    </row>
    <row r="605" spans="1:39" hidden="1" x14ac:dyDescent="0.25">
      <c r="A605" s="313" t="s">
        <v>1780</v>
      </c>
      <c r="B605" s="419">
        <v>120000000</v>
      </c>
      <c r="C605" s="212" t="s">
        <v>4463</v>
      </c>
      <c r="D605" s="478">
        <v>595</v>
      </c>
      <c r="E605" s="478">
        <v>20215000028193</v>
      </c>
      <c r="F605" s="479">
        <v>44350</v>
      </c>
      <c r="G605" s="309" t="s">
        <v>2565</v>
      </c>
      <c r="H605" s="210" t="s">
        <v>2566</v>
      </c>
      <c r="I605" s="210" t="s">
        <v>228</v>
      </c>
      <c r="J605" s="415">
        <v>120000000</v>
      </c>
      <c r="K605" s="212" t="s">
        <v>223</v>
      </c>
      <c r="L605" s="212" t="s">
        <v>236</v>
      </c>
      <c r="M605" s="212" t="s">
        <v>44</v>
      </c>
      <c r="N605" s="212" t="s">
        <v>45</v>
      </c>
      <c r="O605" s="212" t="s">
        <v>63</v>
      </c>
      <c r="P605" s="212" t="s">
        <v>676</v>
      </c>
      <c r="R605" s="212">
        <v>649</v>
      </c>
      <c r="S605" s="479">
        <v>44350</v>
      </c>
      <c r="T605" s="212" t="s">
        <v>4464</v>
      </c>
      <c r="U605" s="693">
        <v>120000000</v>
      </c>
      <c r="V605" s="406"/>
      <c r="W605" s="362"/>
      <c r="AF605" s="496"/>
      <c r="AG605" s="474">
        <f t="shared" si="10"/>
        <v>120000000</v>
      </c>
      <c r="AM605" s="212"/>
    </row>
    <row r="606" spans="1:39" hidden="1" x14ac:dyDescent="0.25">
      <c r="A606" s="313"/>
      <c r="B606" s="419"/>
      <c r="C606" s="212" t="s">
        <v>4456</v>
      </c>
      <c r="D606" s="478">
        <v>596</v>
      </c>
      <c r="E606" s="478">
        <v>20213000028523</v>
      </c>
      <c r="F606" s="479">
        <v>44350</v>
      </c>
      <c r="G606" s="478" t="s">
        <v>2565</v>
      </c>
      <c r="H606" s="212" t="s">
        <v>2566</v>
      </c>
      <c r="I606" s="212" t="s">
        <v>432</v>
      </c>
      <c r="J606" s="480">
        <v>8176734</v>
      </c>
      <c r="K606" s="212" t="s">
        <v>358</v>
      </c>
      <c r="L606" s="212" t="s">
        <v>4230</v>
      </c>
      <c r="M606" s="212" t="s">
        <v>44</v>
      </c>
      <c r="N606" s="212" t="s">
        <v>45</v>
      </c>
      <c r="O606" s="212" t="s">
        <v>63</v>
      </c>
      <c r="P606" s="212" t="s">
        <v>676</v>
      </c>
      <c r="R606" s="212">
        <v>653</v>
      </c>
      <c r="S606" s="479">
        <v>44350</v>
      </c>
      <c r="T606" s="212" t="s">
        <v>4465</v>
      </c>
      <c r="U606" s="480">
        <v>8176734</v>
      </c>
      <c r="V606" s="406"/>
      <c r="X606" s="483" t="s">
        <v>4466</v>
      </c>
      <c r="Y606" s="484">
        <v>44356</v>
      </c>
      <c r="Z606" s="484">
        <v>44356</v>
      </c>
      <c r="AA606" s="484">
        <v>44416</v>
      </c>
      <c r="AB606" s="486" t="s">
        <v>2575</v>
      </c>
      <c r="AC606" s="483" t="s">
        <v>4467</v>
      </c>
      <c r="AD606" s="486" t="s">
        <v>4468</v>
      </c>
      <c r="AE606" s="486" t="s">
        <v>2906</v>
      </c>
      <c r="AF606" s="496">
        <v>8176734</v>
      </c>
      <c r="AG606" s="474">
        <f t="shared" si="10"/>
        <v>0</v>
      </c>
      <c r="AM606" s="212"/>
    </row>
    <row r="607" spans="1:39" hidden="1" x14ac:dyDescent="0.25">
      <c r="A607" s="313" t="s">
        <v>2012</v>
      </c>
      <c r="B607" s="419">
        <v>24000000</v>
      </c>
      <c r="C607" s="212" t="s">
        <v>2571</v>
      </c>
      <c r="D607" s="478">
        <v>597</v>
      </c>
      <c r="E607" s="478">
        <v>20213000028423</v>
      </c>
      <c r="F607" s="479">
        <v>44350</v>
      </c>
      <c r="G607" s="478" t="s">
        <v>2565</v>
      </c>
      <c r="H607" s="212" t="s">
        <v>2566</v>
      </c>
      <c r="I607" s="212" t="s">
        <v>432</v>
      </c>
      <c r="J607" s="480">
        <v>24000000</v>
      </c>
      <c r="K607" s="212" t="s">
        <v>342</v>
      </c>
      <c r="L607" s="212" t="s">
        <v>351</v>
      </c>
      <c r="M607" s="212" t="s">
        <v>44</v>
      </c>
      <c r="N607" s="212" t="s">
        <v>45</v>
      </c>
      <c r="O607" s="212" t="s">
        <v>63</v>
      </c>
      <c r="P607" s="212" t="s">
        <v>676</v>
      </c>
      <c r="R607" s="212">
        <v>651</v>
      </c>
      <c r="S607" s="479">
        <v>44350</v>
      </c>
      <c r="T607" s="212" t="s">
        <v>4469</v>
      </c>
      <c r="U607" s="480">
        <v>24000000</v>
      </c>
      <c r="V607" s="406"/>
      <c r="X607" s="530" t="s">
        <v>4470</v>
      </c>
      <c r="Y607" s="491">
        <v>44371</v>
      </c>
      <c r="Z607" s="491">
        <v>44371</v>
      </c>
      <c r="AA607" s="491">
        <v>44553</v>
      </c>
      <c r="AB607" s="493" t="s">
        <v>2575</v>
      </c>
      <c r="AC607" s="530" t="s">
        <v>2870</v>
      </c>
      <c r="AD607" s="493" t="s">
        <v>4471</v>
      </c>
      <c r="AE607" s="493" t="s">
        <v>4472</v>
      </c>
      <c r="AF607" s="496">
        <v>24000000</v>
      </c>
      <c r="AG607" s="474">
        <f t="shared" si="10"/>
        <v>0</v>
      </c>
      <c r="AM607" s="212"/>
    </row>
    <row r="608" spans="1:39" hidden="1" x14ac:dyDescent="0.25">
      <c r="A608" s="313" t="s">
        <v>1791</v>
      </c>
      <c r="B608" s="419">
        <v>18000000</v>
      </c>
      <c r="C608" s="212" t="s">
        <v>2571</v>
      </c>
      <c r="D608" s="478">
        <v>598</v>
      </c>
      <c r="E608" s="478">
        <v>20213000027333</v>
      </c>
      <c r="F608" s="479">
        <v>44350</v>
      </c>
      <c r="G608" s="478" t="s">
        <v>2565</v>
      </c>
      <c r="H608" s="212" t="s">
        <v>2566</v>
      </c>
      <c r="I608" s="212" t="s">
        <v>432</v>
      </c>
      <c r="J608" s="480">
        <v>18000000</v>
      </c>
      <c r="K608" s="212" t="s">
        <v>342</v>
      </c>
      <c r="L608" s="212" t="s">
        <v>351</v>
      </c>
      <c r="M608" s="212" t="s">
        <v>44</v>
      </c>
      <c r="N608" s="212" t="s">
        <v>45</v>
      </c>
      <c r="O608" s="212" t="s">
        <v>63</v>
      </c>
      <c r="P608" s="212" t="s">
        <v>676</v>
      </c>
      <c r="R608" s="212">
        <v>648</v>
      </c>
      <c r="S608" s="479">
        <v>44350</v>
      </c>
      <c r="T608" s="212" t="s">
        <v>4473</v>
      </c>
      <c r="U608" s="480">
        <v>18000000</v>
      </c>
      <c r="V608" s="406"/>
      <c r="X608" s="483" t="s">
        <v>4474</v>
      </c>
      <c r="Y608" s="484">
        <v>44363</v>
      </c>
      <c r="Z608" s="484">
        <v>44364</v>
      </c>
      <c r="AA608" s="484">
        <v>44546</v>
      </c>
      <c r="AB608" s="486" t="s">
        <v>2575</v>
      </c>
      <c r="AC608" s="483" t="s">
        <v>4014</v>
      </c>
      <c r="AD608" s="486" t="s">
        <v>4475</v>
      </c>
      <c r="AE608" s="486" t="s">
        <v>4476</v>
      </c>
      <c r="AF608" s="496">
        <v>18000000</v>
      </c>
      <c r="AG608" s="474">
        <f t="shared" si="10"/>
        <v>0</v>
      </c>
      <c r="AM608" s="212"/>
    </row>
    <row r="609" spans="1:39" hidden="1" x14ac:dyDescent="0.25">
      <c r="A609" s="313" t="s">
        <v>2514</v>
      </c>
      <c r="B609" s="419">
        <v>21000000</v>
      </c>
      <c r="C609" s="212" t="s">
        <v>2571</v>
      </c>
      <c r="D609" s="478">
        <v>599</v>
      </c>
      <c r="E609" s="478">
        <v>20214000029113</v>
      </c>
      <c r="F609" s="479">
        <v>44356</v>
      </c>
      <c r="G609" s="478" t="s">
        <v>2598</v>
      </c>
      <c r="H609" s="212" t="s">
        <v>2599</v>
      </c>
      <c r="I609" s="212" t="s">
        <v>117</v>
      </c>
      <c r="J609" s="480">
        <v>15000000</v>
      </c>
      <c r="K609" s="212" t="s">
        <v>112</v>
      </c>
      <c r="L609" s="212" t="s">
        <v>2600</v>
      </c>
      <c r="M609" s="212" t="s">
        <v>44</v>
      </c>
      <c r="N609" s="212" t="s">
        <v>45</v>
      </c>
      <c r="O609" s="212" t="s">
        <v>63</v>
      </c>
      <c r="P609" s="212" t="s">
        <v>43</v>
      </c>
      <c r="R609" s="212">
        <v>661</v>
      </c>
      <c r="S609" s="479">
        <v>44357</v>
      </c>
      <c r="T609" s="212" t="s">
        <v>4477</v>
      </c>
      <c r="U609" s="480">
        <v>15000000</v>
      </c>
      <c r="V609" s="406"/>
      <c r="X609" s="483" t="s">
        <v>4478</v>
      </c>
      <c r="Y609" s="490">
        <v>44376</v>
      </c>
      <c r="Z609" s="490">
        <v>44376</v>
      </c>
      <c r="AA609" s="490">
        <v>44528</v>
      </c>
      <c r="AB609" s="486" t="s">
        <v>2575</v>
      </c>
      <c r="AC609" s="483" t="s">
        <v>3838</v>
      </c>
      <c r="AD609" s="486" t="s">
        <v>4479</v>
      </c>
      <c r="AE609" s="486" t="s">
        <v>2946</v>
      </c>
      <c r="AF609" s="692">
        <v>15000000</v>
      </c>
      <c r="AG609" s="474">
        <f t="shared" si="10"/>
        <v>0</v>
      </c>
      <c r="AM609" s="212"/>
    </row>
    <row r="610" spans="1:39" hidden="1" x14ac:dyDescent="0.25">
      <c r="A610" s="313" t="s">
        <v>2148</v>
      </c>
      <c r="B610" s="419">
        <v>42000000</v>
      </c>
      <c r="C610" s="212" t="s">
        <v>2571</v>
      </c>
      <c r="D610" s="478">
        <v>600</v>
      </c>
      <c r="E610" s="478">
        <v>20214000029123</v>
      </c>
      <c r="F610" s="479">
        <v>44356</v>
      </c>
      <c r="G610" s="478" t="s">
        <v>2605</v>
      </c>
      <c r="H610" s="212" t="s">
        <v>2606</v>
      </c>
      <c r="I610" s="212" t="s">
        <v>47</v>
      </c>
      <c r="J610" s="480">
        <v>30000000</v>
      </c>
      <c r="K610" s="212" t="s">
        <v>37</v>
      </c>
      <c r="L610" s="212" t="s">
        <v>2607</v>
      </c>
      <c r="M610" s="212" t="s">
        <v>44</v>
      </c>
      <c r="N610" s="212" t="s">
        <v>45</v>
      </c>
      <c r="O610" s="212" t="s">
        <v>310</v>
      </c>
      <c r="P610" s="212" t="s">
        <v>43</v>
      </c>
      <c r="R610" s="212">
        <v>658</v>
      </c>
      <c r="S610" s="479">
        <v>44357</v>
      </c>
      <c r="T610" s="212" t="s">
        <v>4480</v>
      </c>
      <c r="U610" s="480">
        <v>30000000</v>
      </c>
      <c r="V610" s="406"/>
      <c r="W610" s="362"/>
      <c r="AF610" s="496"/>
      <c r="AG610" s="474">
        <f t="shared" si="10"/>
        <v>30000000</v>
      </c>
      <c r="AM610" s="212"/>
    </row>
    <row r="611" spans="1:39" hidden="1" x14ac:dyDescent="0.25">
      <c r="A611" s="313" t="s">
        <v>2165</v>
      </c>
      <c r="B611" s="419">
        <v>39900000</v>
      </c>
      <c r="C611" s="212" t="s">
        <v>2571</v>
      </c>
      <c r="D611" s="212">
        <v>601</v>
      </c>
      <c r="E611" s="478">
        <v>20214000029133</v>
      </c>
      <c r="F611" s="479">
        <v>44356</v>
      </c>
      <c r="G611" s="478" t="s">
        <v>2598</v>
      </c>
      <c r="H611" s="212" t="s">
        <v>2599</v>
      </c>
      <c r="I611" s="212" t="s">
        <v>117</v>
      </c>
      <c r="J611" s="475">
        <v>28500000</v>
      </c>
      <c r="K611" s="212" t="s">
        <v>112</v>
      </c>
      <c r="L611" s="212" t="s">
        <v>2600</v>
      </c>
      <c r="M611" s="212" t="s">
        <v>44</v>
      </c>
      <c r="N611" s="212" t="s">
        <v>45</v>
      </c>
      <c r="O611" s="212" t="s">
        <v>63</v>
      </c>
      <c r="P611" s="212" t="s">
        <v>43</v>
      </c>
      <c r="R611" s="212">
        <v>659</v>
      </c>
      <c r="S611" s="479">
        <v>44357</v>
      </c>
      <c r="T611" s="212" t="s">
        <v>4481</v>
      </c>
      <c r="U611" s="475">
        <v>28500000</v>
      </c>
      <c r="V611" s="539"/>
      <c r="W611" s="212"/>
      <c r="X611" s="483" t="s">
        <v>4482</v>
      </c>
      <c r="Y611" s="484">
        <v>44365</v>
      </c>
      <c r="Z611" s="484">
        <v>44365</v>
      </c>
      <c r="AA611" s="484">
        <v>44517</v>
      </c>
      <c r="AB611" s="486" t="s">
        <v>2575</v>
      </c>
      <c r="AC611" s="483" t="s">
        <v>4017</v>
      </c>
      <c r="AD611" s="486" t="s">
        <v>4483</v>
      </c>
      <c r="AE611" s="486" t="s">
        <v>2989</v>
      </c>
      <c r="AF611" s="496">
        <v>28500000</v>
      </c>
      <c r="AG611" s="474">
        <f t="shared" si="10"/>
        <v>0</v>
      </c>
      <c r="AM611" s="212"/>
    </row>
    <row r="612" spans="1:39" s="312" customFormat="1" hidden="1" x14ac:dyDescent="0.25">
      <c r="A612" s="361" t="s">
        <v>1929</v>
      </c>
      <c r="B612" s="417">
        <v>39975144</v>
      </c>
      <c r="C612" s="312" t="s">
        <v>2687</v>
      </c>
      <c r="D612" s="312">
        <v>602</v>
      </c>
      <c r="E612" s="325">
        <v>20217000029143</v>
      </c>
      <c r="F612" s="315">
        <v>44356</v>
      </c>
      <c r="G612" s="325" t="s">
        <v>2572</v>
      </c>
      <c r="H612" s="312" t="s">
        <v>2573</v>
      </c>
      <c r="I612" s="312" t="s">
        <v>164</v>
      </c>
      <c r="J612" s="406">
        <v>19079046</v>
      </c>
      <c r="K612" s="312" t="s">
        <v>138</v>
      </c>
      <c r="L612" s="312" t="s">
        <v>139</v>
      </c>
      <c r="M612" s="312" t="s">
        <v>44</v>
      </c>
      <c r="N612" s="312" t="s">
        <v>45</v>
      </c>
      <c r="O612" s="312" t="s">
        <v>142</v>
      </c>
      <c r="P612" s="312" t="s">
        <v>43</v>
      </c>
      <c r="R612" s="312">
        <v>660</v>
      </c>
      <c r="S612" s="315">
        <v>44357</v>
      </c>
      <c r="T612" s="312" t="s">
        <v>4484</v>
      </c>
      <c r="U612" s="406">
        <f>19079046-19079046</f>
        <v>0</v>
      </c>
      <c r="V612" s="406">
        <v>19079046</v>
      </c>
      <c r="W612" s="388" t="s">
        <v>1453</v>
      </c>
      <c r="X612" s="316"/>
      <c r="Y612" s="316"/>
      <c r="Z612" s="316"/>
      <c r="AA612" s="316"/>
      <c r="AC612" s="316"/>
      <c r="AF612" s="496"/>
      <c r="AG612" s="318">
        <f t="shared" si="10"/>
        <v>0</v>
      </c>
      <c r="AH612" s="405"/>
      <c r="AI612" s="405"/>
      <c r="AJ612" s="405"/>
      <c r="AK612" s="405"/>
      <c r="AL612" s="405"/>
      <c r="AM612" s="212"/>
    </row>
    <row r="613" spans="1:39" hidden="1" x14ac:dyDescent="0.25">
      <c r="A613" s="313" t="s">
        <v>1894</v>
      </c>
      <c r="B613" s="419">
        <v>45500000</v>
      </c>
      <c r="C613" s="212" t="s">
        <v>2571</v>
      </c>
      <c r="D613" s="212">
        <v>603</v>
      </c>
      <c r="E613" s="478">
        <v>20216000029073</v>
      </c>
      <c r="F613" s="479">
        <v>44356</v>
      </c>
      <c r="G613" s="311" t="s">
        <v>2572</v>
      </c>
      <c r="H613" s="441" t="s">
        <v>2573</v>
      </c>
      <c r="I613" s="441" t="s">
        <v>214</v>
      </c>
      <c r="J613" s="480">
        <v>42000000</v>
      </c>
      <c r="K613" s="212" t="s">
        <v>138</v>
      </c>
      <c r="L613" s="212" t="s">
        <v>139</v>
      </c>
      <c r="M613" s="212" t="s">
        <v>44</v>
      </c>
      <c r="N613" s="212" t="s">
        <v>45</v>
      </c>
      <c r="O613" s="212" t="s">
        <v>142</v>
      </c>
      <c r="P613" s="212" t="s">
        <v>43</v>
      </c>
      <c r="R613" s="212">
        <v>656</v>
      </c>
      <c r="S613" s="479">
        <v>44357</v>
      </c>
      <c r="T613" s="212" t="s">
        <v>4485</v>
      </c>
      <c r="U613" s="480">
        <v>42000000</v>
      </c>
      <c r="V613" s="539"/>
      <c r="W613" s="212"/>
      <c r="X613" s="483" t="s">
        <v>4486</v>
      </c>
      <c r="Y613" s="484">
        <v>44362</v>
      </c>
      <c r="Z613" s="484">
        <v>44362</v>
      </c>
      <c r="AA613" s="484">
        <v>44559</v>
      </c>
      <c r="AB613" s="486" t="s">
        <v>2575</v>
      </c>
      <c r="AC613" s="483" t="s">
        <v>3626</v>
      </c>
      <c r="AD613" s="486" t="s">
        <v>4487</v>
      </c>
      <c r="AE613" s="486" t="s">
        <v>4488</v>
      </c>
      <c r="AF613" s="496">
        <v>39000000</v>
      </c>
      <c r="AG613" s="474">
        <f t="shared" si="10"/>
        <v>3000000</v>
      </c>
      <c r="AM613" s="212"/>
    </row>
    <row r="614" spans="1:39" hidden="1" x14ac:dyDescent="0.25">
      <c r="A614" s="313" t="s">
        <v>2136</v>
      </c>
      <c r="B614" s="419">
        <v>41337934</v>
      </c>
      <c r="C614" s="212" t="s">
        <v>2571</v>
      </c>
      <c r="D614" s="212">
        <v>604</v>
      </c>
      <c r="E614" s="478">
        <v>20211300029263</v>
      </c>
      <c r="F614" s="479">
        <v>44357</v>
      </c>
      <c r="G614" s="311" t="s">
        <v>2572</v>
      </c>
      <c r="H614" s="441" t="s">
        <v>2573</v>
      </c>
      <c r="I614" s="441" t="s">
        <v>210</v>
      </c>
      <c r="J614" s="480">
        <v>29527095</v>
      </c>
      <c r="K614" s="212" t="s">
        <v>138</v>
      </c>
      <c r="L614" s="212" t="s">
        <v>139</v>
      </c>
      <c r="M614" s="212" t="s">
        <v>44</v>
      </c>
      <c r="N614" s="212" t="s">
        <v>45</v>
      </c>
      <c r="O614" s="212" t="s">
        <v>142</v>
      </c>
      <c r="P614" s="212" t="s">
        <v>43</v>
      </c>
      <c r="R614" s="212">
        <v>664</v>
      </c>
      <c r="S614" s="479">
        <v>44358</v>
      </c>
      <c r="T614" s="212" t="s">
        <v>4489</v>
      </c>
      <c r="U614" s="480">
        <v>29527095</v>
      </c>
      <c r="V614" s="539"/>
      <c r="W614" s="540"/>
      <c r="X614" s="211"/>
      <c r="Y614" s="211"/>
      <c r="Z614" s="211"/>
      <c r="AA614" s="211"/>
      <c r="AB614" s="212"/>
      <c r="AD614" s="212"/>
      <c r="AF614" s="496"/>
      <c r="AG614" s="474">
        <f t="shared" si="10"/>
        <v>29527095</v>
      </c>
      <c r="AM614" s="212"/>
    </row>
    <row r="615" spans="1:39" hidden="1" x14ac:dyDescent="0.25">
      <c r="A615" s="313" t="s">
        <v>1734</v>
      </c>
      <c r="B615" s="419">
        <v>300000000</v>
      </c>
      <c r="C615" s="212" t="s">
        <v>4490</v>
      </c>
      <c r="D615" s="212">
        <v>605</v>
      </c>
      <c r="E615" s="478">
        <v>20213000029273</v>
      </c>
      <c r="F615" s="479">
        <v>44357</v>
      </c>
      <c r="G615" s="478" t="s">
        <v>2565</v>
      </c>
      <c r="H615" s="212" t="s">
        <v>2566</v>
      </c>
      <c r="I615" s="212" t="s">
        <v>432</v>
      </c>
      <c r="J615" s="480">
        <v>300000000</v>
      </c>
      <c r="K615" s="212" t="s">
        <v>342</v>
      </c>
      <c r="L615" s="212" t="s">
        <v>351</v>
      </c>
      <c r="M615" s="212" t="s">
        <v>44</v>
      </c>
      <c r="N615" s="212" t="s">
        <v>45</v>
      </c>
      <c r="O615" s="212" t="s">
        <v>63</v>
      </c>
      <c r="P615" s="212" t="s">
        <v>4491</v>
      </c>
      <c r="R615" s="212">
        <v>665</v>
      </c>
      <c r="S615" s="479">
        <v>44358</v>
      </c>
      <c r="T615" s="212" t="s">
        <v>4492</v>
      </c>
      <c r="U615" s="480">
        <v>300000000</v>
      </c>
      <c r="V615" s="539"/>
      <c r="W615" s="540"/>
      <c r="X615" s="211"/>
      <c r="Y615" s="211"/>
      <c r="Z615" s="211"/>
      <c r="AA615" s="211"/>
      <c r="AB615" s="212"/>
      <c r="AD615" s="212"/>
      <c r="AF615" s="496"/>
      <c r="AG615" s="474">
        <f t="shared" si="10"/>
        <v>300000000</v>
      </c>
      <c r="AM615" s="212"/>
    </row>
    <row r="616" spans="1:39" x14ac:dyDescent="0.25">
      <c r="A616" s="313" t="s">
        <v>1843</v>
      </c>
      <c r="B616" s="419">
        <v>42500000</v>
      </c>
      <c r="C616" s="212" t="s">
        <v>2571</v>
      </c>
      <c r="D616" s="212">
        <v>606</v>
      </c>
      <c r="E616" s="478">
        <v>20215000029803</v>
      </c>
      <c r="F616" s="479">
        <v>44362</v>
      </c>
      <c r="G616" s="478" t="s">
        <v>2565</v>
      </c>
      <c r="H616" s="212" t="s">
        <v>2566</v>
      </c>
      <c r="I616" s="212" t="s">
        <v>228</v>
      </c>
      <c r="J616" s="480">
        <v>42500000</v>
      </c>
      <c r="K616" s="212" t="s">
        <v>223</v>
      </c>
      <c r="L616" s="212" t="s">
        <v>236</v>
      </c>
      <c r="M616" s="212" t="s">
        <v>44</v>
      </c>
      <c r="N616" s="212" t="s">
        <v>45</v>
      </c>
      <c r="O616" s="212" t="s">
        <v>63</v>
      </c>
      <c r="P616" s="212" t="s">
        <v>676</v>
      </c>
      <c r="R616" s="212">
        <v>674</v>
      </c>
      <c r="S616" s="479">
        <v>44363</v>
      </c>
      <c r="T616" s="212" t="s">
        <v>4493</v>
      </c>
      <c r="U616" s="480">
        <v>42500000</v>
      </c>
      <c r="V616" s="539"/>
      <c r="W616" s="212"/>
      <c r="X616" s="483" t="s">
        <v>4494</v>
      </c>
      <c r="Y616" s="490">
        <v>44377</v>
      </c>
      <c r="Z616" s="490">
        <v>44377</v>
      </c>
      <c r="AA616" s="490">
        <v>44559</v>
      </c>
      <c r="AB616" s="486" t="s">
        <v>2575</v>
      </c>
      <c r="AC616" s="483" t="s">
        <v>3832</v>
      </c>
      <c r="AD616" s="486" t="s">
        <v>4495</v>
      </c>
      <c r="AE616" s="486" t="s">
        <v>4496</v>
      </c>
      <c r="AF616" s="692">
        <v>24000000</v>
      </c>
      <c r="AG616" s="474">
        <f t="shared" si="10"/>
        <v>18500000</v>
      </c>
      <c r="AM616" s="212"/>
    </row>
    <row r="617" spans="1:39" x14ac:dyDescent="0.25">
      <c r="A617" s="313" t="s">
        <v>2204</v>
      </c>
      <c r="B617" s="419">
        <v>50000000</v>
      </c>
      <c r="C617" s="212" t="s">
        <v>4497</v>
      </c>
      <c r="D617" s="212">
        <v>607</v>
      </c>
      <c r="E617" s="478">
        <v>20213000029723</v>
      </c>
      <c r="F617" s="479">
        <v>44362</v>
      </c>
      <c r="G617" s="478" t="s">
        <v>2565</v>
      </c>
      <c r="H617" s="212" t="s">
        <v>2566</v>
      </c>
      <c r="I617" s="212" t="s">
        <v>432</v>
      </c>
      <c r="J617" s="480">
        <v>50000000</v>
      </c>
      <c r="K617" s="212" t="s">
        <v>342</v>
      </c>
      <c r="L617" s="212" t="s">
        <v>351</v>
      </c>
      <c r="M617" s="212" t="s">
        <v>44</v>
      </c>
      <c r="N617" s="212" t="s">
        <v>45</v>
      </c>
      <c r="O617" s="212" t="s">
        <v>63</v>
      </c>
      <c r="P617" s="212" t="s">
        <v>4491</v>
      </c>
      <c r="R617" s="212">
        <v>668</v>
      </c>
      <c r="S617" s="479">
        <v>44363</v>
      </c>
      <c r="T617" s="212" t="s">
        <v>4498</v>
      </c>
      <c r="U617" s="480">
        <v>50000000</v>
      </c>
      <c r="V617" s="539"/>
      <c r="W617" s="540"/>
      <c r="X617" s="211"/>
      <c r="Y617" s="211"/>
      <c r="Z617" s="211"/>
      <c r="AA617" s="211"/>
      <c r="AB617" s="212"/>
      <c r="AD617" s="212"/>
      <c r="AF617" s="496"/>
      <c r="AG617" s="474">
        <f t="shared" si="10"/>
        <v>50000000</v>
      </c>
      <c r="AM617" s="212"/>
    </row>
    <row r="618" spans="1:39" x14ac:dyDescent="0.25">
      <c r="A618" s="313" t="s">
        <v>2198</v>
      </c>
      <c r="B618" s="419">
        <v>50000000</v>
      </c>
      <c r="C618" s="212" t="s">
        <v>4499</v>
      </c>
      <c r="D618" s="212">
        <v>608</v>
      </c>
      <c r="E618" s="478">
        <v>20213000029733</v>
      </c>
      <c r="F618" s="479">
        <v>44362</v>
      </c>
      <c r="G618" s="478" t="s">
        <v>2565</v>
      </c>
      <c r="H618" s="212" t="s">
        <v>2566</v>
      </c>
      <c r="I618" s="212" t="s">
        <v>432</v>
      </c>
      <c r="J618" s="480">
        <v>50000000</v>
      </c>
      <c r="K618" s="212" t="s">
        <v>342</v>
      </c>
      <c r="L618" s="212" t="s">
        <v>351</v>
      </c>
      <c r="M618" s="212" t="s">
        <v>44</v>
      </c>
      <c r="N618" s="212" t="s">
        <v>45</v>
      </c>
      <c r="O618" s="212" t="s">
        <v>63</v>
      </c>
      <c r="P618" s="212" t="s">
        <v>4491</v>
      </c>
      <c r="R618" s="212">
        <v>669</v>
      </c>
      <c r="S618" s="479">
        <v>44363</v>
      </c>
      <c r="T618" s="212" t="s">
        <v>2198</v>
      </c>
      <c r="U618" s="480">
        <v>50000000</v>
      </c>
      <c r="V618" s="539"/>
      <c r="W618" s="540"/>
      <c r="X618" s="211"/>
      <c r="Y618" s="211"/>
      <c r="Z618" s="211"/>
      <c r="AA618" s="211"/>
      <c r="AB618" s="212"/>
      <c r="AD618" s="212"/>
      <c r="AF618" s="496"/>
      <c r="AM618" s="212"/>
    </row>
    <row r="619" spans="1:39" x14ac:dyDescent="0.25">
      <c r="A619" s="313" t="s">
        <v>1744</v>
      </c>
      <c r="B619" s="419">
        <v>210000000</v>
      </c>
      <c r="C619" s="212" t="s">
        <v>4500</v>
      </c>
      <c r="D619" s="212">
        <v>609</v>
      </c>
      <c r="E619" s="478">
        <v>20213000029743</v>
      </c>
      <c r="F619" s="479">
        <v>44362</v>
      </c>
      <c r="G619" s="478" t="s">
        <v>2565</v>
      </c>
      <c r="H619" s="212" t="s">
        <v>2566</v>
      </c>
      <c r="I619" s="212" t="s">
        <v>432</v>
      </c>
      <c r="J619" s="480">
        <v>200000000</v>
      </c>
      <c r="K619" s="212" t="s">
        <v>342</v>
      </c>
      <c r="L619" s="212" t="s">
        <v>351</v>
      </c>
      <c r="M619" s="212" t="s">
        <v>44</v>
      </c>
      <c r="N619" s="212" t="s">
        <v>45</v>
      </c>
      <c r="O619" s="212" t="s">
        <v>63</v>
      </c>
      <c r="P619" s="212" t="s">
        <v>4501</v>
      </c>
      <c r="R619" s="212">
        <v>670</v>
      </c>
      <c r="S619" s="479">
        <v>44363</v>
      </c>
      <c r="T619" s="212" t="s">
        <v>4502</v>
      </c>
      <c r="U619" s="480">
        <v>200000000</v>
      </c>
      <c r="V619" s="539"/>
      <c r="W619" s="540"/>
      <c r="X619" s="211"/>
      <c r="Y619" s="211"/>
      <c r="Z619" s="211"/>
      <c r="AA619" s="211"/>
      <c r="AB619" s="212"/>
      <c r="AD619" s="212"/>
      <c r="AF619" s="496"/>
      <c r="AM619" s="212"/>
    </row>
    <row r="620" spans="1:39" x14ac:dyDescent="0.25">
      <c r="A620" s="313" t="s">
        <v>1813</v>
      </c>
      <c r="B620" s="419">
        <v>370678608</v>
      </c>
      <c r="C620" s="212" t="s">
        <v>4266</v>
      </c>
      <c r="D620" s="212">
        <v>610</v>
      </c>
      <c r="E620" s="478">
        <v>20213000029823</v>
      </c>
      <c r="F620" s="479">
        <v>44362</v>
      </c>
      <c r="G620" s="478" t="s">
        <v>2565</v>
      </c>
      <c r="H620" s="212" t="s">
        <v>2566</v>
      </c>
      <c r="I620" s="212" t="s">
        <v>432</v>
      </c>
      <c r="J620" s="480">
        <v>370678608</v>
      </c>
      <c r="K620" s="212" t="s">
        <v>342</v>
      </c>
      <c r="L620" s="212" t="s">
        <v>351</v>
      </c>
      <c r="M620" s="212" t="s">
        <v>44</v>
      </c>
      <c r="N620" s="212" t="s">
        <v>45</v>
      </c>
      <c r="O620" s="212" t="s">
        <v>63</v>
      </c>
      <c r="P620" s="212" t="s">
        <v>676</v>
      </c>
      <c r="R620" s="212">
        <v>671</v>
      </c>
      <c r="S620" s="479">
        <v>44363</v>
      </c>
      <c r="T620" s="212" t="s">
        <v>4503</v>
      </c>
      <c r="U620" s="480">
        <v>370678608</v>
      </c>
      <c r="V620" s="539"/>
      <c r="W620" s="540"/>
      <c r="X620" s="211"/>
      <c r="Y620" s="211"/>
      <c r="Z620" s="211"/>
      <c r="AA620" s="211"/>
      <c r="AB620" s="212"/>
      <c r="AD620" s="212"/>
      <c r="AF620" s="496"/>
      <c r="AM620" s="212"/>
    </row>
    <row r="621" spans="1:39" x14ac:dyDescent="0.25">
      <c r="A621" s="313" t="s">
        <v>1811</v>
      </c>
      <c r="B621" s="419">
        <v>648968200</v>
      </c>
      <c r="C621" s="212" t="s">
        <v>4258</v>
      </c>
      <c r="D621" s="478">
        <v>611</v>
      </c>
      <c r="E621" s="478">
        <v>20213000029833</v>
      </c>
      <c r="F621" s="479">
        <v>44362</v>
      </c>
      <c r="G621" s="478" t="s">
        <v>2565</v>
      </c>
      <c r="H621" s="212" t="s">
        <v>2566</v>
      </c>
      <c r="I621" s="212" t="s">
        <v>432</v>
      </c>
      <c r="J621" s="475">
        <v>648968200</v>
      </c>
      <c r="K621" s="212" t="s">
        <v>342</v>
      </c>
      <c r="L621" s="212" t="s">
        <v>351</v>
      </c>
      <c r="M621" s="212" t="s">
        <v>44</v>
      </c>
      <c r="N621" s="212" t="s">
        <v>45</v>
      </c>
      <c r="O621" s="212" t="s">
        <v>63</v>
      </c>
      <c r="P621" s="212" t="s">
        <v>676</v>
      </c>
      <c r="R621" s="212">
        <v>672</v>
      </c>
      <c r="S621" s="479">
        <v>44363</v>
      </c>
      <c r="T621" s="212" t="s">
        <v>4504</v>
      </c>
      <c r="U621" s="475">
        <v>648968200</v>
      </c>
      <c r="V621" s="539"/>
      <c r="W621" s="540"/>
      <c r="X621" s="211"/>
      <c r="Y621" s="211"/>
      <c r="Z621" s="211"/>
      <c r="AA621" s="211"/>
      <c r="AB621" s="212"/>
      <c r="AD621" s="212"/>
      <c r="AF621" s="496"/>
      <c r="AM621" s="212"/>
    </row>
    <row r="622" spans="1:39" x14ac:dyDescent="0.25">
      <c r="A622" s="313" t="s">
        <v>2303</v>
      </c>
      <c r="B622" s="419">
        <v>65394432</v>
      </c>
      <c r="C622" s="212" t="s">
        <v>2571</v>
      </c>
      <c r="D622" s="309">
        <v>612</v>
      </c>
      <c r="E622" s="309">
        <v>20217000029893</v>
      </c>
      <c r="F622" s="479">
        <v>44362</v>
      </c>
      <c r="G622" s="309" t="s">
        <v>2572</v>
      </c>
      <c r="H622" s="210" t="s">
        <v>2573</v>
      </c>
      <c r="I622" s="210" t="s">
        <v>164</v>
      </c>
      <c r="J622" s="415">
        <v>35000000</v>
      </c>
      <c r="K622" s="210" t="s">
        <v>138</v>
      </c>
      <c r="L622" s="210" t="s">
        <v>139</v>
      </c>
      <c r="M622" s="210" t="s">
        <v>44</v>
      </c>
      <c r="N622" s="210" t="s">
        <v>45</v>
      </c>
      <c r="O622" s="210" t="s">
        <v>142</v>
      </c>
      <c r="P622" s="210" t="s">
        <v>43</v>
      </c>
      <c r="Q622" s="312"/>
      <c r="R622" s="212">
        <v>673</v>
      </c>
      <c r="S622" s="479">
        <v>44363</v>
      </c>
      <c r="T622" s="212" t="s">
        <v>4505</v>
      </c>
      <c r="U622" s="539">
        <v>35000000</v>
      </c>
      <c r="V622" s="539"/>
      <c r="W622" s="540"/>
      <c r="X622" s="211"/>
      <c r="Y622" s="211"/>
      <c r="Z622" s="211"/>
      <c r="AA622" s="211"/>
      <c r="AB622" s="212"/>
      <c r="AD622" s="212"/>
      <c r="AF622" s="496"/>
      <c r="AM622" s="212"/>
    </row>
    <row r="623" spans="1:39" x14ac:dyDescent="0.25">
      <c r="A623" s="313" t="s">
        <v>1717</v>
      </c>
      <c r="B623" s="419">
        <v>25000000</v>
      </c>
      <c r="C623" s="212" t="s">
        <v>2571</v>
      </c>
      <c r="D623" s="212">
        <v>613</v>
      </c>
      <c r="E623" s="309">
        <v>20217000030013</v>
      </c>
      <c r="F623" s="479">
        <v>44363</v>
      </c>
      <c r="G623" s="311" t="s">
        <v>2572</v>
      </c>
      <c r="H623" s="441" t="s">
        <v>2573</v>
      </c>
      <c r="I623" s="441" t="s">
        <v>164</v>
      </c>
      <c r="J623" s="480">
        <v>19998000</v>
      </c>
      <c r="K623" s="212" t="s">
        <v>138</v>
      </c>
      <c r="L623" s="212" t="s">
        <v>139</v>
      </c>
      <c r="M623" s="212" t="s">
        <v>44</v>
      </c>
      <c r="N623" s="212" t="s">
        <v>45</v>
      </c>
      <c r="O623" s="212" t="s">
        <v>142</v>
      </c>
      <c r="P623" s="427" t="s">
        <v>116</v>
      </c>
      <c r="R623" s="212">
        <v>679</v>
      </c>
      <c r="S623" s="479">
        <v>44364</v>
      </c>
      <c r="T623" s="212" t="s">
        <v>4506</v>
      </c>
      <c r="U623" s="539">
        <v>19998000</v>
      </c>
      <c r="V623" s="539"/>
      <c r="W623" s="212"/>
      <c r="X623" s="530" t="s">
        <v>4507</v>
      </c>
      <c r="Y623" s="491">
        <v>44375</v>
      </c>
      <c r="Z623" s="491">
        <v>44375</v>
      </c>
      <c r="AA623" s="491">
        <v>44466</v>
      </c>
      <c r="AB623" s="493" t="s">
        <v>2575</v>
      </c>
      <c r="AC623" s="530" t="s">
        <v>4093</v>
      </c>
      <c r="AD623" s="493" t="s">
        <v>4508</v>
      </c>
      <c r="AE623" s="493" t="s">
        <v>4509</v>
      </c>
      <c r="AF623" s="496">
        <v>19998000</v>
      </c>
      <c r="AG623" s="474"/>
      <c r="AM623" s="212"/>
    </row>
    <row r="624" spans="1:39" x14ac:dyDescent="0.25">
      <c r="A624" s="313" t="s">
        <v>1982</v>
      </c>
      <c r="B624" s="419">
        <v>46410000</v>
      </c>
      <c r="C624" s="212" t="s">
        <v>2571</v>
      </c>
      <c r="D624" s="212">
        <v>614</v>
      </c>
      <c r="E624" s="309">
        <v>20212000029933</v>
      </c>
      <c r="F624" s="479">
        <v>44363</v>
      </c>
      <c r="G624" s="469" t="s">
        <v>2565</v>
      </c>
      <c r="H624" s="468" t="s">
        <v>2566</v>
      </c>
      <c r="I624" s="468" t="s">
        <v>391</v>
      </c>
      <c r="J624" s="471">
        <v>46410000</v>
      </c>
      <c r="K624" s="377" t="s">
        <v>2636</v>
      </c>
      <c r="L624" s="468" t="s">
        <v>2637</v>
      </c>
      <c r="M624" s="377" t="s">
        <v>44</v>
      </c>
      <c r="N624" s="377" t="s">
        <v>45</v>
      </c>
      <c r="O624" s="468" t="s">
        <v>63</v>
      </c>
      <c r="P624" s="212" t="s">
        <v>676</v>
      </c>
      <c r="Q624" s="468"/>
      <c r="R624" s="212">
        <v>675</v>
      </c>
      <c r="S624" s="479">
        <v>44364</v>
      </c>
      <c r="T624" s="212" t="s">
        <v>4510</v>
      </c>
      <c r="U624" s="539">
        <v>46410000</v>
      </c>
      <c r="V624" s="539"/>
      <c r="W624" s="212"/>
      <c r="X624" s="483" t="s">
        <v>4511</v>
      </c>
      <c r="Y624" s="490">
        <v>44376</v>
      </c>
      <c r="Z624" s="490">
        <v>44376</v>
      </c>
      <c r="AA624" s="490">
        <v>44558</v>
      </c>
      <c r="AB624" s="486" t="s">
        <v>2575</v>
      </c>
      <c r="AC624" s="483" t="s">
        <v>3636</v>
      </c>
      <c r="AD624" s="486" t="s">
        <v>4512</v>
      </c>
      <c r="AE624" s="486" t="s">
        <v>4513</v>
      </c>
      <c r="AF624" s="692">
        <v>42840000</v>
      </c>
      <c r="AG624" s="474"/>
      <c r="AM624" s="212"/>
    </row>
    <row r="625" spans="1:39" x14ac:dyDescent="0.25">
      <c r="A625" s="313" t="s">
        <v>1981</v>
      </c>
      <c r="B625" s="419">
        <v>24528000</v>
      </c>
      <c r="C625" s="212" t="s">
        <v>2571</v>
      </c>
      <c r="D625" s="212">
        <v>615</v>
      </c>
      <c r="E625" s="309">
        <v>20212000029943</v>
      </c>
      <c r="F625" s="479">
        <v>44363</v>
      </c>
      <c r="G625" s="469" t="s">
        <v>2565</v>
      </c>
      <c r="H625" s="468" t="s">
        <v>2566</v>
      </c>
      <c r="I625" s="468" t="s">
        <v>391</v>
      </c>
      <c r="J625" s="471">
        <v>24528000</v>
      </c>
      <c r="K625" s="377" t="s">
        <v>2636</v>
      </c>
      <c r="L625" s="468" t="s">
        <v>2637</v>
      </c>
      <c r="M625" s="377" t="s">
        <v>44</v>
      </c>
      <c r="N625" s="377" t="s">
        <v>45</v>
      </c>
      <c r="O625" s="468" t="s">
        <v>63</v>
      </c>
      <c r="P625" s="212" t="s">
        <v>676</v>
      </c>
      <c r="R625" s="212">
        <v>676</v>
      </c>
      <c r="S625" s="479">
        <v>44364</v>
      </c>
      <c r="T625" s="212" t="s">
        <v>4514</v>
      </c>
      <c r="U625" s="539">
        <v>24528000</v>
      </c>
      <c r="V625" s="539"/>
      <c r="W625" s="540"/>
      <c r="X625" s="211"/>
      <c r="Y625" s="211"/>
      <c r="Z625" s="211"/>
      <c r="AA625" s="211"/>
      <c r="AB625" s="212"/>
      <c r="AD625" s="212"/>
      <c r="AF625" s="496"/>
      <c r="AG625" s="474"/>
      <c r="AM625" s="212"/>
    </row>
    <row r="626" spans="1:39" x14ac:dyDescent="0.25">
      <c r="A626" s="313" t="s">
        <v>1979</v>
      </c>
      <c r="B626" s="419">
        <v>26572000</v>
      </c>
      <c r="C626" s="212" t="s">
        <v>2571</v>
      </c>
      <c r="D626" s="212">
        <v>616</v>
      </c>
      <c r="E626" s="309">
        <v>20212000029953</v>
      </c>
      <c r="F626" s="479">
        <v>44363</v>
      </c>
      <c r="G626" s="469" t="s">
        <v>2565</v>
      </c>
      <c r="H626" s="468" t="s">
        <v>2566</v>
      </c>
      <c r="I626" s="468" t="s">
        <v>391</v>
      </c>
      <c r="J626" s="471">
        <v>24528000</v>
      </c>
      <c r="K626" s="377" t="s">
        <v>2636</v>
      </c>
      <c r="L626" s="468" t="s">
        <v>2637</v>
      </c>
      <c r="M626" s="377" t="s">
        <v>44</v>
      </c>
      <c r="N626" s="377" t="s">
        <v>45</v>
      </c>
      <c r="O626" s="468" t="s">
        <v>63</v>
      </c>
      <c r="P626" s="212" t="s">
        <v>676</v>
      </c>
      <c r="R626" s="212">
        <v>677</v>
      </c>
      <c r="S626" s="479">
        <v>44364</v>
      </c>
      <c r="T626" s="212" t="s">
        <v>4515</v>
      </c>
      <c r="U626" s="539">
        <v>24528000</v>
      </c>
      <c r="V626" s="539"/>
      <c r="W626" s="540"/>
      <c r="X626" s="211"/>
      <c r="Y626" s="211"/>
      <c r="Z626" s="211"/>
      <c r="AA626" s="211"/>
      <c r="AB626" s="212"/>
      <c r="AD626" s="212"/>
      <c r="AF626" s="496"/>
      <c r="AG626" s="474"/>
      <c r="AM626" s="212"/>
    </row>
    <row r="627" spans="1:39" x14ac:dyDescent="0.25">
      <c r="A627" s="313" t="s">
        <v>2045</v>
      </c>
      <c r="B627" s="419">
        <v>34850000</v>
      </c>
      <c r="C627" s="212" t="s">
        <v>2571</v>
      </c>
      <c r="D627" s="212">
        <v>617</v>
      </c>
      <c r="E627" s="309">
        <v>20212000029993</v>
      </c>
      <c r="F627" s="479">
        <v>44363</v>
      </c>
      <c r="G627" s="469" t="s">
        <v>2565</v>
      </c>
      <c r="H627" s="468" t="s">
        <v>2566</v>
      </c>
      <c r="I627" s="468" t="s">
        <v>391</v>
      </c>
      <c r="J627" s="471">
        <v>26650000</v>
      </c>
      <c r="K627" s="377" t="s">
        <v>2636</v>
      </c>
      <c r="L627" s="468" t="s">
        <v>2637</v>
      </c>
      <c r="M627" s="377" t="s">
        <v>44</v>
      </c>
      <c r="N627" s="377" t="s">
        <v>45</v>
      </c>
      <c r="O627" s="468" t="s">
        <v>63</v>
      </c>
      <c r="P627" s="212" t="s">
        <v>676</v>
      </c>
      <c r="R627" s="212">
        <v>678</v>
      </c>
      <c r="S627" s="479">
        <v>44364</v>
      </c>
      <c r="T627" s="212" t="s">
        <v>4516</v>
      </c>
      <c r="U627" s="539">
        <v>26650000</v>
      </c>
      <c r="V627" s="539"/>
      <c r="W627" s="540"/>
      <c r="X627" s="211"/>
      <c r="Y627" s="211"/>
      <c r="Z627" s="211"/>
      <c r="AA627" s="211"/>
      <c r="AB627" s="212"/>
      <c r="AD627" s="212"/>
      <c r="AF627" s="496"/>
      <c r="AG627" s="474"/>
      <c r="AM627" s="212"/>
    </row>
    <row r="628" spans="1:39" x14ac:dyDescent="0.25">
      <c r="A628" s="313" t="s">
        <v>1909</v>
      </c>
      <c r="B628" s="419">
        <v>36795303</v>
      </c>
      <c r="C628" s="212" t="s">
        <v>2571</v>
      </c>
      <c r="D628" s="212">
        <v>618</v>
      </c>
      <c r="E628" s="309">
        <v>20217000030083</v>
      </c>
      <c r="F628" s="479">
        <v>44363</v>
      </c>
      <c r="G628" s="311" t="s">
        <v>2572</v>
      </c>
      <c r="H628" s="441" t="s">
        <v>2573</v>
      </c>
      <c r="I628" s="441" t="s">
        <v>164</v>
      </c>
      <c r="J628" s="480">
        <v>24530202</v>
      </c>
      <c r="K628" s="212" t="s">
        <v>138</v>
      </c>
      <c r="L628" s="212" t="s">
        <v>139</v>
      </c>
      <c r="M628" s="212" t="s">
        <v>44</v>
      </c>
      <c r="N628" s="212" t="s">
        <v>45</v>
      </c>
      <c r="O628" s="212" t="s">
        <v>142</v>
      </c>
      <c r="P628" s="210" t="s">
        <v>676</v>
      </c>
      <c r="R628" s="212">
        <v>680</v>
      </c>
      <c r="S628" s="479">
        <v>44364</v>
      </c>
      <c r="T628" s="212" t="s">
        <v>4517</v>
      </c>
      <c r="U628" s="539">
        <v>24530202</v>
      </c>
      <c r="V628" s="539"/>
      <c r="W628" s="212"/>
      <c r="X628" s="530" t="s">
        <v>4518</v>
      </c>
      <c r="Y628" s="491">
        <v>44372</v>
      </c>
      <c r="Z628" s="491">
        <v>44372</v>
      </c>
      <c r="AA628" s="491">
        <v>44554</v>
      </c>
      <c r="AB628" s="493" t="s">
        <v>2575</v>
      </c>
      <c r="AC628" s="530" t="s">
        <v>3975</v>
      </c>
      <c r="AD628" s="493" t="s">
        <v>4039</v>
      </c>
      <c r="AE628" s="493" t="s">
        <v>4040</v>
      </c>
      <c r="AF628" s="496">
        <v>24530202</v>
      </c>
      <c r="AG628" s="474"/>
      <c r="AM628" s="212"/>
    </row>
    <row r="629" spans="1:39" x14ac:dyDescent="0.25">
      <c r="A629" s="313" t="s">
        <v>1812</v>
      </c>
      <c r="B629" s="419">
        <v>199875720</v>
      </c>
      <c r="C629" s="212" t="s">
        <v>4519</v>
      </c>
      <c r="D629" s="212">
        <v>619</v>
      </c>
      <c r="E629" s="309">
        <v>20213000030143</v>
      </c>
      <c r="F629" s="479">
        <v>44363</v>
      </c>
      <c r="G629" s="478" t="s">
        <v>2565</v>
      </c>
      <c r="H629" s="212" t="s">
        <v>2566</v>
      </c>
      <c r="I629" s="212" t="s">
        <v>432</v>
      </c>
      <c r="J629" s="480">
        <v>199875720</v>
      </c>
      <c r="K629" s="212" t="s">
        <v>342</v>
      </c>
      <c r="L629" s="212" t="s">
        <v>351</v>
      </c>
      <c r="M629" s="212" t="s">
        <v>44</v>
      </c>
      <c r="N629" s="212" t="s">
        <v>45</v>
      </c>
      <c r="O629" s="212" t="s">
        <v>63</v>
      </c>
      <c r="P629" s="212" t="s">
        <v>676</v>
      </c>
      <c r="R629" s="212">
        <v>681</v>
      </c>
      <c r="S629" s="479">
        <v>44364</v>
      </c>
      <c r="T629" s="212" t="s">
        <v>4520</v>
      </c>
      <c r="U629" s="539">
        <v>199875720</v>
      </c>
      <c r="V629" s="539"/>
      <c r="W629" s="540"/>
      <c r="X629" s="211"/>
      <c r="Y629" s="211"/>
      <c r="Z629" s="211"/>
      <c r="AA629" s="211"/>
      <c r="AB629" s="212"/>
      <c r="AD629" s="212"/>
      <c r="AF629" s="496"/>
      <c r="AG629" s="474"/>
      <c r="AM629" s="212"/>
    </row>
    <row r="630" spans="1:39" s="210" customFormat="1" x14ac:dyDescent="0.25">
      <c r="A630" s="313"/>
      <c r="B630" s="419" t="s">
        <v>4315</v>
      </c>
      <c r="C630" s="210" t="s">
        <v>4521</v>
      </c>
      <c r="D630" s="210">
        <v>620</v>
      </c>
      <c r="E630" s="309">
        <v>20213000030153</v>
      </c>
      <c r="F630" s="310">
        <v>44363</v>
      </c>
      <c r="G630" s="309" t="s">
        <v>2565</v>
      </c>
      <c r="H630" s="210" t="s">
        <v>2566</v>
      </c>
      <c r="I630" s="210" t="s">
        <v>432</v>
      </c>
      <c r="J630" s="407">
        <v>241278049</v>
      </c>
      <c r="K630" s="210" t="s">
        <v>342</v>
      </c>
      <c r="L630" s="210" t="s">
        <v>343</v>
      </c>
      <c r="M630" s="210" t="s">
        <v>44</v>
      </c>
      <c r="N630" s="210" t="s">
        <v>45</v>
      </c>
      <c r="O630" s="212" t="s">
        <v>310</v>
      </c>
      <c r="P630" s="212" t="s">
        <v>676</v>
      </c>
      <c r="R630" s="212">
        <v>707</v>
      </c>
      <c r="S630" s="479">
        <v>44375</v>
      </c>
      <c r="T630" s="212" t="s">
        <v>4522</v>
      </c>
      <c r="U630" s="539">
        <v>241278049</v>
      </c>
      <c r="V630" s="459"/>
      <c r="W630" s="460"/>
      <c r="X630" s="322"/>
      <c r="Y630" s="322"/>
      <c r="Z630" s="322"/>
      <c r="AA630" s="322"/>
      <c r="AC630" s="322"/>
      <c r="AF630" s="496"/>
      <c r="AG630" s="474"/>
      <c r="AH630" s="407"/>
      <c r="AI630" s="407"/>
      <c r="AJ630" s="407"/>
      <c r="AK630" s="407"/>
      <c r="AL630" s="407"/>
      <c r="AM630" s="212"/>
    </row>
    <row r="631" spans="1:39" x14ac:dyDescent="0.25">
      <c r="A631" s="313" t="s">
        <v>2126</v>
      </c>
      <c r="B631" s="419">
        <v>34000000</v>
      </c>
      <c r="C631" s="212" t="s">
        <v>4523</v>
      </c>
      <c r="D631" s="212">
        <v>621</v>
      </c>
      <c r="E631" s="309">
        <v>20211200030103</v>
      </c>
      <c r="F631" s="479">
        <v>44363</v>
      </c>
      <c r="G631" s="212" t="s">
        <v>2572</v>
      </c>
      <c r="H631" s="212" t="s">
        <v>2573</v>
      </c>
      <c r="I631" s="212" t="s">
        <v>143</v>
      </c>
      <c r="J631" s="407">
        <v>34000000</v>
      </c>
      <c r="K631" s="212" t="s">
        <v>138</v>
      </c>
      <c r="L631" s="212" t="s">
        <v>139</v>
      </c>
      <c r="M631" s="212" t="s">
        <v>2767</v>
      </c>
      <c r="N631" s="212" t="s">
        <v>150</v>
      </c>
      <c r="O631" s="212" t="s">
        <v>151</v>
      </c>
      <c r="P631" s="212" t="s">
        <v>43</v>
      </c>
      <c r="Q631" s="312"/>
      <c r="R631" s="212">
        <v>682</v>
      </c>
      <c r="S631" s="479">
        <v>44365</v>
      </c>
      <c r="T631" s="212" t="s">
        <v>2126</v>
      </c>
      <c r="U631" s="539">
        <v>34000000</v>
      </c>
      <c r="V631" s="212"/>
      <c r="W631" s="212"/>
      <c r="X631" s="211"/>
      <c r="Y631" s="212"/>
      <c r="Z631" s="211"/>
      <c r="AA631" s="212"/>
      <c r="AB631" s="212"/>
      <c r="AD631" s="212"/>
      <c r="AF631" s="496"/>
      <c r="AG631" s="474"/>
      <c r="AH631" s="212"/>
      <c r="AI631" s="212"/>
      <c r="AJ631" s="212"/>
      <c r="AK631" s="212"/>
      <c r="AL631" s="212"/>
      <c r="AM631" s="212"/>
    </row>
    <row r="632" spans="1:39" x14ac:dyDescent="0.25">
      <c r="A632" s="313" t="s">
        <v>1903</v>
      </c>
      <c r="B632" s="419">
        <v>28618569</v>
      </c>
      <c r="C632" s="212" t="s">
        <v>2571</v>
      </c>
      <c r="D632" s="212">
        <v>622</v>
      </c>
      <c r="E632" s="309">
        <v>20217000030163</v>
      </c>
      <c r="F632" s="479">
        <v>44363</v>
      </c>
      <c r="G632" s="212" t="s">
        <v>2572</v>
      </c>
      <c r="H632" s="212" t="s">
        <v>2573</v>
      </c>
      <c r="I632" s="212" t="s">
        <v>164</v>
      </c>
      <c r="J632" s="407">
        <v>19079046</v>
      </c>
      <c r="K632" s="212" t="s">
        <v>138</v>
      </c>
      <c r="L632" s="212" t="s">
        <v>139</v>
      </c>
      <c r="M632" s="212" t="s">
        <v>44</v>
      </c>
      <c r="N632" s="212" t="s">
        <v>45</v>
      </c>
      <c r="O632" s="212" t="s">
        <v>142</v>
      </c>
      <c r="P632" s="212" t="s">
        <v>676</v>
      </c>
      <c r="Q632" s="312"/>
      <c r="R632" s="212">
        <v>683</v>
      </c>
      <c r="S632" s="479">
        <v>44365</v>
      </c>
      <c r="T632" s="212" t="s">
        <v>4524</v>
      </c>
      <c r="U632" s="539">
        <v>19079046</v>
      </c>
      <c r="V632" s="212"/>
      <c r="W632" s="212"/>
      <c r="X632" s="211"/>
      <c r="Y632" s="212"/>
      <c r="Z632" s="211"/>
      <c r="AA632" s="212"/>
      <c r="AB632" s="212"/>
      <c r="AD632" s="212"/>
      <c r="AF632" s="496"/>
      <c r="AG632" s="474"/>
      <c r="AH632" s="212"/>
      <c r="AI632" s="212"/>
      <c r="AJ632" s="212"/>
      <c r="AK632" s="212"/>
      <c r="AL632" s="212"/>
      <c r="AM632" s="212"/>
    </row>
    <row r="633" spans="1:39" x14ac:dyDescent="0.25">
      <c r="A633" s="313" t="s">
        <v>2372</v>
      </c>
      <c r="B633" s="419">
        <v>18600000</v>
      </c>
      <c r="C633" s="212" t="s">
        <v>2571</v>
      </c>
      <c r="D633" s="212">
        <v>623</v>
      </c>
      <c r="E633" s="309">
        <v>20217000030213</v>
      </c>
      <c r="F633" s="479">
        <v>44363</v>
      </c>
      <c r="G633" s="311" t="s">
        <v>2572</v>
      </c>
      <c r="H633" s="441" t="s">
        <v>2573</v>
      </c>
      <c r="I633" s="441" t="s">
        <v>164</v>
      </c>
      <c r="J633" s="480">
        <v>13627890</v>
      </c>
      <c r="K633" s="212" t="s">
        <v>138</v>
      </c>
      <c r="L633" s="212" t="s">
        <v>139</v>
      </c>
      <c r="M633" s="212" t="s">
        <v>44</v>
      </c>
      <c r="N633" s="212" t="s">
        <v>45</v>
      </c>
      <c r="O633" s="212" t="s">
        <v>142</v>
      </c>
      <c r="P633" s="212" t="s">
        <v>676</v>
      </c>
      <c r="Q633" s="312"/>
      <c r="R633" s="212">
        <v>684</v>
      </c>
      <c r="S633" s="479">
        <v>44365</v>
      </c>
      <c r="T633" s="212" t="s">
        <v>4525</v>
      </c>
      <c r="U633" s="539">
        <v>13627890</v>
      </c>
      <c r="V633" s="539"/>
      <c r="W633" s="212"/>
      <c r="X633" s="483" t="s">
        <v>4526</v>
      </c>
      <c r="Y633" s="490">
        <v>44377</v>
      </c>
      <c r="Z633" s="490">
        <v>44377</v>
      </c>
      <c r="AA633" s="490">
        <v>44559</v>
      </c>
      <c r="AB633" s="486" t="s">
        <v>2575</v>
      </c>
      <c r="AC633" s="483" t="s">
        <v>4083</v>
      </c>
      <c r="AD633" s="486" t="s">
        <v>4527</v>
      </c>
      <c r="AE633" s="486" t="s">
        <v>4528</v>
      </c>
      <c r="AF633" s="692">
        <v>13627890</v>
      </c>
      <c r="AG633" s="474"/>
      <c r="AM633" s="212"/>
    </row>
    <row r="634" spans="1:39" x14ac:dyDescent="0.25">
      <c r="A634" s="313"/>
      <c r="B634" s="419" t="s">
        <v>4324</v>
      </c>
      <c r="C634" s="212" t="s">
        <v>4529</v>
      </c>
      <c r="D634" s="212">
        <v>624</v>
      </c>
      <c r="E634" s="309">
        <v>20212000030183</v>
      </c>
      <c r="F634" s="479">
        <v>44365</v>
      </c>
      <c r="G634" s="311" t="s">
        <v>2565</v>
      </c>
      <c r="H634" s="441" t="s">
        <v>2566</v>
      </c>
      <c r="I634" s="441" t="s">
        <v>391</v>
      </c>
      <c r="J634" s="480">
        <v>28966366</v>
      </c>
      <c r="K634" s="212" t="s">
        <v>2636</v>
      </c>
      <c r="L634" s="212" t="s">
        <v>4448</v>
      </c>
      <c r="M634" s="212" t="s">
        <v>44</v>
      </c>
      <c r="N634" s="212" t="s">
        <v>2861</v>
      </c>
      <c r="O634" s="212" t="s">
        <v>255</v>
      </c>
      <c r="P634" s="212" t="s">
        <v>4332</v>
      </c>
      <c r="Q634" s="312"/>
      <c r="R634" s="212">
        <v>687</v>
      </c>
      <c r="S634" s="479">
        <v>44365</v>
      </c>
      <c r="T634" s="212" t="s">
        <v>4530</v>
      </c>
      <c r="U634" s="539">
        <v>28966366</v>
      </c>
      <c r="V634" s="539"/>
      <c r="W634" s="540"/>
      <c r="X634" s="211"/>
      <c r="Y634" s="211"/>
      <c r="Z634" s="211"/>
      <c r="AA634" s="211"/>
      <c r="AB634" s="212"/>
      <c r="AD634" s="212"/>
      <c r="AF634" s="496"/>
      <c r="AG634" s="474"/>
      <c r="AM634" s="212"/>
    </row>
    <row r="635" spans="1:39" x14ac:dyDescent="0.25">
      <c r="A635" s="313"/>
      <c r="B635" s="419" t="s">
        <v>4324</v>
      </c>
      <c r="C635" s="212" t="s">
        <v>4531</v>
      </c>
      <c r="D635" s="212">
        <v>625</v>
      </c>
      <c r="E635" s="309">
        <v>20212000030193</v>
      </c>
      <c r="F635" s="479">
        <v>44365</v>
      </c>
      <c r="G635" s="478" t="s">
        <v>2565</v>
      </c>
      <c r="H635" s="212" t="s">
        <v>2566</v>
      </c>
      <c r="I635" s="212" t="s">
        <v>391</v>
      </c>
      <c r="J635" s="480">
        <v>921121770</v>
      </c>
      <c r="K635" s="212" t="s">
        <v>2636</v>
      </c>
      <c r="L635" s="212" t="s">
        <v>4448</v>
      </c>
      <c r="M635" s="212" t="s">
        <v>44</v>
      </c>
      <c r="N635" s="212" t="s">
        <v>2861</v>
      </c>
      <c r="O635" s="212" t="s">
        <v>255</v>
      </c>
      <c r="P635" s="212" t="s">
        <v>4332</v>
      </c>
      <c r="Q635" s="312"/>
      <c r="R635" s="212">
        <v>688</v>
      </c>
      <c r="S635" s="479">
        <v>44365</v>
      </c>
      <c r="T635" s="212" t="s">
        <v>4532</v>
      </c>
      <c r="U635" s="539">
        <v>921121770</v>
      </c>
      <c r="V635" s="539"/>
      <c r="W635" s="540"/>
      <c r="X635" s="211"/>
      <c r="Y635" s="211"/>
      <c r="Z635" s="211"/>
      <c r="AA635" s="211"/>
      <c r="AB635" s="212"/>
      <c r="AD635" s="212"/>
      <c r="AF635" s="496"/>
      <c r="AG635" s="474"/>
      <c r="AM635" s="212"/>
    </row>
    <row r="636" spans="1:39" s="312" customFormat="1" x14ac:dyDescent="0.25">
      <c r="A636" s="361"/>
      <c r="B636" s="417" t="s">
        <v>4324</v>
      </c>
      <c r="C636" s="312" t="s">
        <v>4533</v>
      </c>
      <c r="D636" s="312">
        <v>626</v>
      </c>
      <c r="E636" s="325">
        <v>20212000030203</v>
      </c>
      <c r="F636" s="315">
        <v>44365</v>
      </c>
      <c r="G636" s="325" t="s">
        <v>2565</v>
      </c>
      <c r="H636" s="312" t="s">
        <v>2566</v>
      </c>
      <c r="I636" s="312" t="s">
        <v>391</v>
      </c>
      <c r="J636" s="406">
        <v>12092439</v>
      </c>
      <c r="K636" s="312" t="s">
        <v>2636</v>
      </c>
      <c r="L636" s="312" t="s">
        <v>4448</v>
      </c>
      <c r="M636" s="312" t="s">
        <v>44</v>
      </c>
      <c r="N636" s="312" t="s">
        <v>2861</v>
      </c>
      <c r="O636" s="312" t="s">
        <v>255</v>
      </c>
      <c r="P636" s="312" t="s">
        <v>4332</v>
      </c>
      <c r="R636" s="312">
        <v>689</v>
      </c>
      <c r="S636" s="315">
        <v>44365</v>
      </c>
      <c r="T636" s="312" t="s">
        <v>4534</v>
      </c>
      <c r="U636" s="447">
        <f>12092439-12092439</f>
        <v>0</v>
      </c>
      <c r="V636" s="447">
        <v>12092439</v>
      </c>
      <c r="W636" s="388" t="s">
        <v>1453</v>
      </c>
      <c r="X636" s="316"/>
      <c r="Y636" s="316"/>
      <c r="Z636" s="316"/>
      <c r="AA636" s="316"/>
      <c r="AC636" s="316"/>
      <c r="AF636" s="700"/>
      <c r="AG636" s="318"/>
      <c r="AH636" s="447"/>
      <c r="AI636" s="447"/>
      <c r="AJ636" s="447"/>
      <c r="AK636" s="447"/>
      <c r="AL636" s="447"/>
      <c r="AM636" s="212"/>
    </row>
    <row r="637" spans="1:39" s="312" customFormat="1" x14ac:dyDescent="0.25">
      <c r="A637" s="361" t="s">
        <v>1799</v>
      </c>
      <c r="B637" s="417">
        <v>566352000</v>
      </c>
      <c r="C637" s="312" t="s">
        <v>4535</v>
      </c>
      <c r="D637" s="448">
        <v>627</v>
      </c>
      <c r="E637" s="325">
        <v>20215000030673</v>
      </c>
      <c r="F637" s="315">
        <v>44368</v>
      </c>
      <c r="G637" s="325" t="s">
        <v>2565</v>
      </c>
      <c r="H637" s="312" t="s">
        <v>2566</v>
      </c>
      <c r="I637" s="312" t="s">
        <v>228</v>
      </c>
      <c r="J637" s="406">
        <v>566352000</v>
      </c>
      <c r="K637" s="312" t="s">
        <v>223</v>
      </c>
      <c r="L637" s="312" t="s">
        <v>257</v>
      </c>
      <c r="M637" s="312" t="s">
        <v>44</v>
      </c>
      <c r="N637" s="312" t="s">
        <v>45</v>
      </c>
      <c r="O637" s="312" t="s">
        <v>63</v>
      </c>
      <c r="P637" s="312" t="s">
        <v>676</v>
      </c>
      <c r="Q637" s="312" t="s">
        <v>3225</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x14ac:dyDescent="0.25">
      <c r="A638" s="313"/>
      <c r="B638" s="419" t="s">
        <v>4315</v>
      </c>
      <c r="C638" s="212" t="s">
        <v>4536</v>
      </c>
      <c r="D638" s="212">
        <v>628</v>
      </c>
      <c r="E638" s="309">
        <v>20213000030733</v>
      </c>
      <c r="F638" s="479">
        <v>44369</v>
      </c>
      <c r="G638" s="469" t="s">
        <v>2565</v>
      </c>
      <c r="H638" s="468" t="s">
        <v>2566</v>
      </c>
      <c r="I638" s="468" t="s">
        <v>432</v>
      </c>
      <c r="J638" s="471">
        <v>8176734</v>
      </c>
      <c r="K638" s="468" t="s">
        <v>358</v>
      </c>
      <c r="L638" s="468" t="s">
        <v>4230</v>
      </c>
      <c r="M638" s="468" t="s">
        <v>44</v>
      </c>
      <c r="N638" s="468" t="s">
        <v>45</v>
      </c>
      <c r="O638" s="468" t="s">
        <v>63</v>
      </c>
      <c r="P638" s="212" t="s">
        <v>676</v>
      </c>
      <c r="R638" s="212">
        <v>691</v>
      </c>
      <c r="S638" s="479">
        <v>44370</v>
      </c>
      <c r="T638" s="212" t="s">
        <v>4537</v>
      </c>
      <c r="U638" s="539">
        <v>8176734</v>
      </c>
      <c r="V638" s="539"/>
      <c r="W638" s="212"/>
      <c r="X638" s="483" t="s">
        <v>4538</v>
      </c>
      <c r="Y638" s="490">
        <v>44377</v>
      </c>
      <c r="Z638" s="490">
        <v>44377</v>
      </c>
      <c r="AA638" s="490">
        <v>44468</v>
      </c>
      <c r="AB638" s="486" t="s">
        <v>2575</v>
      </c>
      <c r="AC638" s="483" t="s">
        <v>4539</v>
      </c>
      <c r="AD638" s="486" t="s">
        <v>4540</v>
      </c>
      <c r="AE638" s="486" t="s">
        <v>3108</v>
      </c>
      <c r="AF638" s="496">
        <v>8176734</v>
      </c>
      <c r="AG638" s="474"/>
      <c r="AM638" s="212"/>
    </row>
    <row r="639" spans="1:39" x14ac:dyDescent="0.25">
      <c r="A639" s="313" t="s">
        <v>1778</v>
      </c>
      <c r="B639" s="419">
        <v>257000000</v>
      </c>
      <c r="C639" s="212" t="s">
        <v>4541</v>
      </c>
      <c r="D639" s="212">
        <v>629</v>
      </c>
      <c r="E639" s="309">
        <v>20215000030753</v>
      </c>
      <c r="F639" s="479">
        <v>44369</v>
      </c>
      <c r="G639" s="478" t="s">
        <v>2565</v>
      </c>
      <c r="H639" s="212" t="s">
        <v>2566</v>
      </c>
      <c r="I639" s="212" t="s">
        <v>228</v>
      </c>
      <c r="J639" s="480">
        <v>254659992</v>
      </c>
      <c r="K639" s="212" t="s">
        <v>223</v>
      </c>
      <c r="L639" s="468" t="s">
        <v>224</v>
      </c>
      <c r="M639" s="212" t="s">
        <v>44</v>
      </c>
      <c r="N639" s="212" t="s">
        <v>45</v>
      </c>
      <c r="O639" s="212" t="s">
        <v>63</v>
      </c>
      <c r="P639" s="212" t="s">
        <v>676</v>
      </c>
      <c r="R639" s="212">
        <v>692</v>
      </c>
      <c r="S639" s="479">
        <v>44370</v>
      </c>
      <c r="T639" s="212" t="s">
        <v>4542</v>
      </c>
      <c r="U639" s="539">
        <v>254659992</v>
      </c>
      <c r="V639" s="539"/>
      <c r="W639" s="540"/>
      <c r="X639" s="211"/>
      <c r="Y639" s="211"/>
      <c r="Z639" s="211"/>
      <c r="AA639" s="211"/>
      <c r="AB639" s="212"/>
      <c r="AD639" s="212"/>
      <c r="AF639" s="496"/>
      <c r="AG639" s="474"/>
      <c r="AM639" s="212"/>
    </row>
    <row r="640" spans="1:39" x14ac:dyDescent="0.25">
      <c r="A640" s="313" t="s">
        <v>1776</v>
      </c>
      <c r="B640" s="419">
        <v>356000000</v>
      </c>
      <c r="C640" s="212" t="s">
        <v>4543</v>
      </c>
      <c r="D640" s="212">
        <v>630</v>
      </c>
      <c r="E640" s="309">
        <v>20215000030763</v>
      </c>
      <c r="F640" s="479">
        <v>44369</v>
      </c>
      <c r="G640" s="478" t="s">
        <v>2565</v>
      </c>
      <c r="H640" s="212" t="s">
        <v>2566</v>
      </c>
      <c r="I640" s="212" t="s">
        <v>228</v>
      </c>
      <c r="J640" s="480">
        <v>324292404</v>
      </c>
      <c r="K640" s="212" t="s">
        <v>223</v>
      </c>
      <c r="L640" s="468" t="s">
        <v>224</v>
      </c>
      <c r="M640" s="212" t="s">
        <v>44</v>
      </c>
      <c r="N640" s="212" t="s">
        <v>45</v>
      </c>
      <c r="O640" s="212" t="s">
        <v>63</v>
      </c>
      <c r="P640" s="212" t="s">
        <v>676</v>
      </c>
      <c r="R640" s="212">
        <v>693</v>
      </c>
      <c r="S640" s="479">
        <v>44370</v>
      </c>
      <c r="T640" s="212" t="s">
        <v>4544</v>
      </c>
      <c r="U640" s="539">
        <v>324292404</v>
      </c>
      <c r="W640" s="540"/>
      <c r="X640" s="211"/>
      <c r="Y640" s="211"/>
      <c r="Z640" s="211"/>
      <c r="AA640" s="211"/>
      <c r="AB640" s="212"/>
      <c r="AD640" s="212"/>
      <c r="AF640" s="496"/>
      <c r="AG640" s="474"/>
      <c r="AM640" s="212"/>
    </row>
    <row r="641" spans="1:39" x14ac:dyDescent="0.25">
      <c r="A641" s="313" t="s">
        <v>1781</v>
      </c>
      <c r="B641" s="419">
        <v>381000000</v>
      </c>
      <c r="C641" s="212" t="s">
        <v>4541</v>
      </c>
      <c r="D641" s="212">
        <v>631</v>
      </c>
      <c r="E641" s="309">
        <v>20215000030773</v>
      </c>
      <c r="F641" s="479">
        <v>44369</v>
      </c>
      <c r="G641" s="478" t="s">
        <v>2565</v>
      </c>
      <c r="H641" s="212" t="s">
        <v>2566</v>
      </c>
      <c r="I641" s="212" t="s">
        <v>228</v>
      </c>
      <c r="J641" s="480">
        <v>272400000</v>
      </c>
      <c r="K641" s="212" t="s">
        <v>223</v>
      </c>
      <c r="L641" s="468" t="s">
        <v>224</v>
      </c>
      <c r="M641" s="212" t="s">
        <v>44</v>
      </c>
      <c r="N641" s="212" t="s">
        <v>45</v>
      </c>
      <c r="O641" s="212" t="s">
        <v>63</v>
      </c>
      <c r="P641" s="212" t="s">
        <v>676</v>
      </c>
      <c r="R641" s="212">
        <v>694</v>
      </c>
      <c r="S641" s="479">
        <v>44370</v>
      </c>
      <c r="T641" s="212" t="s">
        <v>4545</v>
      </c>
      <c r="U641" s="539">
        <v>272400000</v>
      </c>
      <c r="V641" s="539"/>
      <c r="W641" s="540"/>
      <c r="X641" s="211"/>
      <c r="Y641" s="211"/>
      <c r="Z641" s="211"/>
      <c r="AA641" s="211"/>
      <c r="AB641" s="212"/>
      <c r="AD641" s="212"/>
      <c r="AF641" s="496"/>
      <c r="AG641" s="474"/>
      <c r="AM641" s="212"/>
    </row>
    <row r="642" spans="1:39" x14ac:dyDescent="0.25">
      <c r="A642" s="313"/>
      <c r="B642" s="477" t="s">
        <v>3028</v>
      </c>
      <c r="C642" s="212" t="s">
        <v>4546</v>
      </c>
      <c r="D642" s="212">
        <v>632</v>
      </c>
      <c r="E642" s="309">
        <v>20217000030813</v>
      </c>
      <c r="F642" s="479">
        <v>44369</v>
      </c>
      <c r="G642" s="478" t="s">
        <v>2572</v>
      </c>
      <c r="H642" s="212" t="s">
        <v>2573</v>
      </c>
      <c r="I642" s="212" t="s">
        <v>164</v>
      </c>
      <c r="J642" s="473">
        <v>1800000</v>
      </c>
      <c r="K642" s="212" t="s">
        <v>138</v>
      </c>
      <c r="L642" s="212" t="s">
        <v>139</v>
      </c>
      <c r="M642" s="212" t="s">
        <v>44</v>
      </c>
      <c r="N642" s="212" t="s">
        <v>45</v>
      </c>
      <c r="O642" s="212" t="s">
        <v>142</v>
      </c>
      <c r="P642" s="212" t="s">
        <v>43</v>
      </c>
      <c r="R642" s="212">
        <v>695</v>
      </c>
      <c r="S642" s="479">
        <v>44370</v>
      </c>
      <c r="T642" s="212" t="s">
        <v>4547</v>
      </c>
      <c r="U642" s="539">
        <v>1300000</v>
      </c>
      <c r="V642" s="539"/>
      <c r="W642" s="212"/>
      <c r="X642" s="530" t="s">
        <v>4548</v>
      </c>
      <c r="Y642" s="491">
        <v>44371</v>
      </c>
      <c r="Z642" s="491">
        <v>44371</v>
      </c>
      <c r="AA642" s="491">
        <v>44377</v>
      </c>
      <c r="AB642" s="493" t="s">
        <v>3031</v>
      </c>
      <c r="AC642" s="530" t="s">
        <v>3306</v>
      </c>
      <c r="AD642" s="493" t="s">
        <v>3032</v>
      </c>
      <c r="AE642" s="493" t="s">
        <v>3033</v>
      </c>
      <c r="AF642" s="496">
        <v>1300000</v>
      </c>
      <c r="AG642" s="474"/>
      <c r="AM642" s="306">
        <v>203900</v>
      </c>
    </row>
    <row r="643" spans="1:39" x14ac:dyDescent="0.25">
      <c r="A643" s="313" t="s">
        <v>2145</v>
      </c>
      <c r="B643" s="419">
        <v>30000000</v>
      </c>
      <c r="C643" s="212" t="s">
        <v>2571</v>
      </c>
      <c r="D643" s="212">
        <v>633</v>
      </c>
      <c r="E643" s="309">
        <v>20214000030783</v>
      </c>
      <c r="F643" s="479">
        <v>44370</v>
      </c>
      <c r="G643" s="478" t="s">
        <v>2598</v>
      </c>
      <c r="H643" s="212" t="s">
        <v>2599</v>
      </c>
      <c r="I643" s="212" t="s">
        <v>117</v>
      </c>
      <c r="J643" s="475">
        <v>30000000</v>
      </c>
      <c r="K643" s="212" t="s">
        <v>112</v>
      </c>
      <c r="L643" s="212" t="s">
        <v>2600</v>
      </c>
      <c r="M643" s="212" t="s">
        <v>44</v>
      </c>
      <c r="N643" s="212" t="s">
        <v>45</v>
      </c>
      <c r="O643" s="212" t="s">
        <v>63</v>
      </c>
      <c r="P643" s="212" t="s">
        <v>43</v>
      </c>
      <c r="R643" s="212">
        <v>698</v>
      </c>
      <c r="S643" s="479">
        <v>44371</v>
      </c>
      <c r="T643" s="212" t="s">
        <v>4549</v>
      </c>
      <c r="U643" s="539">
        <v>30000000</v>
      </c>
      <c r="V643" s="539"/>
      <c r="W643" s="540"/>
      <c r="X643" s="211"/>
      <c r="Y643" s="211"/>
      <c r="Z643" s="211"/>
      <c r="AA643" s="211"/>
      <c r="AB643" s="212"/>
      <c r="AD643" s="212"/>
      <c r="AF643" s="475"/>
      <c r="AM643" s="212"/>
    </row>
    <row r="644" spans="1:39" x14ac:dyDescent="0.25">
      <c r="A644" s="313"/>
      <c r="B644" s="419" t="s">
        <v>4324</v>
      </c>
      <c r="C644" s="212" t="s">
        <v>4550</v>
      </c>
      <c r="D644" s="212">
        <v>634</v>
      </c>
      <c r="E644" s="309">
        <v>20214000030793</v>
      </c>
      <c r="F644" s="479">
        <v>44370</v>
      </c>
      <c r="G644" s="478" t="s">
        <v>2598</v>
      </c>
      <c r="H644" s="212" t="s">
        <v>2599</v>
      </c>
      <c r="I644" s="212" t="s">
        <v>117</v>
      </c>
      <c r="J644" s="475">
        <v>15627675</v>
      </c>
      <c r="K644" s="212" t="s">
        <v>112</v>
      </c>
      <c r="L644" s="212" t="s">
        <v>2600</v>
      </c>
      <c r="M644" s="212" t="s">
        <v>44</v>
      </c>
      <c r="N644" s="212" t="s">
        <v>45</v>
      </c>
      <c r="O644" s="212" t="s">
        <v>63</v>
      </c>
      <c r="P644" s="212" t="s">
        <v>4551</v>
      </c>
      <c r="R644" s="212">
        <v>699</v>
      </c>
      <c r="S644" s="479">
        <v>44371</v>
      </c>
      <c r="T644" s="212" t="s">
        <v>4552</v>
      </c>
      <c r="U644" s="539">
        <v>15627675</v>
      </c>
      <c r="V644" s="539"/>
      <c r="W644" s="540"/>
      <c r="X644" s="211"/>
      <c r="Y644" s="211"/>
      <c r="Z644" s="211"/>
      <c r="AA644" s="211"/>
      <c r="AB644" s="212"/>
      <c r="AD644" s="212"/>
      <c r="AF644" s="475"/>
      <c r="AM644" s="212"/>
    </row>
    <row r="645" spans="1:39" s="451" customFormat="1" x14ac:dyDescent="0.25">
      <c r="A645" s="449"/>
      <c r="B645" s="450"/>
      <c r="D645" s="451">
        <v>634</v>
      </c>
      <c r="E645" s="452">
        <v>20214000030793</v>
      </c>
      <c r="F645" s="453">
        <v>44370</v>
      </c>
      <c r="G645" s="452" t="s">
        <v>2605</v>
      </c>
      <c r="H645" s="451" t="s">
        <v>2606</v>
      </c>
      <c r="I645" s="451" t="s">
        <v>47</v>
      </c>
      <c r="J645" s="454">
        <v>5209225</v>
      </c>
      <c r="K645" s="451" t="s">
        <v>37</v>
      </c>
      <c r="L645" s="451" t="s">
        <v>2607</v>
      </c>
      <c r="M645" s="451" t="s">
        <v>44</v>
      </c>
      <c r="N645" s="451" t="s">
        <v>45</v>
      </c>
      <c r="O645" s="212" t="s">
        <v>310</v>
      </c>
      <c r="P645" s="451" t="s">
        <v>4551</v>
      </c>
      <c r="R645" s="212">
        <v>699</v>
      </c>
      <c r="S645" s="479">
        <v>44371</v>
      </c>
      <c r="T645" s="212" t="s">
        <v>4552</v>
      </c>
      <c r="U645" s="539">
        <v>5209225</v>
      </c>
      <c r="V645" s="455"/>
      <c r="W645" s="456"/>
      <c r="X645" s="457"/>
      <c r="Y645" s="457"/>
      <c r="Z645" s="457"/>
      <c r="AA645" s="457"/>
      <c r="AC645" s="457"/>
      <c r="AF645" s="458"/>
      <c r="AH645" s="458"/>
      <c r="AI645" s="458"/>
      <c r="AJ645" s="458"/>
      <c r="AK645" s="458"/>
      <c r="AL645" s="458"/>
      <c r="AM645" s="212"/>
    </row>
    <row r="646" spans="1:39" x14ac:dyDescent="0.25">
      <c r="A646" s="313" t="s">
        <v>1799</v>
      </c>
      <c r="B646" s="419">
        <v>566352000</v>
      </c>
      <c r="C646" s="212" t="s">
        <v>4553</v>
      </c>
      <c r="D646" s="541">
        <v>635</v>
      </c>
      <c r="E646" s="309">
        <v>20215000030673</v>
      </c>
      <c r="F646" s="479">
        <v>44370</v>
      </c>
      <c r="G646" s="478" t="s">
        <v>2565</v>
      </c>
      <c r="H646" s="212" t="s">
        <v>2566</v>
      </c>
      <c r="I646" s="212" t="s">
        <v>228</v>
      </c>
      <c r="J646" s="480">
        <v>566352000</v>
      </c>
      <c r="K646" s="212" t="s">
        <v>223</v>
      </c>
      <c r="L646" s="212" t="s">
        <v>257</v>
      </c>
      <c r="M646" s="212" t="s">
        <v>44</v>
      </c>
      <c r="N646" s="212" t="s">
        <v>45</v>
      </c>
      <c r="O646" s="212" t="s">
        <v>63</v>
      </c>
      <c r="P646" s="212" t="s">
        <v>676</v>
      </c>
      <c r="R646" s="212">
        <v>697</v>
      </c>
      <c r="S646" s="479">
        <v>44371</v>
      </c>
      <c r="T646" s="212" t="s">
        <v>4554</v>
      </c>
      <c r="U646" s="539">
        <v>566352000</v>
      </c>
      <c r="V646" s="539"/>
      <c r="W646" s="540"/>
      <c r="X646" s="211"/>
      <c r="Y646" s="211"/>
      <c r="Z646" s="211"/>
      <c r="AA646" s="211"/>
      <c r="AB646" s="212"/>
      <c r="AD646" s="212"/>
      <c r="AF646" s="475"/>
      <c r="AM646" s="212"/>
    </row>
    <row r="647" spans="1:39" x14ac:dyDescent="0.25">
      <c r="A647" s="476" t="s">
        <v>1814</v>
      </c>
      <c r="B647" s="477">
        <v>439581220</v>
      </c>
      <c r="C647" s="212" t="s">
        <v>4555</v>
      </c>
      <c r="D647" s="212">
        <v>636</v>
      </c>
      <c r="E647" s="478">
        <v>20213000031073</v>
      </c>
      <c r="F647" s="479">
        <v>44370</v>
      </c>
      <c r="G647" s="478" t="s">
        <v>2565</v>
      </c>
      <c r="H647" s="212" t="s">
        <v>2566</v>
      </c>
      <c r="I647" s="212" t="s">
        <v>432</v>
      </c>
      <c r="J647" s="480">
        <v>439581220</v>
      </c>
      <c r="K647" s="212" t="s">
        <v>342</v>
      </c>
      <c r="L647" s="212" t="s">
        <v>351</v>
      </c>
      <c r="M647" s="212" t="s">
        <v>44</v>
      </c>
      <c r="N647" s="212" t="s">
        <v>45</v>
      </c>
      <c r="O647" s="212" t="s">
        <v>63</v>
      </c>
      <c r="P647" s="212" t="s">
        <v>4491</v>
      </c>
      <c r="R647" s="212">
        <v>700</v>
      </c>
      <c r="S647" s="479">
        <v>44371</v>
      </c>
      <c r="T647" s="212" t="s">
        <v>4556</v>
      </c>
      <c r="U647" s="539">
        <v>439581220</v>
      </c>
      <c r="V647" s="539"/>
      <c r="W647" s="540"/>
      <c r="X647" s="211"/>
      <c r="Y647" s="211"/>
      <c r="Z647" s="211"/>
      <c r="AA647" s="211"/>
      <c r="AB647" s="212"/>
      <c r="AD647" s="212"/>
      <c r="AF647" s="475"/>
      <c r="AM647" s="212"/>
    </row>
    <row r="648" spans="1:39" x14ac:dyDescent="0.25">
      <c r="A648" s="449"/>
      <c r="B648" s="419" t="s">
        <v>4324</v>
      </c>
      <c r="C648" s="212" t="s">
        <v>4557</v>
      </c>
      <c r="D648" s="212">
        <v>637</v>
      </c>
      <c r="E648" s="478">
        <v>20212000031083</v>
      </c>
      <c r="F648" s="479">
        <v>44370</v>
      </c>
      <c r="G648" s="478" t="s">
        <v>2565</v>
      </c>
      <c r="H648" s="212" t="s">
        <v>2566</v>
      </c>
      <c r="I648" s="212" t="s">
        <v>391</v>
      </c>
      <c r="J648" s="480">
        <v>12092439</v>
      </c>
      <c r="K648" s="212" t="s">
        <v>2636</v>
      </c>
      <c r="L648" s="212" t="s">
        <v>4448</v>
      </c>
      <c r="M648" s="212" t="s">
        <v>44</v>
      </c>
      <c r="N648" s="212" t="s">
        <v>2861</v>
      </c>
      <c r="O648" s="212" t="s">
        <v>255</v>
      </c>
      <c r="P648" s="212" t="s">
        <v>4332</v>
      </c>
      <c r="R648" s="212">
        <v>701</v>
      </c>
      <c r="S648" s="479">
        <v>44371</v>
      </c>
      <c r="T648" s="212" t="s">
        <v>4558</v>
      </c>
      <c r="U648" s="539">
        <v>12092439</v>
      </c>
      <c r="V648" s="539"/>
      <c r="W648" s="540"/>
      <c r="X648" s="211"/>
      <c r="Y648" s="211"/>
      <c r="Z648" s="211"/>
      <c r="AA648" s="211"/>
      <c r="AB648" s="212"/>
      <c r="AD648" s="212"/>
      <c r="AF648" s="475"/>
      <c r="AM648" s="212"/>
    </row>
    <row r="649" spans="1:39" x14ac:dyDescent="0.25">
      <c r="A649" s="449"/>
      <c r="B649" s="419" t="s">
        <v>4324</v>
      </c>
      <c r="C649" s="212" t="s">
        <v>4559</v>
      </c>
      <c r="D649" s="212">
        <v>638</v>
      </c>
      <c r="E649" s="478">
        <v>20215000031193</v>
      </c>
      <c r="F649" s="479">
        <v>44371</v>
      </c>
      <c r="G649" s="478" t="s">
        <v>2565</v>
      </c>
      <c r="H649" s="212" t="s">
        <v>2566</v>
      </c>
      <c r="I649" s="212" t="s">
        <v>228</v>
      </c>
      <c r="J649" s="475">
        <v>3066667</v>
      </c>
      <c r="K649" s="212" t="s">
        <v>223</v>
      </c>
      <c r="L649" s="212" t="s">
        <v>233</v>
      </c>
      <c r="M649" s="212" t="s">
        <v>44</v>
      </c>
      <c r="N649" s="212" t="s">
        <v>45</v>
      </c>
      <c r="O649" s="212" t="s">
        <v>63</v>
      </c>
      <c r="P649" s="212" t="s">
        <v>4551</v>
      </c>
      <c r="R649" s="212">
        <v>702</v>
      </c>
      <c r="S649" s="479">
        <v>44372</v>
      </c>
      <c r="T649" s="212" t="s">
        <v>4560</v>
      </c>
      <c r="U649" s="539">
        <v>3066667</v>
      </c>
      <c r="V649" s="539"/>
      <c r="W649" s="540"/>
      <c r="X649" s="211"/>
      <c r="Y649" s="211"/>
      <c r="Z649" s="211"/>
      <c r="AA649" s="211"/>
      <c r="AB649" s="212"/>
      <c r="AD649" s="212"/>
      <c r="AF649" s="475"/>
      <c r="AM649" s="212"/>
    </row>
    <row r="650" spans="1:39" x14ac:dyDescent="0.25">
      <c r="A650" s="449"/>
      <c r="B650" s="419" t="s">
        <v>4324</v>
      </c>
      <c r="C650" s="212" t="s">
        <v>4561</v>
      </c>
      <c r="D650" s="212">
        <v>639</v>
      </c>
      <c r="E650" s="478">
        <v>20215000031203</v>
      </c>
      <c r="F650" s="479">
        <v>44371</v>
      </c>
      <c r="G650" s="478" t="s">
        <v>2565</v>
      </c>
      <c r="H650" s="212" t="s">
        <v>2566</v>
      </c>
      <c r="I650" s="212" t="s">
        <v>228</v>
      </c>
      <c r="J650" s="475">
        <v>53103705</v>
      </c>
      <c r="K650" s="212" t="s">
        <v>223</v>
      </c>
      <c r="L650" s="212" t="s">
        <v>233</v>
      </c>
      <c r="M650" s="212" t="s">
        <v>44</v>
      </c>
      <c r="N650" s="212" t="s">
        <v>45</v>
      </c>
      <c r="O650" s="212" t="s">
        <v>63</v>
      </c>
      <c r="P650" s="212" t="s">
        <v>4551</v>
      </c>
      <c r="R650" s="212">
        <v>703</v>
      </c>
      <c r="S650" s="479">
        <v>44372</v>
      </c>
      <c r="T650" s="212" t="s">
        <v>4562</v>
      </c>
      <c r="U650" s="539">
        <v>53103705</v>
      </c>
      <c r="V650" s="539"/>
      <c r="W650" s="540"/>
      <c r="X650" s="211"/>
      <c r="Y650" s="211"/>
      <c r="Z650" s="211"/>
      <c r="AA650" s="211"/>
      <c r="AB650" s="212"/>
      <c r="AD650" s="212"/>
      <c r="AF650" s="475"/>
      <c r="AM650" s="212"/>
    </row>
    <row r="651" spans="1:39" x14ac:dyDescent="0.25">
      <c r="A651" s="313" t="s">
        <v>2162</v>
      </c>
      <c r="B651" s="477">
        <v>5838000000</v>
      </c>
      <c r="C651" s="212" t="s">
        <v>4563</v>
      </c>
      <c r="D651" s="212">
        <v>640</v>
      </c>
      <c r="E651" s="478">
        <v>20214000031283</v>
      </c>
      <c r="F651" s="479">
        <v>44371</v>
      </c>
      <c r="G651" s="478" t="s">
        <v>2598</v>
      </c>
      <c r="H651" s="212" t="s">
        <v>2599</v>
      </c>
      <c r="I651" s="212" t="s">
        <v>117</v>
      </c>
      <c r="J651" s="475">
        <v>4180303080</v>
      </c>
      <c r="K651" s="212" t="s">
        <v>112</v>
      </c>
      <c r="L651" s="212" t="s">
        <v>113</v>
      </c>
      <c r="M651" s="212" t="s">
        <v>44</v>
      </c>
      <c r="N651" s="212" t="s">
        <v>45</v>
      </c>
      <c r="O651" s="212" t="s">
        <v>142</v>
      </c>
      <c r="P651" s="212" t="s">
        <v>676</v>
      </c>
      <c r="R651" s="212">
        <v>704</v>
      </c>
      <c r="S651" s="479">
        <v>44372</v>
      </c>
      <c r="T651" s="212" t="s">
        <v>4564</v>
      </c>
      <c r="U651" s="539">
        <v>4180303080</v>
      </c>
      <c r="V651" s="539"/>
      <c r="W651" s="540"/>
      <c r="X651" s="211"/>
      <c r="Y651" s="211"/>
      <c r="Z651" s="211"/>
      <c r="AA651" s="211"/>
      <c r="AB651" s="212"/>
      <c r="AD651" s="212"/>
      <c r="AF651" s="475"/>
      <c r="AM651" s="212"/>
    </row>
    <row r="652" spans="1:39" x14ac:dyDescent="0.25">
      <c r="A652" s="476" t="s">
        <v>2059</v>
      </c>
      <c r="B652" s="477">
        <v>28200000</v>
      </c>
      <c r="C652" s="212" t="s">
        <v>2571</v>
      </c>
      <c r="D652" s="212">
        <v>641</v>
      </c>
      <c r="E652" s="478">
        <v>20214000031303</v>
      </c>
      <c r="F652" s="479">
        <v>44371</v>
      </c>
      <c r="G652" s="478" t="s">
        <v>2605</v>
      </c>
      <c r="H652" s="212" t="s">
        <v>2606</v>
      </c>
      <c r="I652" s="212" t="s">
        <v>47</v>
      </c>
      <c r="J652" s="480">
        <v>23500000</v>
      </c>
      <c r="K652" s="212" t="s">
        <v>37</v>
      </c>
      <c r="L652" s="212" t="s">
        <v>2607</v>
      </c>
      <c r="M652" s="212" t="s">
        <v>44</v>
      </c>
      <c r="N652" s="212" t="s">
        <v>45</v>
      </c>
      <c r="O652" s="212" t="s">
        <v>310</v>
      </c>
      <c r="P652" s="210" t="s">
        <v>43</v>
      </c>
      <c r="R652" s="212">
        <v>705</v>
      </c>
      <c r="S652" s="479">
        <v>44372</v>
      </c>
      <c r="T652" s="212" t="s">
        <v>4565</v>
      </c>
      <c r="U652" s="539">
        <v>23500000</v>
      </c>
      <c r="V652" s="539"/>
      <c r="W652" s="540"/>
      <c r="X652" s="211"/>
      <c r="Y652" s="211"/>
      <c r="Z652" s="211"/>
      <c r="AA652" s="211"/>
      <c r="AB652" s="212"/>
      <c r="AD652" s="212"/>
      <c r="AF652" s="475"/>
      <c r="AM652" s="212"/>
    </row>
    <row r="653" spans="1:39" x14ac:dyDescent="0.25">
      <c r="A653" s="476" t="s">
        <v>2274</v>
      </c>
      <c r="B653" s="477">
        <v>100000000</v>
      </c>
      <c r="C653" s="212" t="s">
        <v>4566</v>
      </c>
      <c r="D653" s="212">
        <v>642</v>
      </c>
      <c r="E653" s="478">
        <v>20213000030273</v>
      </c>
      <c r="F653" s="479">
        <v>44372</v>
      </c>
      <c r="G653" s="478" t="s">
        <v>2565</v>
      </c>
      <c r="H653" s="212" t="s">
        <v>2566</v>
      </c>
      <c r="I653" s="212" t="s">
        <v>432</v>
      </c>
      <c r="J653" s="475">
        <v>100000000</v>
      </c>
      <c r="K653" s="212" t="s">
        <v>342</v>
      </c>
      <c r="L653" s="212" t="s">
        <v>351</v>
      </c>
      <c r="M653" s="212" t="s">
        <v>44</v>
      </c>
      <c r="N653" s="212" t="s">
        <v>45</v>
      </c>
      <c r="O653" s="212" t="s">
        <v>63</v>
      </c>
      <c r="P653" s="212" t="s">
        <v>4491</v>
      </c>
      <c r="R653" s="212">
        <v>706</v>
      </c>
      <c r="S653" s="479">
        <v>44372</v>
      </c>
      <c r="T653" s="212" t="s">
        <v>4567</v>
      </c>
      <c r="U653" s="539">
        <v>100000000</v>
      </c>
      <c r="V653" s="539"/>
      <c r="W653" s="540"/>
      <c r="X653" s="211"/>
      <c r="Y653" s="211"/>
      <c r="Z653" s="211"/>
      <c r="AA653" s="211"/>
      <c r="AB653" s="212"/>
      <c r="AD653" s="212"/>
      <c r="AF653" s="475"/>
      <c r="AM653" s="212"/>
    </row>
    <row r="654" spans="1:39" x14ac:dyDescent="0.25">
      <c r="B654" s="477" t="s">
        <v>4324</v>
      </c>
      <c r="C654" s="212" t="s">
        <v>4568</v>
      </c>
      <c r="D654" s="212">
        <v>643</v>
      </c>
      <c r="E654" s="478">
        <v>20215000031473</v>
      </c>
      <c r="F654" s="479">
        <v>44375</v>
      </c>
      <c r="G654" s="478" t="s">
        <v>2565</v>
      </c>
      <c r="H654" s="212" t="s">
        <v>2566</v>
      </c>
      <c r="I654" s="212" t="s">
        <v>228</v>
      </c>
      <c r="J654" s="480">
        <v>4290000</v>
      </c>
      <c r="K654" s="212" t="s">
        <v>223</v>
      </c>
      <c r="L654" s="212" t="s">
        <v>233</v>
      </c>
      <c r="M654" s="212" t="s">
        <v>44</v>
      </c>
      <c r="N654" s="212" t="s">
        <v>45</v>
      </c>
      <c r="O654" s="212" t="s">
        <v>63</v>
      </c>
      <c r="P654" s="212" t="s">
        <v>4551</v>
      </c>
      <c r="R654" s="212">
        <v>709</v>
      </c>
      <c r="S654" s="479">
        <v>44375</v>
      </c>
      <c r="T654" s="212" t="s">
        <v>4569</v>
      </c>
      <c r="U654" s="480">
        <v>4290000</v>
      </c>
      <c r="V654" s="539"/>
      <c r="W654" s="324"/>
      <c r="X654" s="211"/>
      <c r="Y654" s="211"/>
      <c r="Z654" s="211"/>
      <c r="AA654" s="211"/>
      <c r="AB654" s="212"/>
      <c r="AD654" s="212"/>
      <c r="AF654" s="480"/>
      <c r="AH654" s="480"/>
      <c r="AI654" s="480"/>
      <c r="AJ654" s="480"/>
      <c r="AK654" s="480"/>
      <c r="AL654" s="480"/>
      <c r="AM654" s="212"/>
    </row>
    <row r="655" spans="1:39" x14ac:dyDescent="0.25">
      <c r="A655" s="476" t="s">
        <v>4570</v>
      </c>
      <c r="B655" s="477">
        <v>2500000000</v>
      </c>
      <c r="C655" s="212" t="s">
        <v>4566</v>
      </c>
      <c r="D655" s="212">
        <v>644</v>
      </c>
      <c r="E655" s="478">
        <v>20215000031503</v>
      </c>
      <c r="F655" s="479">
        <v>44375</v>
      </c>
      <c r="G655" s="478" t="s">
        <v>2565</v>
      </c>
      <c r="H655" s="212" t="s">
        <v>2566</v>
      </c>
      <c r="I655" s="212" t="s">
        <v>228</v>
      </c>
      <c r="J655" s="480">
        <v>2500000000</v>
      </c>
      <c r="K655" s="212" t="s">
        <v>223</v>
      </c>
      <c r="L655" s="212" t="s">
        <v>257</v>
      </c>
      <c r="M655" s="212" t="s">
        <v>44</v>
      </c>
      <c r="N655" s="212" t="s">
        <v>45</v>
      </c>
      <c r="O655" s="212" t="s">
        <v>310</v>
      </c>
      <c r="P655" s="212" t="s">
        <v>772</v>
      </c>
      <c r="R655" s="212">
        <v>710</v>
      </c>
      <c r="S655" s="479">
        <v>44375</v>
      </c>
      <c r="T655" s="212" t="s">
        <v>4571</v>
      </c>
      <c r="U655" s="480">
        <v>2500000000</v>
      </c>
      <c r="V655" s="539"/>
      <c r="W655" s="542"/>
      <c r="X655" s="211"/>
      <c r="Y655" s="211"/>
      <c r="Z655" s="211"/>
      <c r="AA655" s="211"/>
      <c r="AB655" s="212"/>
      <c r="AD655" s="212"/>
      <c r="AF655" s="480"/>
      <c r="AH655" s="480"/>
      <c r="AI655" s="480"/>
      <c r="AJ655" s="480"/>
      <c r="AK655" s="480"/>
      <c r="AL655" s="480"/>
      <c r="AM655" s="212"/>
    </row>
    <row r="656" spans="1:39" x14ac:dyDescent="0.25">
      <c r="A656" s="476" t="s">
        <v>4572</v>
      </c>
      <c r="B656" s="477">
        <v>50150000</v>
      </c>
      <c r="C656" s="212" t="s">
        <v>2571</v>
      </c>
      <c r="D656" s="212">
        <v>645</v>
      </c>
      <c r="E656" s="478">
        <v>20215000031513</v>
      </c>
      <c r="F656" s="479">
        <v>44375</v>
      </c>
      <c r="G656" s="478" t="s">
        <v>2565</v>
      </c>
      <c r="H656" s="212" t="s">
        <v>2566</v>
      </c>
      <c r="I656" s="212" t="s">
        <v>228</v>
      </c>
      <c r="J656" s="480">
        <v>50150000</v>
      </c>
      <c r="K656" s="212" t="s">
        <v>223</v>
      </c>
      <c r="L656" s="212" t="s">
        <v>233</v>
      </c>
      <c r="M656" s="212" t="s">
        <v>44</v>
      </c>
      <c r="N656" s="212" t="s">
        <v>45</v>
      </c>
      <c r="O656" s="212" t="s">
        <v>63</v>
      </c>
      <c r="P656" s="212" t="s">
        <v>676</v>
      </c>
      <c r="R656" s="212">
        <v>711</v>
      </c>
      <c r="S656" s="479">
        <v>44375</v>
      </c>
      <c r="T656" s="212" t="s">
        <v>4573</v>
      </c>
      <c r="U656" s="480">
        <v>50150000</v>
      </c>
      <c r="V656" s="539"/>
      <c r="W656" s="324"/>
      <c r="X656" s="211"/>
      <c r="Y656" s="211"/>
      <c r="Z656" s="211"/>
      <c r="AA656" s="211"/>
      <c r="AB656" s="212"/>
      <c r="AD656" s="212"/>
      <c r="AF656" s="480"/>
      <c r="AH656" s="480"/>
      <c r="AI656" s="480"/>
      <c r="AJ656" s="480"/>
      <c r="AK656" s="480"/>
      <c r="AL656" s="480"/>
      <c r="AM656" s="212"/>
    </row>
    <row r="657" spans="1:39" x14ac:dyDescent="0.25">
      <c r="A657" s="476" t="s">
        <v>2276</v>
      </c>
      <c r="B657" s="477">
        <v>59000000</v>
      </c>
      <c r="C657" s="212" t="s">
        <v>4574</v>
      </c>
      <c r="D657" s="212">
        <v>646</v>
      </c>
      <c r="E657" s="478">
        <v>20213000031583</v>
      </c>
      <c r="F657" s="479">
        <v>44375</v>
      </c>
      <c r="G657" s="478" t="s">
        <v>2565</v>
      </c>
      <c r="H657" s="212" t="s">
        <v>2566</v>
      </c>
      <c r="I657" s="212" t="s">
        <v>432</v>
      </c>
      <c r="J657" s="475">
        <v>59000000</v>
      </c>
      <c r="K657" s="212" t="s">
        <v>342</v>
      </c>
      <c r="L657" s="212" t="s">
        <v>351</v>
      </c>
      <c r="M657" s="212" t="s">
        <v>44</v>
      </c>
      <c r="N657" s="212" t="s">
        <v>45</v>
      </c>
      <c r="O657" s="212" t="s">
        <v>63</v>
      </c>
      <c r="P657" s="212" t="s">
        <v>4491</v>
      </c>
      <c r="R657" s="212">
        <v>714</v>
      </c>
      <c r="S657" s="479">
        <v>44376</v>
      </c>
      <c r="T657" s="212" t="s">
        <v>4575</v>
      </c>
      <c r="U657" s="539">
        <v>59000000</v>
      </c>
      <c r="V657" s="539"/>
      <c r="W657" s="540"/>
      <c r="X657" s="211"/>
      <c r="Y657" s="211"/>
      <c r="Z657" s="211"/>
      <c r="AA657" s="211"/>
      <c r="AB657" s="212"/>
      <c r="AD657" s="212"/>
      <c r="AF657" s="475"/>
      <c r="AM657" s="212"/>
    </row>
    <row r="658" spans="1:39" x14ac:dyDescent="0.25">
      <c r="A658" s="476" t="s">
        <v>2238</v>
      </c>
      <c r="B658" s="477">
        <v>650000000</v>
      </c>
      <c r="C658" s="212" t="s">
        <v>4576</v>
      </c>
      <c r="D658" s="212">
        <v>647</v>
      </c>
      <c r="E658" s="478">
        <v>20211400031553</v>
      </c>
      <c r="F658" s="479">
        <v>44375</v>
      </c>
      <c r="G658" s="478" t="s">
        <v>2572</v>
      </c>
      <c r="H658" s="212" t="s">
        <v>2573</v>
      </c>
      <c r="I658" s="212" t="s">
        <v>184</v>
      </c>
      <c r="J658" s="475">
        <v>650000000</v>
      </c>
      <c r="K658" s="212" t="s">
        <v>138</v>
      </c>
      <c r="L658" s="212" t="s">
        <v>181</v>
      </c>
      <c r="M658" s="212" t="s">
        <v>44</v>
      </c>
      <c r="N658" s="212" t="s">
        <v>45</v>
      </c>
      <c r="O658" s="212" t="s">
        <v>194</v>
      </c>
      <c r="P658" s="212" t="s">
        <v>676</v>
      </c>
      <c r="R658" s="212">
        <v>712</v>
      </c>
      <c r="S658" s="479">
        <v>44376</v>
      </c>
      <c r="T658" s="486" t="s">
        <v>4577</v>
      </c>
      <c r="U658" s="692">
        <v>650000000</v>
      </c>
      <c r="V658" s="539"/>
      <c r="W658" s="540"/>
      <c r="X658" s="211"/>
      <c r="Y658" s="211"/>
      <c r="Z658" s="211"/>
      <c r="AA658" s="211"/>
      <c r="AB658" s="212"/>
      <c r="AD658" s="212"/>
      <c r="AF658" s="475"/>
      <c r="AM658" s="212"/>
    </row>
    <row r="659" spans="1:39" x14ac:dyDescent="0.25">
      <c r="B659" s="543" t="s">
        <v>4315</v>
      </c>
      <c r="C659" s="212" t="s">
        <v>4578</v>
      </c>
      <c r="D659" s="212">
        <v>648</v>
      </c>
      <c r="E659" s="478">
        <v>20211300031573</v>
      </c>
      <c r="F659" s="479">
        <v>44375</v>
      </c>
      <c r="G659" s="478" t="s">
        <v>2572</v>
      </c>
      <c r="H659" s="212" t="s">
        <v>2573</v>
      </c>
      <c r="I659" s="212" t="s">
        <v>210</v>
      </c>
      <c r="J659" s="475">
        <v>10902312</v>
      </c>
      <c r="K659" s="212" t="s">
        <v>138</v>
      </c>
      <c r="L659" s="212" t="s">
        <v>139</v>
      </c>
      <c r="M659" s="212" t="s">
        <v>44</v>
      </c>
      <c r="N659" s="212" t="s">
        <v>45</v>
      </c>
      <c r="O659" s="212" t="s">
        <v>142</v>
      </c>
      <c r="P659" s="212" t="s">
        <v>43</v>
      </c>
      <c r="R659" s="212">
        <v>713</v>
      </c>
      <c r="S659" s="490">
        <v>44376</v>
      </c>
      <c r="T659" s="486" t="s">
        <v>4579</v>
      </c>
      <c r="U659" s="692">
        <v>10902312</v>
      </c>
      <c r="V659" s="539"/>
      <c r="W659" s="540"/>
      <c r="X659" s="211"/>
      <c r="Y659" s="211"/>
      <c r="Z659" s="211"/>
      <c r="AA659" s="211"/>
      <c r="AB659" s="212"/>
      <c r="AD659" s="212"/>
      <c r="AF659" s="475"/>
      <c r="AM659" s="212"/>
    </row>
    <row r="660" spans="1:39" x14ac:dyDescent="0.25">
      <c r="A660" s="476" t="s">
        <v>2513</v>
      </c>
      <c r="B660" s="477">
        <v>21804000</v>
      </c>
      <c r="C660" s="212" t="s">
        <v>2571</v>
      </c>
      <c r="D660" s="212">
        <v>649</v>
      </c>
      <c r="E660" s="478">
        <v>20214000031653</v>
      </c>
      <c r="F660" s="479">
        <v>44376</v>
      </c>
      <c r="G660" s="478" t="s">
        <v>2598</v>
      </c>
      <c r="H660" s="212" t="s">
        <v>2599</v>
      </c>
      <c r="I660" s="212" t="s">
        <v>117</v>
      </c>
      <c r="J660" s="475">
        <v>18170000</v>
      </c>
      <c r="K660" s="212" t="s">
        <v>112</v>
      </c>
      <c r="L660" s="212" t="s">
        <v>2600</v>
      </c>
      <c r="M660" s="212" t="s">
        <v>44</v>
      </c>
      <c r="N660" s="212" t="s">
        <v>45</v>
      </c>
      <c r="O660" s="212" t="s">
        <v>63</v>
      </c>
      <c r="P660" s="212" t="s">
        <v>43</v>
      </c>
      <c r="R660" s="212">
        <v>716</v>
      </c>
      <c r="S660" s="479">
        <v>44377</v>
      </c>
      <c r="T660" s="212" t="s">
        <v>4580</v>
      </c>
      <c r="U660" s="539">
        <v>18170000</v>
      </c>
      <c r="V660" s="539"/>
      <c r="W660" s="540"/>
      <c r="X660" s="211"/>
      <c r="Y660" s="211"/>
      <c r="Z660" s="211"/>
      <c r="AA660" s="211"/>
      <c r="AB660" s="212"/>
      <c r="AD660" s="212"/>
      <c r="AF660" s="475"/>
      <c r="AM660" s="212"/>
    </row>
    <row r="661" spans="1:39" s="312" customFormat="1" x14ac:dyDescent="0.25">
      <c r="A661" s="361" t="s">
        <v>4581</v>
      </c>
      <c r="B661" s="417">
        <v>80000000</v>
      </c>
      <c r="C661" s="312" t="s">
        <v>4582</v>
      </c>
      <c r="D661" s="312">
        <v>650</v>
      </c>
      <c r="E661" s="325">
        <v>20216000031753</v>
      </c>
      <c r="F661" s="315">
        <v>44376</v>
      </c>
      <c r="G661" s="325" t="s">
        <v>2565</v>
      </c>
      <c r="H661" s="312" t="s">
        <v>2566</v>
      </c>
      <c r="I661" s="312" t="s">
        <v>228</v>
      </c>
      <c r="J661" s="406">
        <v>40000000</v>
      </c>
      <c r="K661" s="312" t="s">
        <v>223</v>
      </c>
      <c r="L661" s="364" t="s">
        <v>224</v>
      </c>
      <c r="M661" s="312" t="s">
        <v>44</v>
      </c>
      <c r="N661" s="312" t="s">
        <v>2861</v>
      </c>
      <c r="O661" s="312" t="s">
        <v>132</v>
      </c>
      <c r="P661" s="312" t="s">
        <v>676</v>
      </c>
      <c r="Q661" s="312" t="s">
        <v>3225</v>
      </c>
      <c r="U661" s="447"/>
      <c r="V661" s="447"/>
      <c r="W661" s="388"/>
      <c r="X661" s="316"/>
      <c r="Y661" s="316"/>
      <c r="Z661" s="316"/>
      <c r="AA661" s="316"/>
      <c r="AC661" s="316"/>
      <c r="AF661" s="405"/>
      <c r="AH661" s="405"/>
      <c r="AI661" s="405"/>
      <c r="AJ661" s="405"/>
      <c r="AK661" s="405"/>
      <c r="AL661" s="405"/>
      <c r="AM661" s="212"/>
    </row>
    <row r="662" spans="1:39" s="312" customFormat="1" x14ac:dyDescent="0.25">
      <c r="A662" s="361"/>
      <c r="B662" s="701"/>
      <c r="D662" s="312">
        <v>650</v>
      </c>
      <c r="E662" s="325">
        <v>20216000031753</v>
      </c>
      <c r="F662" s="315">
        <v>44376</v>
      </c>
      <c r="G662" s="381" t="s">
        <v>2565</v>
      </c>
      <c r="H662" s="364" t="s">
        <v>2566</v>
      </c>
      <c r="I662" s="364" t="s">
        <v>432</v>
      </c>
      <c r="J662" s="406">
        <v>40000000</v>
      </c>
      <c r="K662" s="312" t="s">
        <v>342</v>
      </c>
      <c r="L662" s="364" t="s">
        <v>351</v>
      </c>
      <c r="M662" s="312" t="s">
        <v>44</v>
      </c>
      <c r="N662" s="364" t="s">
        <v>150</v>
      </c>
      <c r="O662" s="364" t="s">
        <v>4583</v>
      </c>
      <c r="P662" s="312" t="s">
        <v>676</v>
      </c>
      <c r="Q662" s="312" t="s">
        <v>3225</v>
      </c>
      <c r="U662" s="447"/>
      <c r="V662" s="447"/>
      <c r="W662" s="388"/>
      <c r="X662" s="316"/>
      <c r="Y662" s="316"/>
      <c r="Z662" s="316"/>
      <c r="AA662" s="316"/>
      <c r="AC662" s="316"/>
      <c r="AF662" s="405"/>
      <c r="AH662" s="405"/>
      <c r="AI662" s="405"/>
      <c r="AJ662" s="405"/>
      <c r="AK662" s="405"/>
      <c r="AL662" s="405"/>
      <c r="AM662" s="212"/>
    </row>
    <row r="663" spans="1:39" x14ac:dyDescent="0.25">
      <c r="A663" s="476" t="s">
        <v>2414</v>
      </c>
      <c r="B663" s="477">
        <v>21725000</v>
      </c>
      <c r="C663" s="212" t="s">
        <v>2571</v>
      </c>
      <c r="D663" s="212">
        <v>651</v>
      </c>
      <c r="E663" s="478">
        <v>20212000031763</v>
      </c>
      <c r="F663" s="479">
        <v>44376</v>
      </c>
      <c r="G663" s="469" t="s">
        <v>2565</v>
      </c>
      <c r="H663" s="468" t="s">
        <v>2566</v>
      </c>
      <c r="I663" s="468" t="s">
        <v>391</v>
      </c>
      <c r="J663" s="471">
        <v>21725000</v>
      </c>
      <c r="K663" s="377" t="s">
        <v>2636</v>
      </c>
      <c r="L663" s="468" t="s">
        <v>2637</v>
      </c>
      <c r="M663" s="377" t="s">
        <v>44</v>
      </c>
      <c r="N663" s="377" t="s">
        <v>45</v>
      </c>
      <c r="O663" s="468" t="s">
        <v>63</v>
      </c>
      <c r="P663" s="212" t="s">
        <v>676</v>
      </c>
      <c r="Q663" s="468"/>
      <c r="R663" s="212">
        <v>717</v>
      </c>
      <c r="S663" s="479">
        <v>44377</v>
      </c>
      <c r="T663" s="212" t="s">
        <v>4584</v>
      </c>
      <c r="U663" s="539">
        <v>21725000</v>
      </c>
      <c r="V663" s="539"/>
      <c r="W663" s="540"/>
      <c r="X663" s="211"/>
      <c r="Y663" s="211"/>
      <c r="Z663" s="211"/>
      <c r="AA663" s="211"/>
      <c r="AB663" s="212"/>
      <c r="AD663" s="212"/>
      <c r="AF663" s="475"/>
      <c r="AM663" s="212"/>
    </row>
    <row r="664" spans="1:39" x14ac:dyDescent="0.25">
      <c r="A664" s="476" t="s">
        <v>2421</v>
      </c>
      <c r="B664" s="477">
        <v>24600000</v>
      </c>
      <c r="C664" s="212" t="s">
        <v>2571</v>
      </c>
      <c r="D664" s="212">
        <v>652</v>
      </c>
      <c r="E664" s="478">
        <v>20212000031773</v>
      </c>
      <c r="F664" s="479">
        <v>44376</v>
      </c>
      <c r="G664" s="469" t="s">
        <v>2565</v>
      </c>
      <c r="H664" s="468" t="s">
        <v>2566</v>
      </c>
      <c r="I664" s="468" t="s">
        <v>391</v>
      </c>
      <c r="J664" s="471">
        <v>24600000</v>
      </c>
      <c r="K664" s="377" t="s">
        <v>2636</v>
      </c>
      <c r="L664" s="468" t="s">
        <v>2637</v>
      </c>
      <c r="M664" s="377" t="s">
        <v>44</v>
      </c>
      <c r="N664" s="377" t="s">
        <v>45</v>
      </c>
      <c r="O664" s="468" t="s">
        <v>63</v>
      </c>
      <c r="P664" s="212" t="s">
        <v>676</v>
      </c>
      <c r="R664" s="212">
        <v>718</v>
      </c>
      <c r="S664" s="479">
        <v>44377</v>
      </c>
      <c r="T664" s="212" t="s">
        <v>4585</v>
      </c>
      <c r="U664" s="539">
        <v>24600000</v>
      </c>
      <c r="V664" s="539"/>
      <c r="W664" s="540"/>
      <c r="X664" s="211"/>
      <c r="Y664" s="211"/>
      <c r="Z664" s="211"/>
      <c r="AA664" s="211"/>
      <c r="AB664" s="212"/>
      <c r="AD664" s="212"/>
      <c r="AF664" s="475"/>
      <c r="AM664" s="212"/>
    </row>
    <row r="665" spans="1:39" x14ac:dyDescent="0.25">
      <c r="A665" s="476" t="s">
        <v>2282</v>
      </c>
      <c r="B665" s="477">
        <v>45100000</v>
      </c>
      <c r="C665" s="212" t="s">
        <v>2571</v>
      </c>
      <c r="D665" s="212">
        <v>653</v>
      </c>
      <c r="E665" s="478">
        <v>20212000031783</v>
      </c>
      <c r="F665" s="479">
        <v>44376</v>
      </c>
      <c r="G665" s="469" t="s">
        <v>2565</v>
      </c>
      <c r="H665" s="468" t="s">
        <v>2566</v>
      </c>
      <c r="I665" s="468" t="s">
        <v>391</v>
      </c>
      <c r="J665" s="471">
        <v>45100000</v>
      </c>
      <c r="K665" s="377" t="s">
        <v>2636</v>
      </c>
      <c r="L665" s="468" t="s">
        <v>2637</v>
      </c>
      <c r="M665" s="377" t="s">
        <v>44</v>
      </c>
      <c r="N665" s="377" t="s">
        <v>45</v>
      </c>
      <c r="O665" s="468" t="s">
        <v>63</v>
      </c>
      <c r="P665" s="212" t="s">
        <v>676</v>
      </c>
      <c r="R665" s="212">
        <v>719</v>
      </c>
      <c r="S665" s="479">
        <v>44377</v>
      </c>
      <c r="T665" s="212" t="s">
        <v>4586</v>
      </c>
      <c r="U665" s="539">
        <v>45100000</v>
      </c>
      <c r="V665" s="539"/>
      <c r="W665" s="540"/>
      <c r="X665" s="211"/>
      <c r="Y665" s="211"/>
      <c r="Z665" s="211"/>
      <c r="AA665" s="211"/>
      <c r="AB665" s="212"/>
      <c r="AD665" s="212"/>
      <c r="AF665" s="475"/>
      <c r="AM665" s="212"/>
    </row>
    <row r="666" spans="1:39" x14ac:dyDescent="0.25">
      <c r="A666" s="476" t="s">
        <v>2283</v>
      </c>
      <c r="B666" s="477">
        <v>27500000</v>
      </c>
      <c r="C666" s="212" t="s">
        <v>2571</v>
      </c>
      <c r="D666" s="212">
        <v>654</v>
      </c>
      <c r="E666" s="478">
        <v>20212000031793</v>
      </c>
      <c r="F666" s="479">
        <v>44376</v>
      </c>
      <c r="G666" s="469" t="s">
        <v>2565</v>
      </c>
      <c r="H666" s="468" t="s">
        <v>2566</v>
      </c>
      <c r="I666" s="468" t="s">
        <v>391</v>
      </c>
      <c r="J666" s="471">
        <v>27500000</v>
      </c>
      <c r="K666" s="377" t="s">
        <v>2636</v>
      </c>
      <c r="L666" s="468" t="s">
        <v>2637</v>
      </c>
      <c r="M666" s="377" t="s">
        <v>44</v>
      </c>
      <c r="N666" s="377" t="s">
        <v>45</v>
      </c>
      <c r="O666" s="468" t="s">
        <v>63</v>
      </c>
      <c r="P666" s="212" t="s">
        <v>676</v>
      </c>
      <c r="R666" s="212">
        <v>720</v>
      </c>
      <c r="S666" s="479">
        <v>44377</v>
      </c>
      <c r="T666" s="212" t="s">
        <v>4587</v>
      </c>
      <c r="U666" s="539">
        <v>27500000</v>
      </c>
      <c r="V666" s="539"/>
      <c r="W666" s="540"/>
      <c r="X666" s="211"/>
      <c r="Y666" s="211"/>
      <c r="Z666" s="211"/>
      <c r="AA666" s="211"/>
      <c r="AB666" s="212"/>
      <c r="AD666" s="212"/>
      <c r="AF666" s="475"/>
      <c r="AM666" s="212"/>
    </row>
    <row r="667" spans="1:39" x14ac:dyDescent="0.25">
      <c r="A667" s="476" t="s">
        <v>4588</v>
      </c>
      <c r="B667" s="477">
        <v>80782875</v>
      </c>
      <c r="C667" s="212" t="s">
        <v>4589</v>
      </c>
      <c r="D667" s="212">
        <v>655</v>
      </c>
      <c r="E667" s="478">
        <v>20215000032073</v>
      </c>
      <c r="F667" s="479">
        <v>44377</v>
      </c>
      <c r="G667" s="478" t="s">
        <v>2565</v>
      </c>
      <c r="H667" s="212" t="s">
        <v>2566</v>
      </c>
      <c r="I667" s="212" t="s">
        <v>228</v>
      </c>
      <c r="J667" s="480">
        <v>80782875</v>
      </c>
      <c r="K667" s="212" t="s">
        <v>223</v>
      </c>
      <c r="L667" s="212" t="s">
        <v>257</v>
      </c>
      <c r="M667" s="212" t="s">
        <v>44</v>
      </c>
      <c r="N667" s="212" t="s">
        <v>45</v>
      </c>
      <c r="O667" s="212" t="s">
        <v>310</v>
      </c>
      <c r="P667" s="212" t="s">
        <v>772</v>
      </c>
      <c r="S667" s="212"/>
      <c r="U667" s="539"/>
      <c r="V667" s="539"/>
      <c r="W667" s="540"/>
      <c r="X667" s="211"/>
      <c r="Y667" s="211"/>
      <c r="Z667" s="211"/>
      <c r="AA667" s="211"/>
      <c r="AB667" s="212"/>
      <c r="AD667" s="212"/>
      <c r="AF667" s="475"/>
      <c r="AM667" s="212"/>
    </row>
    <row r="668" spans="1:39" x14ac:dyDescent="0.25">
      <c r="B668" s="477" t="s">
        <v>3028</v>
      </c>
      <c r="C668" s="212" t="s">
        <v>4590</v>
      </c>
      <c r="D668" s="212">
        <v>656</v>
      </c>
      <c r="E668" s="478">
        <v>20215000032083</v>
      </c>
      <c r="F668" s="479">
        <v>44377</v>
      </c>
      <c r="G668" s="478" t="s">
        <v>2565</v>
      </c>
      <c r="H668" s="212" t="s">
        <v>2566</v>
      </c>
      <c r="I668" s="212" t="s">
        <v>228</v>
      </c>
      <c r="J668" s="480">
        <v>273019170</v>
      </c>
      <c r="K668" s="212" t="s">
        <v>223</v>
      </c>
      <c r="L668" s="468" t="s">
        <v>224</v>
      </c>
      <c r="M668" s="212" t="s">
        <v>44</v>
      </c>
      <c r="N668" s="212" t="s">
        <v>2861</v>
      </c>
      <c r="O668" s="212" t="s">
        <v>132</v>
      </c>
      <c r="P668" s="212" t="s">
        <v>4551</v>
      </c>
      <c r="S668" s="212"/>
      <c r="U668" s="539"/>
      <c r="V668" s="539"/>
      <c r="W668" s="540"/>
      <c r="X668" s="211"/>
      <c r="Y668" s="211"/>
      <c r="Z668" s="211"/>
      <c r="AA668" s="211"/>
      <c r="AB668" s="212"/>
      <c r="AD668" s="212"/>
      <c r="AF668" s="475"/>
      <c r="AM668" s="212"/>
    </row>
    <row r="669" spans="1:39" x14ac:dyDescent="0.25">
      <c r="B669" s="477" t="s">
        <v>3028</v>
      </c>
      <c r="C669" s="212" t="s">
        <v>4591</v>
      </c>
      <c r="D669" s="212">
        <v>657</v>
      </c>
      <c r="E669" s="478">
        <v>20215000032093</v>
      </c>
      <c r="F669" s="479">
        <v>44377</v>
      </c>
      <c r="G669" s="478" t="s">
        <v>2565</v>
      </c>
      <c r="H669" s="212" t="s">
        <v>2566</v>
      </c>
      <c r="I669" s="212" t="s">
        <v>228</v>
      </c>
      <c r="J669" s="480">
        <v>19874784</v>
      </c>
      <c r="K669" s="212" t="s">
        <v>223</v>
      </c>
      <c r="L669" s="468" t="s">
        <v>224</v>
      </c>
      <c r="M669" s="212" t="s">
        <v>44</v>
      </c>
      <c r="N669" s="212" t="s">
        <v>2861</v>
      </c>
      <c r="O669" s="212" t="s">
        <v>132</v>
      </c>
      <c r="P669" s="212" t="s">
        <v>4551</v>
      </c>
      <c r="S669" s="212"/>
      <c r="U669" s="539"/>
      <c r="V669" s="539"/>
      <c r="W669" s="540"/>
      <c r="X669" s="211"/>
      <c r="Y669" s="211"/>
      <c r="Z669" s="211"/>
      <c r="AA669" s="211"/>
      <c r="AB669" s="212"/>
      <c r="AD669" s="212"/>
      <c r="AF669" s="475"/>
      <c r="AM669" s="212"/>
    </row>
    <row r="670" spans="1:39" x14ac:dyDescent="0.25">
      <c r="A670" s="212"/>
      <c r="B670" s="539"/>
      <c r="D670" s="212"/>
      <c r="F670" s="212"/>
      <c r="G670" s="212"/>
      <c r="J670" s="539"/>
      <c r="S670" s="212"/>
      <c r="U670" s="539"/>
      <c r="V670" s="539"/>
      <c r="W670" s="540"/>
      <c r="X670" s="211"/>
      <c r="Y670" s="211"/>
      <c r="Z670" s="211"/>
      <c r="AA670" s="211"/>
      <c r="AB670" s="212"/>
      <c r="AD670" s="212"/>
      <c r="AF670" s="475"/>
      <c r="AM670" s="212"/>
    </row>
    <row r="671" spans="1:39" x14ac:dyDescent="0.25">
      <c r="A671" s="212"/>
      <c r="B671" s="539"/>
      <c r="D671" s="212"/>
      <c r="F671" s="212"/>
      <c r="G671" s="212"/>
      <c r="J671" s="539"/>
      <c r="S671" s="212"/>
      <c r="U671" s="539"/>
      <c r="V671" s="539"/>
      <c r="W671" s="540"/>
      <c r="X671" s="211"/>
      <c r="Y671" s="211"/>
      <c r="Z671" s="211"/>
      <c r="AA671" s="211"/>
      <c r="AB671" s="212"/>
      <c r="AD671" s="212"/>
      <c r="AF671" s="475"/>
      <c r="AM671" s="212"/>
    </row>
    <row r="672" spans="1:39" x14ac:dyDescent="0.25">
      <c r="A672" s="212"/>
      <c r="B672" s="539"/>
      <c r="D672" s="212"/>
      <c r="F672" s="212"/>
      <c r="G672" s="212"/>
      <c r="J672" s="539"/>
      <c r="S672" s="212"/>
      <c r="U672" s="539"/>
      <c r="V672" s="539"/>
      <c r="W672" s="540"/>
      <c r="X672" s="211"/>
      <c r="Y672" s="211"/>
      <c r="Z672" s="211"/>
      <c r="AA672" s="211"/>
      <c r="AB672" s="212"/>
      <c r="AD672" s="212"/>
      <c r="AF672" s="475"/>
      <c r="AM672" s="212"/>
    </row>
    <row r="673" spans="1:39" x14ac:dyDescent="0.25">
      <c r="A673" s="212"/>
      <c r="B673" s="539"/>
      <c r="D673" s="212"/>
      <c r="F673" s="212"/>
      <c r="G673" s="212"/>
      <c r="J673" s="539"/>
      <c r="S673" s="212"/>
      <c r="U673" s="539"/>
      <c r="V673" s="539"/>
      <c r="W673" s="540"/>
      <c r="X673" s="211"/>
      <c r="Y673" s="211"/>
      <c r="Z673" s="211"/>
      <c r="AA673" s="211"/>
      <c r="AB673" s="212"/>
      <c r="AD673" s="212"/>
      <c r="AF673" s="539"/>
      <c r="AM673" s="212"/>
    </row>
    <row r="674" spans="1:39" x14ac:dyDescent="0.25">
      <c r="A674" s="212"/>
      <c r="B674" s="539"/>
      <c r="D674" s="212"/>
      <c r="F674" s="212"/>
      <c r="G674" s="212"/>
      <c r="J674" s="539"/>
      <c r="S674" s="212"/>
      <c r="U674" s="539"/>
      <c r="V674" s="539"/>
      <c r="W674" s="540"/>
      <c r="X674" s="211"/>
      <c r="Y674" s="211"/>
      <c r="Z674" s="211"/>
      <c r="AA674" s="211"/>
      <c r="AB674" s="212"/>
      <c r="AD674" s="212"/>
      <c r="AF674" s="475"/>
      <c r="AM674" s="212"/>
    </row>
    <row r="675" spans="1:39" x14ac:dyDescent="0.25">
      <c r="A675" s="212"/>
      <c r="B675" s="539"/>
      <c r="D675" s="212"/>
      <c r="F675" s="212"/>
      <c r="G675" s="212"/>
      <c r="J675" s="539"/>
      <c r="S675" s="212"/>
      <c r="U675" s="539"/>
      <c r="V675" s="539"/>
      <c r="W675" s="540"/>
      <c r="X675" s="211"/>
      <c r="Y675" s="211"/>
      <c r="Z675" s="211"/>
      <c r="AA675" s="211"/>
      <c r="AB675" s="212"/>
      <c r="AD675" s="212"/>
      <c r="AF675" s="475"/>
      <c r="AM675" s="212"/>
    </row>
    <row r="676" spans="1:39" x14ac:dyDescent="0.25">
      <c r="A676" s="212"/>
      <c r="B676" s="539"/>
      <c r="D676" s="212"/>
      <c r="F676" s="212"/>
      <c r="G676" s="212"/>
      <c r="J676" s="539"/>
      <c r="S676" s="212"/>
      <c r="U676" s="539"/>
      <c r="V676" s="539"/>
      <c r="W676" s="540"/>
      <c r="X676" s="211"/>
      <c r="Y676" s="211"/>
      <c r="Z676" s="211"/>
      <c r="AA676" s="211"/>
      <c r="AB676" s="212"/>
      <c r="AD676" s="212"/>
      <c r="AF676" s="475"/>
      <c r="AM676" s="212"/>
    </row>
    <row r="677" spans="1:39" x14ac:dyDescent="0.25">
      <c r="A677" s="212"/>
      <c r="B677" s="539"/>
      <c r="D677" s="212"/>
      <c r="F677" s="212"/>
      <c r="G677" s="212"/>
      <c r="J677" s="539"/>
      <c r="S677" s="212"/>
      <c r="U677" s="539"/>
      <c r="V677" s="539"/>
      <c r="W677" s="540"/>
      <c r="X677" s="211"/>
      <c r="Y677" s="211"/>
      <c r="Z677" s="211"/>
      <c r="AA677" s="211"/>
      <c r="AB677" s="212"/>
      <c r="AD677" s="212"/>
      <c r="AF677" s="475"/>
      <c r="AM677" s="212"/>
    </row>
    <row r="678" spans="1:39" x14ac:dyDescent="0.25">
      <c r="A678" s="212"/>
      <c r="B678" s="539"/>
      <c r="D678" s="212"/>
      <c r="F678" s="212"/>
      <c r="G678" s="212"/>
      <c r="J678" s="539"/>
      <c r="S678" s="212"/>
      <c r="U678" s="539"/>
      <c r="V678" s="539"/>
      <c r="W678" s="540"/>
      <c r="X678" s="211"/>
      <c r="Y678" s="211"/>
      <c r="Z678" s="211"/>
      <c r="AA678" s="211"/>
      <c r="AB678" s="212"/>
      <c r="AD678" s="212"/>
      <c r="AF678" s="480"/>
      <c r="AM678" s="212"/>
    </row>
    <row r="679" spans="1:39" x14ac:dyDescent="0.25">
      <c r="A679" s="212"/>
      <c r="B679" s="539"/>
      <c r="D679" s="212"/>
      <c r="F679" s="212"/>
      <c r="G679" s="212"/>
      <c r="J679" s="539"/>
      <c r="S679" s="212"/>
      <c r="U679" s="539"/>
      <c r="V679" s="539"/>
      <c r="W679" s="540"/>
      <c r="X679" s="211"/>
      <c r="Y679" s="211"/>
      <c r="Z679" s="211"/>
      <c r="AA679" s="211"/>
      <c r="AB679" s="212"/>
      <c r="AD679" s="212"/>
      <c r="AF679" s="475"/>
      <c r="AM679" s="212"/>
    </row>
    <row r="680" spans="1:39" x14ac:dyDescent="0.25">
      <c r="A680" s="212"/>
      <c r="B680" s="539"/>
      <c r="D680" s="212"/>
      <c r="F680" s="212"/>
      <c r="G680" s="212"/>
      <c r="J680" s="539"/>
      <c r="S680" s="212"/>
      <c r="U680" s="539"/>
      <c r="V680" s="539"/>
      <c r="W680" s="540"/>
      <c r="X680" s="211"/>
      <c r="Y680" s="211"/>
      <c r="Z680" s="211"/>
      <c r="AA680" s="211"/>
      <c r="AB680" s="212"/>
      <c r="AD680" s="212"/>
      <c r="AF680" s="475"/>
      <c r="AM680" s="212"/>
    </row>
    <row r="681" spans="1:39" x14ac:dyDescent="0.25">
      <c r="A681" s="212"/>
      <c r="B681" s="539"/>
      <c r="D681" s="212"/>
      <c r="F681" s="212"/>
      <c r="G681" s="212"/>
      <c r="J681" s="539"/>
      <c r="S681" s="212"/>
      <c r="U681" s="539"/>
      <c r="V681" s="539"/>
      <c r="W681" s="540"/>
      <c r="X681" s="211"/>
      <c r="Y681" s="211"/>
      <c r="Z681" s="211"/>
      <c r="AA681" s="211"/>
      <c r="AB681" s="212"/>
      <c r="AD681" s="212"/>
      <c r="AF681" s="475"/>
      <c r="AM681" s="212"/>
    </row>
    <row r="682" spans="1:39" x14ac:dyDescent="0.25">
      <c r="A682" s="212"/>
      <c r="B682" s="539"/>
      <c r="D682" s="212"/>
      <c r="F682" s="212"/>
      <c r="G682" s="212"/>
      <c r="J682" s="539"/>
      <c r="S682" s="212"/>
      <c r="U682" s="539"/>
      <c r="V682" s="539"/>
      <c r="W682" s="540"/>
      <c r="X682" s="211"/>
      <c r="Y682" s="211"/>
      <c r="Z682" s="211"/>
      <c r="AA682" s="211"/>
      <c r="AB682" s="212"/>
      <c r="AD682" s="212"/>
      <c r="AF682" s="475"/>
      <c r="AM682" s="212"/>
    </row>
    <row r="683" spans="1:39" x14ac:dyDescent="0.25">
      <c r="A683" s="212"/>
      <c r="B683" s="539"/>
      <c r="D683" s="212"/>
      <c r="F683" s="212"/>
      <c r="G683" s="212"/>
      <c r="J683" s="539"/>
      <c r="S683" s="212"/>
      <c r="U683" s="539"/>
      <c r="V683" s="539"/>
      <c r="W683" s="540"/>
      <c r="X683" s="211"/>
      <c r="Y683" s="211"/>
      <c r="Z683" s="211"/>
      <c r="AA683" s="211"/>
      <c r="AB683" s="212"/>
      <c r="AD683" s="212"/>
      <c r="AF683" s="475"/>
      <c r="AM683" s="212"/>
    </row>
    <row r="684" spans="1:39" x14ac:dyDescent="0.25">
      <c r="A684" s="212"/>
      <c r="B684" s="539"/>
      <c r="D684" s="212"/>
      <c r="F684" s="212"/>
      <c r="G684" s="212"/>
      <c r="J684" s="539"/>
      <c r="S684" s="212"/>
      <c r="U684" s="539"/>
      <c r="V684" s="539"/>
      <c r="W684" s="540"/>
      <c r="X684" s="211"/>
      <c r="Y684" s="211"/>
      <c r="Z684" s="211"/>
      <c r="AA684" s="211"/>
      <c r="AB684" s="212"/>
      <c r="AD684" s="212"/>
      <c r="AF684" s="475"/>
      <c r="AM684" s="212"/>
    </row>
    <row r="685" spans="1:39" x14ac:dyDescent="0.25">
      <c r="A685" s="212"/>
      <c r="B685" s="539"/>
      <c r="D685" s="212"/>
      <c r="F685" s="212"/>
      <c r="G685" s="212"/>
      <c r="J685" s="539"/>
      <c r="S685" s="212"/>
      <c r="U685" s="539"/>
      <c r="V685" s="539"/>
      <c r="W685" s="540"/>
      <c r="X685" s="211"/>
      <c r="Y685" s="211"/>
      <c r="Z685" s="211"/>
      <c r="AA685" s="211"/>
      <c r="AB685" s="212"/>
      <c r="AD685" s="212"/>
      <c r="AF685" s="475"/>
      <c r="AM685" s="212"/>
    </row>
    <row r="686" spans="1:39" x14ac:dyDescent="0.25">
      <c r="A686" s="212"/>
      <c r="B686" s="539"/>
      <c r="D686" s="212"/>
      <c r="F686" s="212"/>
      <c r="G686" s="212"/>
      <c r="J686" s="539"/>
      <c r="S686" s="212"/>
      <c r="U686" s="539"/>
      <c r="V686" s="539"/>
      <c r="W686" s="540"/>
      <c r="X686" s="211"/>
      <c r="Y686" s="211"/>
      <c r="Z686" s="211"/>
      <c r="AA686" s="211"/>
      <c r="AB686" s="212"/>
      <c r="AD686" s="212"/>
      <c r="AF686" s="475"/>
      <c r="AM686" s="212"/>
    </row>
    <row r="687" spans="1:39" x14ac:dyDescent="0.25">
      <c r="A687" s="212"/>
      <c r="B687" s="539"/>
      <c r="D687" s="212"/>
      <c r="F687" s="212"/>
      <c r="G687" s="212"/>
      <c r="J687" s="539"/>
      <c r="S687" s="212"/>
      <c r="U687" s="539"/>
      <c r="V687" s="539"/>
      <c r="W687" s="540"/>
      <c r="X687" s="211"/>
      <c r="Y687" s="211"/>
      <c r="Z687" s="211"/>
      <c r="AA687" s="211"/>
      <c r="AB687" s="212"/>
      <c r="AD687" s="212"/>
      <c r="AF687" s="475"/>
      <c r="AM687" s="212"/>
    </row>
    <row r="688" spans="1:39" x14ac:dyDescent="0.25">
      <c r="A688" s="212"/>
      <c r="B688" s="539"/>
      <c r="D688" s="212"/>
      <c r="F688" s="212"/>
      <c r="G688" s="212"/>
      <c r="J688" s="539"/>
      <c r="S688" s="212"/>
      <c r="U688" s="539"/>
      <c r="V688" s="539"/>
      <c r="W688" s="540"/>
      <c r="X688" s="211"/>
      <c r="Y688" s="211"/>
      <c r="Z688" s="211"/>
      <c r="AA688" s="211"/>
      <c r="AB688" s="212"/>
      <c r="AD688" s="212"/>
      <c r="AF688" s="475"/>
      <c r="AM688" s="212"/>
    </row>
    <row r="689" spans="1:39" x14ac:dyDescent="0.25">
      <c r="A689" s="212"/>
      <c r="B689" s="539"/>
      <c r="D689" s="212"/>
      <c r="F689" s="212"/>
      <c r="G689" s="212"/>
      <c r="J689" s="539"/>
      <c r="S689" s="212"/>
      <c r="U689" s="539"/>
      <c r="V689" s="539"/>
      <c r="W689" s="540"/>
      <c r="X689" s="211"/>
      <c r="Y689" s="211"/>
      <c r="Z689" s="211"/>
      <c r="AA689" s="211"/>
      <c r="AB689" s="212"/>
      <c r="AD689" s="212"/>
      <c r="AF689" s="475"/>
      <c r="AM689" s="212"/>
    </row>
    <row r="690" spans="1:39" x14ac:dyDescent="0.25">
      <c r="A690" s="212"/>
      <c r="B690" s="539"/>
      <c r="D690" s="212"/>
      <c r="F690" s="212"/>
      <c r="G690" s="212"/>
      <c r="J690" s="539"/>
      <c r="S690" s="212"/>
      <c r="U690" s="539"/>
      <c r="V690" s="539"/>
      <c r="W690" s="540"/>
      <c r="X690" s="211"/>
      <c r="Y690" s="211"/>
      <c r="Z690" s="211"/>
      <c r="AA690" s="211"/>
      <c r="AB690" s="212"/>
      <c r="AD690" s="212"/>
      <c r="AF690" s="475"/>
      <c r="AM690" s="212"/>
    </row>
    <row r="691" spans="1:39" x14ac:dyDescent="0.25">
      <c r="A691" s="212"/>
      <c r="B691" s="539"/>
      <c r="D691" s="212"/>
      <c r="F691" s="212"/>
      <c r="G691" s="212"/>
      <c r="J691" s="539"/>
      <c r="S691" s="212"/>
      <c r="U691" s="539"/>
      <c r="V691" s="539"/>
      <c r="W691" s="540"/>
      <c r="X691" s="211"/>
      <c r="Y691" s="211"/>
      <c r="Z691" s="211"/>
      <c r="AA691" s="211"/>
      <c r="AB691" s="212"/>
      <c r="AD691" s="212"/>
      <c r="AF691" s="475"/>
      <c r="AM691" s="212"/>
    </row>
    <row r="692" spans="1:39" x14ac:dyDescent="0.25">
      <c r="A692" s="212"/>
      <c r="B692" s="539"/>
      <c r="D692" s="212"/>
      <c r="F692" s="212"/>
      <c r="G692" s="212"/>
      <c r="J692" s="539"/>
      <c r="S692" s="212"/>
      <c r="U692" s="539"/>
      <c r="V692" s="539"/>
      <c r="W692" s="540"/>
      <c r="X692" s="211"/>
      <c r="Y692" s="211"/>
      <c r="Z692" s="211"/>
      <c r="AA692" s="211"/>
      <c r="AB692" s="212"/>
      <c r="AD692" s="212"/>
      <c r="AF692" s="475"/>
      <c r="AM692" s="212"/>
    </row>
    <row r="693" spans="1:39" x14ac:dyDescent="0.25">
      <c r="A693" s="212"/>
      <c r="B693" s="539"/>
      <c r="D693" s="212"/>
      <c r="F693" s="212"/>
      <c r="G693" s="212"/>
      <c r="J693" s="539"/>
      <c r="S693" s="212"/>
      <c r="U693" s="539"/>
      <c r="V693" s="539"/>
      <c r="W693" s="540"/>
      <c r="X693" s="211"/>
      <c r="Y693" s="211"/>
      <c r="Z693" s="211"/>
      <c r="AA693" s="211"/>
      <c r="AB693" s="212"/>
      <c r="AD693" s="212"/>
      <c r="AF693" s="475"/>
      <c r="AM693" s="212"/>
    </row>
    <row r="694" spans="1:39" x14ac:dyDescent="0.25">
      <c r="A694" s="212"/>
      <c r="B694" s="539"/>
      <c r="D694" s="212"/>
      <c r="F694" s="212"/>
      <c r="G694" s="212"/>
      <c r="J694" s="539"/>
      <c r="S694" s="212"/>
      <c r="U694" s="539"/>
      <c r="V694" s="539"/>
      <c r="W694" s="540"/>
      <c r="X694" s="211"/>
      <c r="Y694" s="211"/>
      <c r="Z694" s="211"/>
      <c r="AA694" s="211"/>
      <c r="AB694" s="212"/>
      <c r="AD694" s="212"/>
      <c r="AF694" s="475"/>
      <c r="AM694" s="212"/>
    </row>
    <row r="695" spans="1:39" x14ac:dyDescent="0.25">
      <c r="A695" s="212"/>
      <c r="B695" s="539"/>
      <c r="D695" s="212"/>
      <c r="F695" s="212"/>
      <c r="G695" s="212"/>
      <c r="J695" s="539"/>
      <c r="S695" s="212"/>
      <c r="U695" s="539"/>
      <c r="V695" s="539"/>
      <c r="W695" s="540"/>
      <c r="X695" s="211"/>
      <c r="Y695" s="211"/>
      <c r="Z695" s="211"/>
      <c r="AA695" s="211"/>
      <c r="AB695" s="212"/>
      <c r="AD695" s="212"/>
      <c r="AF695" s="475"/>
      <c r="AM695" s="212"/>
    </row>
    <row r="696" spans="1:39" x14ac:dyDescent="0.25">
      <c r="A696" s="212"/>
      <c r="B696" s="539"/>
      <c r="D696" s="212"/>
      <c r="F696" s="212"/>
      <c r="G696" s="212"/>
      <c r="J696" s="539"/>
      <c r="S696" s="212"/>
      <c r="U696" s="539"/>
      <c r="V696" s="539"/>
      <c r="W696" s="540"/>
      <c r="X696" s="211"/>
      <c r="Y696" s="211"/>
      <c r="Z696" s="211"/>
      <c r="AA696" s="211"/>
      <c r="AB696" s="212"/>
      <c r="AD696" s="212"/>
      <c r="AF696" s="475"/>
      <c r="AM696" s="212"/>
    </row>
    <row r="697" spans="1:39" x14ac:dyDescent="0.25">
      <c r="A697" s="212"/>
      <c r="B697" s="539"/>
      <c r="D697" s="212"/>
      <c r="F697" s="212"/>
      <c r="G697" s="212"/>
      <c r="J697" s="539"/>
      <c r="S697" s="212"/>
      <c r="U697" s="539"/>
      <c r="V697" s="539"/>
      <c r="W697" s="540"/>
      <c r="X697" s="211"/>
      <c r="Y697" s="211"/>
      <c r="Z697" s="211"/>
      <c r="AA697" s="211"/>
      <c r="AB697" s="212"/>
      <c r="AD697" s="212"/>
      <c r="AF697" s="475"/>
      <c r="AM697" s="212"/>
    </row>
    <row r="698" spans="1:39" x14ac:dyDescent="0.25">
      <c r="A698" s="212"/>
      <c r="B698" s="539"/>
      <c r="D698" s="212"/>
      <c r="F698" s="212"/>
      <c r="G698" s="212"/>
      <c r="J698" s="539"/>
      <c r="S698" s="212"/>
      <c r="U698" s="539"/>
      <c r="V698" s="539"/>
      <c r="W698" s="540"/>
      <c r="X698" s="211"/>
      <c r="Y698" s="211"/>
      <c r="Z698" s="211"/>
      <c r="AA698" s="211"/>
      <c r="AB698" s="212"/>
      <c r="AD698" s="212"/>
      <c r="AF698" s="475"/>
      <c r="AM698" s="212"/>
    </row>
    <row r="699" spans="1:39" x14ac:dyDescent="0.25">
      <c r="A699" s="212"/>
      <c r="B699" s="539"/>
      <c r="D699" s="212"/>
      <c r="F699" s="212"/>
      <c r="G699" s="212"/>
      <c r="J699" s="539"/>
      <c r="S699" s="212"/>
      <c r="U699" s="539"/>
      <c r="V699" s="539"/>
      <c r="W699" s="540"/>
      <c r="X699" s="211"/>
      <c r="Y699" s="211"/>
      <c r="Z699" s="211"/>
      <c r="AA699" s="211"/>
      <c r="AB699" s="212"/>
      <c r="AD699" s="212"/>
      <c r="AF699" s="475"/>
      <c r="AM699" s="212"/>
    </row>
    <row r="700" spans="1:39" x14ac:dyDescent="0.25">
      <c r="A700" s="212"/>
      <c r="B700" s="539"/>
      <c r="D700" s="212"/>
      <c r="F700" s="212"/>
      <c r="G700" s="212"/>
      <c r="J700" s="539"/>
      <c r="S700" s="212"/>
      <c r="U700" s="539"/>
      <c r="V700" s="539"/>
      <c r="W700" s="540"/>
      <c r="X700" s="211"/>
      <c r="Y700" s="211"/>
      <c r="Z700" s="211"/>
      <c r="AA700" s="211"/>
      <c r="AB700" s="212"/>
      <c r="AD700" s="212"/>
      <c r="AF700" s="475"/>
      <c r="AM700" s="212"/>
    </row>
    <row r="701" spans="1:39" x14ac:dyDescent="0.25">
      <c r="A701" s="212"/>
      <c r="B701" s="539"/>
      <c r="D701" s="212"/>
      <c r="F701" s="212"/>
      <c r="G701" s="212"/>
      <c r="J701" s="539"/>
      <c r="S701" s="212"/>
      <c r="U701" s="539"/>
      <c r="V701" s="539"/>
      <c r="W701" s="540"/>
      <c r="X701" s="211"/>
      <c r="Y701" s="211"/>
      <c r="Z701" s="211"/>
      <c r="AA701" s="211"/>
      <c r="AB701" s="212"/>
      <c r="AD701" s="212"/>
      <c r="AF701" s="475"/>
      <c r="AM701" s="212"/>
    </row>
    <row r="702" spans="1:39" x14ac:dyDescent="0.25">
      <c r="A702" s="212"/>
      <c r="B702" s="539"/>
      <c r="D702" s="212"/>
      <c r="F702" s="212"/>
      <c r="G702" s="212"/>
      <c r="J702" s="539"/>
      <c r="S702" s="212"/>
      <c r="U702" s="539"/>
      <c r="V702" s="539"/>
      <c r="W702" s="540"/>
      <c r="X702" s="211"/>
      <c r="Y702" s="211"/>
      <c r="Z702" s="211"/>
      <c r="AA702" s="211"/>
      <c r="AB702" s="212"/>
      <c r="AD702" s="212"/>
      <c r="AF702" s="475"/>
      <c r="AM702" s="212"/>
    </row>
    <row r="703" spans="1:39" x14ac:dyDescent="0.25">
      <c r="A703" s="212"/>
      <c r="B703" s="539"/>
      <c r="D703" s="212"/>
      <c r="F703" s="212"/>
      <c r="G703" s="212"/>
      <c r="J703" s="539"/>
      <c r="S703" s="212"/>
      <c r="U703" s="539"/>
      <c r="V703" s="539"/>
      <c r="W703" s="540"/>
      <c r="X703" s="211"/>
      <c r="Y703" s="211"/>
      <c r="Z703" s="211"/>
      <c r="AA703" s="211"/>
      <c r="AB703" s="212"/>
      <c r="AD703" s="212"/>
      <c r="AF703" s="475"/>
      <c r="AM703" s="212"/>
    </row>
    <row r="704" spans="1:39" x14ac:dyDescent="0.25">
      <c r="A704" s="212"/>
      <c r="B704" s="539"/>
      <c r="D704" s="212"/>
      <c r="F704" s="212"/>
      <c r="G704" s="212"/>
      <c r="J704" s="539"/>
      <c r="S704" s="212"/>
      <c r="U704" s="539"/>
      <c r="V704" s="539"/>
      <c r="W704" s="540"/>
      <c r="X704" s="211"/>
      <c r="Y704" s="211"/>
      <c r="Z704" s="211"/>
      <c r="AA704" s="211"/>
      <c r="AB704" s="212"/>
      <c r="AD704" s="212"/>
      <c r="AF704" s="475"/>
      <c r="AM704" s="212"/>
    </row>
    <row r="705" spans="1:39" x14ac:dyDescent="0.25">
      <c r="A705" s="212"/>
      <c r="B705" s="539"/>
      <c r="D705" s="212"/>
      <c r="F705" s="212"/>
      <c r="G705" s="212"/>
      <c r="J705" s="539"/>
      <c r="S705" s="212"/>
      <c r="U705" s="539"/>
      <c r="V705" s="539"/>
      <c r="W705" s="540"/>
      <c r="X705" s="211"/>
      <c r="Y705" s="211"/>
      <c r="Z705" s="211"/>
      <c r="AA705" s="211"/>
      <c r="AB705" s="212"/>
      <c r="AD705" s="212"/>
      <c r="AF705" s="475"/>
      <c r="AM705" s="212"/>
    </row>
    <row r="706" spans="1:39" x14ac:dyDescent="0.25">
      <c r="A706" s="212"/>
      <c r="B706" s="539"/>
      <c r="D706" s="212"/>
      <c r="F706" s="212"/>
      <c r="G706" s="212"/>
      <c r="J706" s="539"/>
      <c r="S706" s="212"/>
      <c r="U706" s="539"/>
      <c r="V706" s="539"/>
      <c r="W706" s="540"/>
      <c r="X706" s="211"/>
      <c r="Y706" s="211"/>
      <c r="Z706" s="211"/>
      <c r="AA706" s="211"/>
      <c r="AB706" s="212"/>
      <c r="AD706" s="212"/>
      <c r="AF706" s="475"/>
      <c r="AM706" s="212"/>
    </row>
    <row r="707" spans="1:39" x14ac:dyDescent="0.25">
      <c r="A707" s="212"/>
      <c r="B707" s="539"/>
      <c r="D707" s="212"/>
      <c r="F707" s="212"/>
      <c r="G707" s="212"/>
      <c r="J707" s="539"/>
      <c r="S707" s="212"/>
      <c r="U707" s="539"/>
      <c r="V707" s="539"/>
      <c r="W707" s="540"/>
      <c r="X707" s="211"/>
      <c r="Y707" s="211"/>
      <c r="Z707" s="211"/>
      <c r="AA707" s="211"/>
      <c r="AB707" s="212"/>
      <c r="AD707" s="212"/>
      <c r="AF707" s="475"/>
      <c r="AM707" s="212"/>
    </row>
    <row r="708" spans="1:39" x14ac:dyDescent="0.25">
      <c r="A708" s="212"/>
      <c r="B708" s="539"/>
      <c r="D708" s="212"/>
      <c r="F708" s="212"/>
      <c r="G708" s="212"/>
      <c r="J708" s="539"/>
      <c r="S708" s="212"/>
      <c r="U708" s="539"/>
      <c r="V708" s="539"/>
      <c r="W708" s="540"/>
      <c r="X708" s="211"/>
      <c r="Y708" s="211"/>
      <c r="Z708" s="211"/>
      <c r="AA708" s="211"/>
      <c r="AB708" s="212"/>
      <c r="AD708" s="212"/>
      <c r="AF708" s="475"/>
      <c r="AM708" s="212"/>
    </row>
    <row r="709" spans="1:39" x14ac:dyDescent="0.25">
      <c r="A709" s="212"/>
      <c r="B709" s="539"/>
      <c r="D709" s="212"/>
      <c r="F709" s="212"/>
      <c r="G709" s="212"/>
      <c r="J709" s="539"/>
      <c r="S709" s="212"/>
      <c r="U709" s="539"/>
      <c r="V709" s="539"/>
      <c r="W709" s="540"/>
      <c r="X709" s="211"/>
      <c r="Y709" s="211"/>
      <c r="Z709" s="211"/>
      <c r="AA709" s="211"/>
      <c r="AB709" s="212"/>
      <c r="AD709" s="212"/>
      <c r="AF709" s="475"/>
      <c r="AM709" s="212"/>
    </row>
    <row r="710" spans="1:39" x14ac:dyDescent="0.25">
      <c r="A710" s="212"/>
      <c r="B710" s="539"/>
      <c r="D710" s="212"/>
      <c r="F710" s="212"/>
      <c r="G710" s="212"/>
      <c r="J710" s="539"/>
      <c r="S710" s="212"/>
      <c r="U710" s="539"/>
      <c r="V710" s="539"/>
      <c r="W710" s="540"/>
      <c r="X710" s="211"/>
      <c r="Y710" s="211"/>
      <c r="Z710" s="211"/>
      <c r="AA710" s="211"/>
      <c r="AB710" s="212"/>
      <c r="AD710" s="212"/>
      <c r="AF710" s="475"/>
      <c r="AM710" s="212"/>
    </row>
    <row r="711" spans="1:39" x14ac:dyDescent="0.25">
      <c r="A711" s="212"/>
      <c r="B711" s="539"/>
      <c r="D711" s="212"/>
      <c r="F711" s="212"/>
      <c r="G711" s="212"/>
      <c r="J711" s="539"/>
      <c r="S711" s="212"/>
      <c r="U711" s="539"/>
      <c r="V711" s="539"/>
      <c r="W711" s="540"/>
      <c r="X711" s="211"/>
      <c r="Y711" s="211"/>
      <c r="Z711" s="211"/>
      <c r="AA711" s="211"/>
      <c r="AB711" s="212"/>
      <c r="AD711" s="212"/>
      <c r="AF711" s="475"/>
      <c r="AM711" s="212"/>
    </row>
    <row r="712" spans="1:39" x14ac:dyDescent="0.25">
      <c r="A712" s="212"/>
      <c r="B712" s="539"/>
      <c r="D712" s="212"/>
      <c r="F712" s="212"/>
      <c r="G712" s="212"/>
      <c r="J712" s="539"/>
      <c r="S712" s="212"/>
      <c r="U712" s="539"/>
      <c r="V712" s="539"/>
      <c r="W712" s="540"/>
      <c r="X712" s="211"/>
      <c r="Y712" s="211"/>
      <c r="Z712" s="211"/>
      <c r="AA712" s="211"/>
      <c r="AB712" s="212"/>
      <c r="AD712" s="212"/>
      <c r="AF712" s="475"/>
      <c r="AM712" s="212"/>
    </row>
    <row r="713" spans="1:39" x14ac:dyDescent="0.25">
      <c r="A713" s="212"/>
      <c r="B713" s="539"/>
      <c r="D713" s="212"/>
      <c r="F713" s="212"/>
      <c r="G713" s="212"/>
      <c r="J713" s="539"/>
      <c r="S713" s="212"/>
      <c r="U713" s="539"/>
      <c r="V713" s="539"/>
      <c r="W713" s="540"/>
      <c r="X713" s="211"/>
      <c r="Y713" s="211"/>
      <c r="Z713" s="211"/>
      <c r="AA713" s="211"/>
      <c r="AB713" s="212"/>
      <c r="AD713" s="212"/>
      <c r="AF713" s="475"/>
      <c r="AM713" s="212"/>
    </row>
    <row r="714" spans="1:39" x14ac:dyDescent="0.25">
      <c r="A714" s="212"/>
      <c r="B714" s="539"/>
      <c r="D714" s="212"/>
      <c r="F714" s="212"/>
      <c r="G714" s="212"/>
      <c r="J714" s="539"/>
      <c r="S714" s="212"/>
      <c r="U714" s="539"/>
      <c r="V714" s="539"/>
      <c r="W714" s="540"/>
      <c r="X714" s="211"/>
      <c r="Y714" s="211"/>
      <c r="Z714" s="211"/>
      <c r="AA714" s="211"/>
      <c r="AB714" s="212"/>
      <c r="AD714" s="212"/>
      <c r="AF714" s="475"/>
      <c r="AM714" s="212"/>
    </row>
    <row r="715" spans="1:39" x14ac:dyDescent="0.25">
      <c r="A715" s="212"/>
      <c r="B715" s="539"/>
      <c r="D715" s="212"/>
      <c r="F715" s="212"/>
      <c r="G715" s="212"/>
      <c r="J715" s="539"/>
      <c r="S715" s="212"/>
      <c r="U715" s="539"/>
      <c r="V715" s="539"/>
      <c r="W715" s="540"/>
      <c r="X715" s="211"/>
      <c r="Y715" s="211"/>
      <c r="Z715" s="211"/>
      <c r="AA715" s="211"/>
      <c r="AB715" s="212"/>
      <c r="AD715" s="212"/>
      <c r="AF715" s="475"/>
      <c r="AM715" s="212"/>
    </row>
    <row r="716" spans="1:39" x14ac:dyDescent="0.25">
      <c r="A716" s="212"/>
      <c r="B716" s="539"/>
      <c r="D716" s="212"/>
      <c r="F716" s="212"/>
      <c r="G716" s="212"/>
      <c r="J716" s="539"/>
      <c r="S716" s="212"/>
      <c r="U716" s="539"/>
      <c r="V716" s="539"/>
      <c r="W716" s="540"/>
      <c r="X716" s="211"/>
      <c r="Y716" s="211"/>
      <c r="Z716" s="211"/>
      <c r="AA716" s="211"/>
      <c r="AB716" s="212"/>
      <c r="AD716" s="212"/>
      <c r="AF716" s="475"/>
      <c r="AM716" s="212"/>
    </row>
    <row r="717" spans="1:39" x14ac:dyDescent="0.25">
      <c r="A717" s="212"/>
      <c r="B717" s="539"/>
      <c r="D717" s="212"/>
      <c r="F717" s="212"/>
      <c r="G717" s="212"/>
      <c r="J717" s="539"/>
      <c r="S717" s="212"/>
      <c r="U717" s="539"/>
      <c r="V717" s="539"/>
      <c r="W717" s="540"/>
      <c r="X717" s="211"/>
      <c r="Y717" s="211"/>
      <c r="Z717" s="211"/>
      <c r="AA717" s="211"/>
      <c r="AB717" s="212"/>
      <c r="AD717" s="212"/>
      <c r="AF717" s="475"/>
      <c r="AM717" s="212"/>
    </row>
    <row r="718" spans="1:39" x14ac:dyDescent="0.25">
      <c r="A718" s="212"/>
      <c r="B718" s="539"/>
      <c r="D718" s="212"/>
      <c r="F718" s="212"/>
      <c r="G718" s="212"/>
      <c r="J718" s="539"/>
      <c r="S718" s="212"/>
      <c r="U718" s="539"/>
      <c r="V718" s="539"/>
      <c r="W718" s="540"/>
      <c r="X718" s="211"/>
      <c r="Y718" s="211"/>
      <c r="Z718" s="211"/>
      <c r="AA718" s="211"/>
      <c r="AB718" s="212"/>
      <c r="AD718" s="212"/>
      <c r="AF718" s="475"/>
      <c r="AM718" s="212"/>
    </row>
    <row r="719" spans="1:39" x14ac:dyDescent="0.25">
      <c r="A719" s="212"/>
      <c r="B719" s="539"/>
      <c r="D719" s="212"/>
      <c r="F719" s="212"/>
      <c r="G719" s="212"/>
      <c r="J719" s="539"/>
      <c r="S719" s="212"/>
      <c r="U719" s="539"/>
      <c r="V719" s="539"/>
      <c r="W719" s="540"/>
      <c r="X719" s="211"/>
      <c r="Y719" s="211"/>
      <c r="Z719" s="211"/>
      <c r="AA719" s="211"/>
      <c r="AB719" s="212"/>
      <c r="AD719" s="212"/>
      <c r="AF719" s="475"/>
      <c r="AM719" s="212"/>
    </row>
    <row r="720" spans="1:39" x14ac:dyDescent="0.25">
      <c r="A720" s="212"/>
      <c r="B720" s="539"/>
      <c r="D720" s="212"/>
      <c r="F720" s="212"/>
      <c r="G720" s="212"/>
      <c r="J720" s="539"/>
      <c r="S720" s="212"/>
      <c r="U720" s="539"/>
      <c r="V720" s="539"/>
      <c r="W720" s="540"/>
      <c r="X720" s="211"/>
      <c r="Y720" s="211"/>
      <c r="Z720" s="211"/>
      <c r="AA720" s="211"/>
      <c r="AB720" s="212"/>
      <c r="AD720" s="212"/>
      <c r="AF720" s="475"/>
      <c r="AM720" s="212"/>
    </row>
    <row r="721" spans="1:39" x14ac:dyDescent="0.25">
      <c r="A721" s="212"/>
      <c r="B721" s="539"/>
      <c r="D721" s="212"/>
      <c r="F721" s="212"/>
      <c r="G721" s="212"/>
      <c r="J721" s="539"/>
      <c r="S721" s="212"/>
      <c r="U721" s="539"/>
      <c r="V721" s="539"/>
      <c r="W721" s="540"/>
      <c r="X721" s="211"/>
      <c r="Y721" s="211"/>
      <c r="Z721" s="211"/>
      <c r="AA721" s="211"/>
      <c r="AB721" s="212"/>
      <c r="AD721" s="212"/>
      <c r="AF721" s="475"/>
      <c r="AM721" s="212"/>
    </row>
    <row r="722" spans="1:39" x14ac:dyDescent="0.25">
      <c r="A722" s="212"/>
      <c r="B722" s="539"/>
      <c r="D722" s="212"/>
      <c r="F722" s="212"/>
      <c r="G722" s="212"/>
      <c r="J722" s="539"/>
      <c r="S722" s="212"/>
      <c r="U722" s="539"/>
      <c r="V722" s="539"/>
      <c r="W722" s="540"/>
      <c r="X722" s="211"/>
      <c r="Y722" s="211"/>
      <c r="Z722" s="211"/>
      <c r="AA722" s="211"/>
      <c r="AB722" s="212"/>
      <c r="AD722" s="212"/>
      <c r="AF722" s="475"/>
      <c r="AM722" s="212"/>
    </row>
    <row r="723" spans="1:39" x14ac:dyDescent="0.25">
      <c r="A723" s="212"/>
      <c r="B723" s="539"/>
      <c r="D723" s="212"/>
      <c r="F723" s="212"/>
      <c r="G723" s="212"/>
      <c r="J723" s="539"/>
      <c r="S723" s="212"/>
      <c r="U723" s="539"/>
      <c r="V723" s="539"/>
      <c r="W723" s="540"/>
      <c r="X723" s="211"/>
      <c r="Y723" s="211"/>
      <c r="Z723" s="211"/>
      <c r="AA723" s="211"/>
      <c r="AB723" s="212"/>
      <c r="AD723" s="212"/>
      <c r="AF723" s="475"/>
      <c r="AM723" s="212"/>
    </row>
    <row r="724" spans="1:39" x14ac:dyDescent="0.25">
      <c r="A724" s="212"/>
      <c r="B724" s="539"/>
      <c r="D724" s="212"/>
      <c r="F724" s="212"/>
      <c r="G724" s="212"/>
      <c r="J724" s="539"/>
      <c r="S724" s="212"/>
      <c r="U724" s="539"/>
      <c r="V724" s="539"/>
      <c r="W724" s="540"/>
      <c r="X724" s="211"/>
      <c r="Y724" s="211"/>
      <c r="Z724" s="211"/>
      <c r="AA724" s="211"/>
      <c r="AB724" s="212"/>
      <c r="AD724" s="212"/>
      <c r="AF724" s="475"/>
      <c r="AM724" s="212"/>
    </row>
    <row r="725" spans="1:39" x14ac:dyDescent="0.25">
      <c r="A725" s="212"/>
      <c r="B725" s="539"/>
      <c r="D725" s="212"/>
      <c r="F725" s="212"/>
      <c r="G725" s="212"/>
      <c r="J725" s="539"/>
      <c r="S725" s="212"/>
      <c r="U725" s="539"/>
      <c r="V725" s="539"/>
      <c r="W725" s="540"/>
      <c r="X725" s="211"/>
      <c r="Y725" s="211"/>
      <c r="Z725" s="211"/>
      <c r="AA725" s="211"/>
      <c r="AB725" s="212"/>
      <c r="AD725" s="212"/>
      <c r="AF725" s="475"/>
      <c r="AM725" s="212"/>
    </row>
    <row r="726" spans="1:39" x14ac:dyDescent="0.25">
      <c r="A726" s="212"/>
      <c r="B726" s="539"/>
      <c r="D726" s="212"/>
      <c r="F726" s="212"/>
      <c r="G726" s="212"/>
      <c r="J726" s="539"/>
      <c r="S726" s="212"/>
      <c r="U726" s="539"/>
      <c r="V726" s="539"/>
      <c r="W726" s="540"/>
      <c r="X726" s="211"/>
      <c r="Y726" s="211"/>
      <c r="Z726" s="211"/>
      <c r="AA726" s="211"/>
      <c r="AB726" s="212"/>
      <c r="AD726" s="212"/>
      <c r="AF726" s="475"/>
      <c r="AM726" s="212"/>
    </row>
    <row r="727" spans="1:39" x14ac:dyDescent="0.25">
      <c r="A727" s="212"/>
      <c r="B727" s="539"/>
      <c r="D727" s="212"/>
      <c r="F727" s="212"/>
      <c r="G727" s="212"/>
      <c r="J727" s="539"/>
      <c r="S727" s="212"/>
      <c r="U727" s="539"/>
      <c r="V727" s="539"/>
      <c r="W727" s="540"/>
      <c r="X727" s="211"/>
      <c r="Y727" s="211"/>
      <c r="Z727" s="211"/>
      <c r="AA727" s="211"/>
      <c r="AB727" s="212"/>
      <c r="AD727" s="212"/>
      <c r="AF727" s="475"/>
      <c r="AM727" s="212"/>
    </row>
    <row r="728" spans="1:39" x14ac:dyDescent="0.25">
      <c r="A728" s="212"/>
      <c r="B728" s="539"/>
      <c r="D728" s="212"/>
      <c r="F728" s="212"/>
      <c r="G728" s="212"/>
      <c r="J728" s="539"/>
      <c r="S728" s="212"/>
      <c r="U728" s="539"/>
      <c r="V728" s="539"/>
      <c r="W728" s="540"/>
      <c r="X728" s="211"/>
      <c r="Y728" s="211"/>
      <c r="Z728" s="211"/>
      <c r="AA728" s="211"/>
      <c r="AB728" s="212"/>
      <c r="AD728" s="212"/>
      <c r="AF728" s="475"/>
      <c r="AM728" s="212"/>
    </row>
    <row r="729" spans="1:39" x14ac:dyDescent="0.25">
      <c r="A729" s="212"/>
      <c r="B729" s="539"/>
      <c r="D729" s="212"/>
      <c r="F729" s="212"/>
      <c r="G729" s="212"/>
      <c r="J729" s="539"/>
      <c r="S729" s="212"/>
      <c r="U729" s="539"/>
      <c r="V729" s="539"/>
      <c r="W729" s="540"/>
      <c r="X729" s="211"/>
      <c r="Y729" s="211"/>
      <c r="Z729" s="211"/>
      <c r="AA729" s="211"/>
      <c r="AB729" s="212"/>
      <c r="AD729" s="212"/>
      <c r="AF729" s="475"/>
      <c r="AM729" s="212"/>
    </row>
    <row r="730" spans="1:39" x14ac:dyDescent="0.25">
      <c r="A730" s="212"/>
      <c r="B730" s="539"/>
      <c r="D730" s="212"/>
      <c r="F730" s="212"/>
      <c r="G730" s="212"/>
      <c r="J730" s="539"/>
      <c r="S730" s="212"/>
      <c r="U730" s="539"/>
      <c r="V730" s="539"/>
      <c r="W730" s="540"/>
      <c r="X730" s="211"/>
      <c r="Y730" s="211"/>
      <c r="Z730" s="211"/>
      <c r="AA730" s="211"/>
      <c r="AB730" s="212"/>
      <c r="AD730" s="212"/>
      <c r="AF730" s="475"/>
      <c r="AM730" s="212"/>
    </row>
    <row r="731" spans="1:39" x14ac:dyDescent="0.25">
      <c r="A731" s="212"/>
      <c r="B731" s="539"/>
      <c r="D731" s="212"/>
      <c r="F731" s="212"/>
      <c r="G731" s="212"/>
      <c r="J731" s="539"/>
      <c r="S731" s="212"/>
      <c r="U731" s="539"/>
      <c r="V731" s="539"/>
      <c r="W731" s="540"/>
      <c r="X731" s="211"/>
      <c r="Y731" s="211"/>
      <c r="Z731" s="211"/>
      <c r="AA731" s="211"/>
      <c r="AB731" s="212"/>
      <c r="AD731" s="212"/>
      <c r="AF731" s="475"/>
      <c r="AM731" s="212"/>
    </row>
    <row r="732" spans="1:39" x14ac:dyDescent="0.25">
      <c r="A732" s="212"/>
      <c r="B732" s="539"/>
      <c r="D732" s="212"/>
      <c r="F732" s="212"/>
      <c r="G732" s="212"/>
      <c r="J732" s="539"/>
      <c r="S732" s="212"/>
      <c r="U732" s="539"/>
      <c r="V732" s="539"/>
      <c r="W732" s="540"/>
      <c r="X732" s="211"/>
      <c r="Y732" s="211"/>
      <c r="Z732" s="211"/>
      <c r="AA732" s="211"/>
      <c r="AB732" s="212"/>
      <c r="AD732" s="212"/>
      <c r="AF732" s="475"/>
      <c r="AM732" s="212"/>
    </row>
    <row r="733" spans="1:39" x14ac:dyDescent="0.25">
      <c r="A733" s="212"/>
      <c r="B733" s="539"/>
      <c r="D733" s="212"/>
      <c r="F733" s="212"/>
      <c r="G733" s="212"/>
      <c r="J733" s="539"/>
      <c r="S733" s="212"/>
      <c r="U733" s="539"/>
      <c r="V733" s="539"/>
      <c r="W733" s="540"/>
      <c r="X733" s="211"/>
      <c r="Y733" s="211"/>
      <c r="Z733" s="211"/>
      <c r="AA733" s="211"/>
      <c r="AB733" s="212"/>
      <c r="AD733" s="212"/>
      <c r="AF733" s="475"/>
      <c r="AM733" s="212"/>
    </row>
    <row r="734" spans="1:39" x14ac:dyDescent="0.25">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x14ac:dyDescent="0.25">
      <c r="A735" s="212"/>
      <c r="B735" s="539"/>
      <c r="D735" s="212"/>
      <c r="F735" s="212"/>
      <c r="G735" s="212"/>
      <c r="J735" s="539"/>
      <c r="S735" s="212"/>
      <c r="U735" s="539"/>
      <c r="V735" s="539"/>
      <c r="W735" s="540"/>
      <c r="X735" s="211"/>
      <c r="Y735" s="211"/>
      <c r="Z735" s="211"/>
      <c r="AA735" s="211"/>
      <c r="AB735" s="212"/>
      <c r="AD735" s="212"/>
      <c r="AF735" s="475"/>
    </row>
    <row r="736" spans="1:39" x14ac:dyDescent="0.25">
      <c r="A736" s="212"/>
      <c r="B736" s="539"/>
      <c r="D736" s="212"/>
      <c r="F736" s="212"/>
      <c r="G736" s="212"/>
      <c r="J736" s="539"/>
      <c r="S736" s="212"/>
      <c r="U736" s="539"/>
      <c r="V736" s="539"/>
      <c r="W736" s="540"/>
      <c r="X736" s="211"/>
      <c r="Y736" s="211"/>
      <c r="Z736" s="211"/>
      <c r="AA736" s="211"/>
      <c r="AB736" s="212"/>
      <c r="AD736" s="212"/>
      <c r="AF736" s="475"/>
    </row>
    <row r="737" spans="1:32" x14ac:dyDescent="0.25">
      <c r="A737" s="212"/>
      <c r="B737" s="539"/>
      <c r="D737" s="212"/>
      <c r="F737" s="212"/>
      <c r="G737" s="212"/>
      <c r="J737" s="539"/>
      <c r="S737" s="212"/>
      <c r="U737" s="539"/>
      <c r="V737" s="539"/>
      <c r="W737" s="540"/>
      <c r="X737" s="211"/>
      <c r="Y737" s="211"/>
      <c r="Z737" s="211"/>
      <c r="AA737" s="211"/>
      <c r="AB737" s="212"/>
      <c r="AD737" s="212"/>
      <c r="AF737" s="475"/>
    </row>
    <row r="738" spans="1:32" x14ac:dyDescent="0.25">
      <c r="A738" s="212"/>
      <c r="B738" s="539"/>
      <c r="D738" s="212"/>
      <c r="F738" s="212"/>
      <c r="G738" s="212"/>
      <c r="J738" s="539"/>
      <c r="S738" s="212"/>
      <c r="U738" s="539"/>
      <c r="V738" s="539"/>
      <c r="W738" s="540"/>
      <c r="X738" s="211"/>
      <c r="Y738" s="211"/>
      <c r="Z738" s="211"/>
      <c r="AA738" s="211"/>
      <c r="AB738" s="212"/>
      <c r="AD738" s="212"/>
      <c r="AF738" s="475"/>
    </row>
    <row r="739" spans="1:32" x14ac:dyDescent="0.25">
      <c r="A739" s="212"/>
      <c r="B739" s="539"/>
      <c r="D739" s="212"/>
      <c r="F739" s="212"/>
      <c r="G739" s="212"/>
      <c r="J739" s="539"/>
      <c r="S739" s="212"/>
      <c r="U739" s="539"/>
      <c r="V739" s="539"/>
      <c r="W739" s="540"/>
      <c r="X739" s="211"/>
      <c r="Y739" s="211"/>
      <c r="Z739" s="211"/>
      <c r="AA739" s="211"/>
      <c r="AB739" s="212"/>
      <c r="AD739" s="212"/>
      <c r="AF739" s="475"/>
    </row>
    <row r="740" spans="1:32" x14ac:dyDescent="0.25">
      <c r="A740" s="212"/>
      <c r="B740" s="539"/>
      <c r="D740" s="212"/>
      <c r="F740" s="212"/>
      <c r="G740" s="212"/>
      <c r="J740" s="539"/>
      <c r="S740" s="212"/>
      <c r="U740" s="539"/>
      <c r="V740" s="539"/>
      <c r="W740" s="540"/>
      <c r="X740" s="211"/>
      <c r="Y740" s="211"/>
      <c r="Z740" s="211"/>
      <c r="AA740" s="211"/>
      <c r="AB740" s="212"/>
      <c r="AD740" s="212"/>
      <c r="AF740" s="475"/>
    </row>
    <row r="741" spans="1:32" x14ac:dyDescent="0.25">
      <c r="A741" s="212"/>
      <c r="B741" s="539"/>
      <c r="D741" s="212"/>
      <c r="F741" s="212"/>
      <c r="G741" s="212"/>
      <c r="J741" s="539"/>
      <c r="S741" s="212"/>
      <c r="U741" s="539"/>
      <c r="V741" s="539"/>
      <c r="W741" s="540"/>
      <c r="X741" s="211"/>
      <c r="Y741" s="211"/>
      <c r="Z741" s="211"/>
      <c r="AA741" s="211"/>
      <c r="AB741" s="212"/>
      <c r="AD741" s="212"/>
      <c r="AF741" s="475"/>
    </row>
    <row r="742" spans="1:32" x14ac:dyDescent="0.25">
      <c r="A742" s="212"/>
      <c r="B742" s="539"/>
      <c r="D742" s="212"/>
      <c r="F742" s="212"/>
      <c r="G742" s="212"/>
      <c r="J742" s="539"/>
      <c r="S742" s="212"/>
      <c r="U742" s="539"/>
      <c r="V742" s="539"/>
      <c r="W742" s="540"/>
      <c r="X742" s="211"/>
      <c r="Y742" s="211"/>
      <c r="Z742" s="211"/>
      <c r="AA742" s="211"/>
      <c r="AB742" s="212"/>
      <c r="AD742" s="212"/>
      <c r="AF742" s="475"/>
    </row>
    <row r="743" spans="1:32" x14ac:dyDescent="0.25">
      <c r="A743" s="212"/>
      <c r="B743" s="539"/>
      <c r="D743" s="212"/>
      <c r="F743" s="212"/>
      <c r="G743" s="212"/>
      <c r="J743" s="539"/>
      <c r="S743" s="212"/>
      <c r="U743" s="539"/>
      <c r="V743" s="539"/>
      <c r="W743" s="540"/>
      <c r="X743" s="211"/>
      <c r="Y743" s="211"/>
      <c r="Z743" s="211"/>
      <c r="AA743" s="211"/>
      <c r="AB743" s="212"/>
      <c r="AD743" s="212"/>
      <c r="AF743" s="475"/>
    </row>
    <row r="744" spans="1:32" x14ac:dyDescent="0.25">
      <c r="A744" s="212"/>
      <c r="B744" s="539"/>
      <c r="D744" s="212"/>
      <c r="F744" s="212"/>
      <c r="G744" s="212"/>
      <c r="J744" s="539"/>
      <c r="S744" s="212"/>
      <c r="U744" s="539"/>
      <c r="V744" s="539"/>
      <c r="W744" s="540"/>
      <c r="X744" s="211"/>
      <c r="Y744" s="211"/>
      <c r="Z744" s="211"/>
      <c r="AA744" s="211"/>
      <c r="AB744" s="212"/>
      <c r="AD744" s="212"/>
      <c r="AF744" s="475"/>
    </row>
    <row r="745" spans="1:32" x14ac:dyDescent="0.25">
      <c r="A745" s="212"/>
      <c r="B745" s="539"/>
      <c r="D745" s="212"/>
      <c r="F745" s="212"/>
      <c r="G745" s="212"/>
      <c r="J745" s="539"/>
      <c r="S745" s="212"/>
      <c r="U745" s="539"/>
      <c r="V745" s="539"/>
      <c r="W745" s="540"/>
      <c r="X745" s="211"/>
      <c r="Y745" s="211"/>
      <c r="Z745" s="211"/>
      <c r="AA745" s="211"/>
      <c r="AB745" s="212"/>
      <c r="AD745" s="212"/>
      <c r="AF745" s="475"/>
    </row>
    <row r="746" spans="1:32" x14ac:dyDescent="0.25">
      <c r="A746" s="212"/>
      <c r="B746" s="539"/>
      <c r="D746" s="212"/>
      <c r="F746" s="212"/>
      <c r="G746" s="212"/>
      <c r="J746" s="539"/>
      <c r="S746" s="212"/>
      <c r="U746" s="539"/>
      <c r="V746" s="539"/>
      <c r="W746" s="540"/>
      <c r="X746" s="211"/>
      <c r="Y746" s="211"/>
      <c r="Z746" s="211"/>
      <c r="AA746" s="211"/>
      <c r="AB746" s="212"/>
      <c r="AD746" s="212"/>
      <c r="AF746" s="475"/>
    </row>
    <row r="747" spans="1:32" x14ac:dyDescent="0.25">
      <c r="A747" s="212"/>
      <c r="B747" s="539"/>
      <c r="D747" s="212"/>
      <c r="F747" s="212"/>
      <c r="G747" s="212"/>
      <c r="J747" s="539"/>
      <c r="S747" s="212"/>
      <c r="U747" s="539"/>
      <c r="V747" s="539"/>
      <c r="W747" s="540"/>
      <c r="X747" s="211"/>
      <c r="Y747" s="211"/>
      <c r="Z747" s="211"/>
      <c r="AA747" s="211"/>
      <c r="AB747" s="212"/>
      <c r="AD747" s="212"/>
      <c r="AF747" s="475"/>
    </row>
    <row r="748" spans="1:32" x14ac:dyDescent="0.25">
      <c r="A748" s="212"/>
      <c r="B748" s="539"/>
      <c r="D748" s="212"/>
      <c r="F748" s="212"/>
      <c r="G748" s="212"/>
      <c r="J748" s="539"/>
      <c r="S748" s="212"/>
      <c r="U748" s="539"/>
      <c r="V748" s="539"/>
      <c r="W748" s="540"/>
      <c r="X748" s="211"/>
      <c r="Y748" s="211"/>
      <c r="Z748" s="211"/>
      <c r="AA748" s="211"/>
      <c r="AB748" s="212"/>
      <c r="AD748" s="212"/>
      <c r="AF748" s="475"/>
    </row>
    <row r="749" spans="1:32" x14ac:dyDescent="0.25">
      <c r="A749" s="212"/>
      <c r="B749" s="539"/>
      <c r="D749" s="212"/>
      <c r="F749" s="212"/>
      <c r="G749" s="212"/>
      <c r="J749" s="539"/>
      <c r="S749" s="212"/>
      <c r="U749" s="539"/>
      <c r="V749" s="539"/>
      <c r="W749" s="540"/>
      <c r="X749" s="211"/>
      <c r="Y749" s="211"/>
      <c r="Z749" s="211"/>
      <c r="AA749" s="211"/>
      <c r="AB749" s="212"/>
      <c r="AD749" s="212"/>
      <c r="AF749" s="475"/>
    </row>
    <row r="750" spans="1:32" x14ac:dyDescent="0.25">
      <c r="A750" s="212"/>
      <c r="B750" s="539"/>
      <c r="D750" s="212"/>
      <c r="F750" s="212"/>
      <c r="G750" s="212"/>
      <c r="J750" s="539"/>
      <c r="S750" s="212"/>
      <c r="U750" s="539"/>
      <c r="V750" s="539"/>
      <c r="W750" s="540"/>
      <c r="X750" s="211"/>
      <c r="Y750" s="211"/>
      <c r="Z750" s="211"/>
      <c r="AA750" s="211"/>
      <c r="AB750" s="212"/>
      <c r="AD750" s="212"/>
      <c r="AF750" s="475"/>
    </row>
    <row r="751" spans="1:32" x14ac:dyDescent="0.25">
      <c r="A751" s="212"/>
      <c r="B751" s="539"/>
      <c r="D751" s="212"/>
      <c r="F751" s="212"/>
      <c r="G751" s="212"/>
      <c r="J751" s="539"/>
      <c r="S751" s="212"/>
      <c r="U751" s="539"/>
      <c r="V751" s="539"/>
      <c r="W751" s="540"/>
      <c r="X751" s="211"/>
      <c r="Y751" s="211"/>
      <c r="Z751" s="211"/>
      <c r="AA751" s="211"/>
      <c r="AB751" s="212"/>
      <c r="AD751" s="212"/>
      <c r="AF751" s="475"/>
    </row>
    <row r="752" spans="1:32" x14ac:dyDescent="0.25">
      <c r="A752" s="212"/>
      <c r="B752" s="539"/>
      <c r="D752" s="212"/>
      <c r="F752" s="212"/>
      <c r="G752" s="212"/>
      <c r="J752" s="539"/>
      <c r="S752" s="212"/>
      <c r="U752" s="539"/>
      <c r="V752" s="539"/>
      <c r="W752" s="540"/>
      <c r="X752" s="211"/>
      <c r="Y752" s="211"/>
      <c r="Z752" s="211"/>
      <c r="AA752" s="211"/>
      <c r="AB752" s="212"/>
      <c r="AD752" s="212"/>
      <c r="AF752" s="475"/>
    </row>
    <row r="753" spans="1:32" x14ac:dyDescent="0.25">
      <c r="A753" s="212"/>
      <c r="B753" s="539"/>
      <c r="D753" s="212"/>
      <c r="F753" s="212"/>
      <c r="G753" s="212"/>
      <c r="J753" s="539"/>
      <c r="S753" s="212"/>
      <c r="U753" s="539"/>
      <c r="V753" s="539"/>
      <c r="W753" s="540"/>
      <c r="X753" s="211"/>
      <c r="Y753" s="211"/>
      <c r="Z753" s="211"/>
      <c r="AA753" s="211"/>
      <c r="AB753" s="212"/>
      <c r="AD753" s="212"/>
      <c r="AF753" s="475"/>
    </row>
    <row r="754" spans="1:32" x14ac:dyDescent="0.25">
      <c r="A754" s="212"/>
      <c r="B754" s="539"/>
      <c r="D754" s="212"/>
      <c r="F754" s="212"/>
      <c r="G754" s="212"/>
      <c r="J754" s="539"/>
      <c r="S754" s="212"/>
      <c r="U754" s="539"/>
      <c r="V754" s="539"/>
      <c r="W754" s="540"/>
      <c r="X754" s="211"/>
      <c r="Y754" s="211"/>
      <c r="Z754" s="211"/>
      <c r="AA754" s="211"/>
      <c r="AB754" s="212"/>
      <c r="AD754" s="212"/>
      <c r="AF754" s="475"/>
    </row>
    <row r="755" spans="1:32" x14ac:dyDescent="0.25">
      <c r="A755" s="212"/>
      <c r="B755" s="539"/>
      <c r="D755" s="212"/>
      <c r="F755" s="212"/>
      <c r="G755" s="212"/>
      <c r="J755" s="539"/>
      <c r="S755" s="212"/>
      <c r="U755" s="539"/>
      <c r="V755" s="539"/>
      <c r="W755" s="540"/>
      <c r="X755" s="211"/>
      <c r="Y755" s="211"/>
      <c r="Z755" s="211"/>
      <c r="AA755" s="211"/>
      <c r="AB755" s="212"/>
      <c r="AD755" s="212"/>
      <c r="AF755" s="475"/>
    </row>
    <row r="756" spans="1:32" x14ac:dyDescent="0.25">
      <c r="A756" s="212"/>
      <c r="B756" s="539"/>
      <c r="D756" s="212"/>
      <c r="F756" s="212"/>
      <c r="G756" s="212"/>
      <c r="J756" s="539"/>
      <c r="S756" s="212"/>
      <c r="U756" s="539"/>
      <c r="V756" s="539"/>
      <c r="W756" s="540"/>
      <c r="X756" s="211"/>
      <c r="Y756" s="211"/>
      <c r="Z756" s="211"/>
      <c r="AA756" s="211"/>
      <c r="AB756" s="212"/>
      <c r="AD756" s="212"/>
      <c r="AF756" s="475"/>
    </row>
    <row r="757" spans="1:32" x14ac:dyDescent="0.25">
      <c r="A757" s="212"/>
      <c r="B757" s="539"/>
      <c r="D757" s="212"/>
      <c r="F757" s="212"/>
      <c r="G757" s="212"/>
      <c r="J757" s="539"/>
      <c r="S757" s="212"/>
      <c r="U757" s="539"/>
      <c r="V757" s="539"/>
      <c r="W757" s="540"/>
      <c r="X757" s="211"/>
      <c r="Y757" s="211"/>
      <c r="Z757" s="211"/>
      <c r="AA757" s="211"/>
      <c r="AB757" s="212"/>
      <c r="AD757" s="212"/>
      <c r="AF757" s="475"/>
    </row>
    <row r="758" spans="1:32" x14ac:dyDescent="0.25">
      <c r="A758" s="212"/>
      <c r="B758" s="539"/>
      <c r="D758" s="212"/>
      <c r="F758" s="212"/>
      <c r="G758" s="212"/>
      <c r="J758" s="539"/>
      <c r="S758" s="212"/>
      <c r="U758" s="539"/>
      <c r="V758" s="539"/>
      <c r="W758" s="540"/>
      <c r="X758" s="211"/>
      <c r="Y758" s="211"/>
      <c r="Z758" s="211"/>
      <c r="AA758" s="211"/>
      <c r="AB758" s="212"/>
      <c r="AD758" s="212"/>
      <c r="AF758" s="475"/>
    </row>
    <row r="759" spans="1:32" x14ac:dyDescent="0.25">
      <c r="A759" s="212"/>
      <c r="B759" s="539"/>
      <c r="D759" s="212"/>
      <c r="F759" s="212"/>
      <c r="G759" s="212"/>
      <c r="J759" s="539"/>
      <c r="S759" s="212"/>
      <c r="U759" s="539"/>
      <c r="V759" s="539"/>
      <c r="W759" s="540"/>
      <c r="X759" s="211"/>
      <c r="Y759" s="211"/>
      <c r="Z759" s="211"/>
      <c r="AA759" s="211"/>
      <c r="AB759" s="212"/>
      <c r="AD759" s="212"/>
      <c r="AF759" s="475"/>
    </row>
    <row r="760" spans="1:32" x14ac:dyDescent="0.25">
      <c r="A760" s="212"/>
      <c r="B760" s="539"/>
      <c r="D760" s="212"/>
      <c r="F760" s="212"/>
      <c r="G760" s="212"/>
      <c r="J760" s="539"/>
      <c r="S760" s="212"/>
      <c r="U760" s="539"/>
      <c r="V760" s="539"/>
      <c r="W760" s="540"/>
      <c r="X760" s="211"/>
      <c r="Y760" s="211"/>
      <c r="Z760" s="211"/>
      <c r="AA760" s="211"/>
      <c r="AB760" s="212"/>
      <c r="AD760" s="212"/>
      <c r="AF760" s="475"/>
    </row>
    <row r="761" spans="1:32" x14ac:dyDescent="0.25">
      <c r="A761" s="212"/>
      <c r="B761" s="539"/>
      <c r="D761" s="212"/>
      <c r="F761" s="212"/>
      <c r="G761" s="212"/>
      <c r="J761" s="539"/>
      <c r="S761" s="212"/>
      <c r="U761" s="539"/>
      <c r="V761" s="539"/>
      <c r="W761" s="540"/>
      <c r="X761" s="211"/>
      <c r="Y761" s="211"/>
      <c r="Z761" s="211"/>
      <c r="AA761" s="211"/>
      <c r="AB761" s="212"/>
      <c r="AD761" s="212"/>
      <c r="AF761" s="475"/>
    </row>
    <row r="762" spans="1:32" x14ac:dyDescent="0.25">
      <c r="A762" s="212"/>
      <c r="B762" s="539"/>
      <c r="D762" s="212"/>
      <c r="F762" s="212"/>
      <c r="G762" s="212"/>
      <c r="J762" s="539"/>
      <c r="S762" s="212"/>
      <c r="U762" s="539"/>
      <c r="V762" s="539"/>
      <c r="W762" s="540"/>
      <c r="X762" s="211"/>
      <c r="Y762" s="211"/>
      <c r="Z762" s="211"/>
      <c r="AA762" s="211"/>
      <c r="AB762" s="212"/>
      <c r="AD762" s="212"/>
      <c r="AF762" s="475"/>
    </row>
    <row r="763" spans="1:32" x14ac:dyDescent="0.25">
      <c r="A763" s="212"/>
      <c r="B763" s="539"/>
      <c r="D763" s="212"/>
      <c r="F763" s="212"/>
      <c r="G763" s="212"/>
      <c r="J763" s="539"/>
      <c r="S763" s="212"/>
      <c r="U763" s="539"/>
      <c r="V763" s="539"/>
      <c r="W763" s="540"/>
      <c r="X763" s="211"/>
      <c r="Y763" s="211"/>
      <c r="Z763" s="211"/>
      <c r="AA763" s="211"/>
      <c r="AB763" s="212"/>
      <c r="AD763" s="212"/>
      <c r="AF763" s="475"/>
    </row>
    <row r="764" spans="1:32" x14ac:dyDescent="0.25">
      <c r="A764" s="212"/>
      <c r="B764" s="539"/>
      <c r="D764" s="212"/>
      <c r="F764" s="212"/>
      <c r="G764" s="212"/>
      <c r="J764" s="539"/>
      <c r="S764" s="212"/>
      <c r="U764" s="539"/>
      <c r="V764" s="539"/>
      <c r="W764" s="540"/>
      <c r="X764" s="211"/>
      <c r="Y764" s="211"/>
      <c r="Z764" s="211"/>
      <c r="AA764" s="211"/>
      <c r="AB764" s="212"/>
      <c r="AD764" s="212"/>
      <c r="AF764" s="475"/>
    </row>
    <row r="765" spans="1:32" x14ac:dyDescent="0.25">
      <c r="A765" s="212"/>
      <c r="B765" s="539"/>
      <c r="D765" s="212"/>
      <c r="F765" s="212"/>
      <c r="G765" s="212"/>
      <c r="J765" s="539"/>
      <c r="S765" s="212"/>
      <c r="U765" s="539"/>
      <c r="V765" s="539"/>
      <c r="W765" s="540"/>
      <c r="X765" s="211"/>
      <c r="Y765" s="211"/>
      <c r="Z765" s="211"/>
      <c r="AA765" s="211"/>
      <c r="AB765" s="212"/>
      <c r="AD765" s="212"/>
      <c r="AF765" s="475"/>
    </row>
    <row r="766" spans="1:32" x14ac:dyDescent="0.25">
      <c r="A766" s="212"/>
      <c r="B766" s="539"/>
      <c r="D766" s="212"/>
      <c r="F766" s="212"/>
      <c r="G766" s="212"/>
      <c r="J766" s="539"/>
      <c r="S766" s="212"/>
      <c r="U766" s="539"/>
      <c r="V766" s="539"/>
      <c r="W766" s="540"/>
      <c r="X766" s="211"/>
      <c r="Y766" s="211"/>
      <c r="Z766" s="211"/>
      <c r="AA766" s="211"/>
      <c r="AB766" s="212"/>
      <c r="AD766" s="212"/>
      <c r="AF766" s="475"/>
    </row>
    <row r="767" spans="1:32" x14ac:dyDescent="0.25">
      <c r="A767" s="212"/>
      <c r="B767" s="539"/>
      <c r="D767" s="212"/>
      <c r="F767" s="212"/>
      <c r="G767" s="212"/>
      <c r="J767" s="539"/>
      <c r="S767" s="212"/>
      <c r="U767" s="539"/>
      <c r="V767" s="539"/>
      <c r="W767" s="540"/>
      <c r="X767" s="211"/>
      <c r="Y767" s="211"/>
      <c r="Z767" s="211"/>
      <c r="AA767" s="211"/>
      <c r="AB767" s="212"/>
      <c r="AD767" s="212"/>
      <c r="AF767" s="475"/>
    </row>
    <row r="768" spans="1:32" x14ac:dyDescent="0.25">
      <c r="A768" s="212"/>
      <c r="B768" s="539"/>
      <c r="D768" s="212"/>
      <c r="F768" s="212"/>
      <c r="G768" s="212"/>
      <c r="J768" s="539"/>
      <c r="S768" s="212"/>
      <c r="U768" s="539"/>
      <c r="V768" s="539"/>
      <c r="W768" s="540"/>
      <c r="X768" s="211"/>
      <c r="Y768" s="211"/>
      <c r="Z768" s="211"/>
      <c r="AA768" s="211"/>
      <c r="AB768" s="212"/>
      <c r="AD768" s="212"/>
      <c r="AF768" s="475"/>
    </row>
    <row r="769" spans="1:32" x14ac:dyDescent="0.25">
      <c r="A769" s="212"/>
      <c r="B769" s="539"/>
      <c r="D769" s="212"/>
      <c r="F769" s="212"/>
      <c r="G769" s="212"/>
      <c r="J769" s="539"/>
      <c r="S769" s="212"/>
      <c r="U769" s="539"/>
      <c r="V769" s="539"/>
      <c r="W769" s="540"/>
      <c r="X769" s="211"/>
      <c r="Y769" s="211"/>
      <c r="Z769" s="211"/>
      <c r="AA769" s="211"/>
      <c r="AB769" s="212"/>
      <c r="AD769" s="212"/>
      <c r="AF769" s="475"/>
    </row>
    <row r="770" spans="1:32" x14ac:dyDescent="0.25">
      <c r="A770" s="212"/>
      <c r="B770" s="539"/>
      <c r="D770" s="212"/>
      <c r="F770" s="212"/>
      <c r="G770" s="212"/>
      <c r="J770" s="539"/>
      <c r="S770" s="212"/>
      <c r="U770" s="539"/>
      <c r="V770" s="539"/>
      <c r="W770" s="540"/>
      <c r="X770" s="211"/>
      <c r="Y770" s="211"/>
      <c r="Z770" s="211"/>
      <c r="AA770" s="211"/>
      <c r="AB770" s="212"/>
      <c r="AD770" s="212"/>
      <c r="AF770" s="475"/>
    </row>
    <row r="771" spans="1:32" x14ac:dyDescent="0.25">
      <c r="A771" s="212"/>
      <c r="B771" s="539"/>
      <c r="D771" s="212"/>
      <c r="F771" s="212"/>
      <c r="G771" s="212"/>
      <c r="J771" s="539"/>
      <c r="S771" s="212"/>
      <c r="U771" s="539"/>
      <c r="V771" s="539"/>
      <c r="W771" s="540"/>
      <c r="X771" s="211"/>
      <c r="Y771" s="211"/>
      <c r="Z771" s="211"/>
      <c r="AA771" s="211"/>
      <c r="AB771" s="212"/>
      <c r="AD771" s="212"/>
      <c r="AF771" s="475"/>
    </row>
    <row r="772" spans="1:32" x14ac:dyDescent="0.25">
      <c r="A772" s="212"/>
      <c r="B772" s="539"/>
      <c r="D772" s="212"/>
      <c r="F772" s="212"/>
      <c r="G772" s="212"/>
      <c r="J772" s="539"/>
      <c r="S772" s="212"/>
      <c r="U772" s="539"/>
      <c r="V772" s="539"/>
      <c r="W772" s="540"/>
      <c r="X772" s="211"/>
      <c r="Y772" s="211"/>
      <c r="Z772" s="211"/>
      <c r="AA772" s="211"/>
      <c r="AB772" s="212"/>
      <c r="AD772" s="212"/>
      <c r="AF772" s="475"/>
    </row>
    <row r="773" spans="1:32" x14ac:dyDescent="0.25">
      <c r="A773" s="212"/>
      <c r="B773" s="539"/>
      <c r="D773" s="212"/>
      <c r="F773" s="212"/>
      <c r="G773" s="212"/>
      <c r="J773" s="539"/>
      <c r="S773" s="212"/>
      <c r="U773" s="539"/>
      <c r="V773" s="539"/>
      <c r="W773" s="540"/>
      <c r="X773" s="211"/>
      <c r="Y773" s="211"/>
      <c r="Z773" s="211"/>
      <c r="AA773" s="211"/>
      <c r="AB773" s="212"/>
      <c r="AD773" s="212"/>
      <c r="AF773" s="475"/>
    </row>
    <row r="774" spans="1:32" x14ac:dyDescent="0.25">
      <c r="A774" s="212"/>
      <c r="B774" s="539"/>
      <c r="D774" s="212"/>
      <c r="F774" s="212"/>
      <c r="G774" s="212"/>
      <c r="J774" s="539"/>
      <c r="S774" s="212"/>
      <c r="U774" s="539"/>
      <c r="V774" s="539"/>
      <c r="W774" s="540"/>
      <c r="X774" s="211"/>
      <c r="Y774" s="211"/>
      <c r="Z774" s="211"/>
      <c r="AA774" s="211"/>
      <c r="AB774" s="212"/>
      <c r="AD774" s="212"/>
      <c r="AF774" s="475"/>
    </row>
    <row r="775" spans="1:32" x14ac:dyDescent="0.25">
      <c r="A775" s="212"/>
      <c r="B775" s="539"/>
      <c r="D775" s="212"/>
      <c r="F775" s="212"/>
      <c r="G775" s="212"/>
      <c r="J775" s="539"/>
      <c r="S775" s="212"/>
      <c r="U775" s="539"/>
      <c r="V775" s="539"/>
      <c r="W775" s="540"/>
      <c r="X775" s="211"/>
      <c r="Y775" s="211"/>
      <c r="Z775" s="211"/>
      <c r="AA775" s="211"/>
      <c r="AB775" s="212"/>
      <c r="AD775" s="212"/>
      <c r="AF775" s="475"/>
    </row>
    <row r="776" spans="1:32" x14ac:dyDescent="0.25">
      <c r="A776" s="212"/>
      <c r="B776" s="539"/>
      <c r="D776" s="212"/>
      <c r="F776" s="212"/>
      <c r="G776" s="212"/>
      <c r="J776" s="539"/>
      <c r="S776" s="212"/>
      <c r="U776" s="539"/>
      <c r="V776" s="539"/>
      <c r="W776" s="540"/>
      <c r="X776" s="211"/>
      <c r="Y776" s="211"/>
      <c r="Z776" s="211"/>
      <c r="AA776" s="211"/>
      <c r="AB776" s="212"/>
      <c r="AD776" s="212"/>
      <c r="AF776" s="475"/>
    </row>
    <row r="777" spans="1:32" x14ac:dyDescent="0.25">
      <c r="A777" s="212"/>
      <c r="B777" s="539"/>
      <c r="D777" s="212"/>
      <c r="F777" s="212"/>
      <c r="G777" s="212"/>
      <c r="J777" s="539"/>
      <c r="S777" s="212"/>
      <c r="U777" s="539"/>
      <c r="V777" s="539"/>
      <c r="W777" s="540"/>
      <c r="X777" s="211"/>
      <c r="Y777" s="211"/>
      <c r="Z777" s="211"/>
      <c r="AA777" s="211"/>
      <c r="AB777" s="212"/>
      <c r="AD777" s="212"/>
      <c r="AF777" s="475"/>
    </row>
    <row r="778" spans="1:32" x14ac:dyDescent="0.25">
      <c r="A778" s="212"/>
      <c r="B778" s="539"/>
      <c r="D778" s="212"/>
      <c r="F778" s="212"/>
      <c r="G778" s="212"/>
      <c r="J778" s="539"/>
      <c r="S778" s="212"/>
      <c r="U778" s="539"/>
      <c r="V778" s="539"/>
      <c r="W778" s="540"/>
      <c r="X778" s="211"/>
      <c r="Y778" s="211"/>
      <c r="Z778" s="211"/>
      <c r="AA778" s="211"/>
      <c r="AB778" s="212"/>
      <c r="AD778" s="212"/>
      <c r="AF778" s="475"/>
    </row>
    <row r="779" spans="1:32" x14ac:dyDescent="0.25">
      <c r="A779" s="212"/>
      <c r="B779" s="539"/>
      <c r="D779" s="212"/>
      <c r="F779" s="212"/>
      <c r="G779" s="212"/>
      <c r="J779" s="539"/>
      <c r="S779" s="212"/>
      <c r="U779" s="539"/>
      <c r="V779" s="539"/>
      <c r="W779" s="540"/>
      <c r="X779" s="211"/>
      <c r="Y779" s="211"/>
      <c r="Z779" s="211"/>
      <c r="AA779" s="211"/>
      <c r="AB779" s="212"/>
      <c r="AD779" s="212"/>
      <c r="AF779" s="475"/>
    </row>
    <row r="780" spans="1:32" x14ac:dyDescent="0.25">
      <c r="A780" s="212"/>
      <c r="B780" s="539"/>
      <c r="D780" s="212"/>
      <c r="F780" s="212"/>
      <c r="G780" s="212"/>
      <c r="J780" s="539"/>
      <c r="S780" s="212"/>
      <c r="U780" s="539"/>
      <c r="V780" s="539"/>
      <c r="W780" s="540"/>
      <c r="X780" s="211"/>
      <c r="Y780" s="211"/>
      <c r="Z780" s="211"/>
      <c r="AA780" s="211"/>
      <c r="AB780" s="212"/>
      <c r="AD780" s="212"/>
      <c r="AF780" s="475"/>
    </row>
    <row r="781" spans="1:32" x14ac:dyDescent="0.25">
      <c r="A781" s="212"/>
      <c r="B781" s="539"/>
      <c r="D781" s="212"/>
      <c r="F781" s="212"/>
      <c r="G781" s="212"/>
      <c r="J781" s="539"/>
      <c r="S781" s="212"/>
      <c r="U781" s="539"/>
      <c r="V781" s="539"/>
      <c r="W781" s="540"/>
      <c r="X781" s="211"/>
      <c r="Y781" s="211"/>
      <c r="Z781" s="211"/>
      <c r="AA781" s="211"/>
      <c r="AB781" s="212"/>
      <c r="AD781" s="212"/>
      <c r="AF781" s="475"/>
    </row>
    <row r="782" spans="1:32" x14ac:dyDescent="0.25">
      <c r="A782" s="212"/>
      <c r="B782" s="539"/>
      <c r="D782" s="212"/>
      <c r="F782" s="212"/>
      <c r="G782" s="212"/>
      <c r="J782" s="539"/>
      <c r="S782" s="212"/>
      <c r="U782" s="539"/>
      <c r="V782" s="539"/>
      <c r="W782" s="540"/>
      <c r="X782" s="211"/>
      <c r="Y782" s="211"/>
      <c r="Z782" s="211"/>
      <c r="AA782" s="211"/>
      <c r="AB782" s="212"/>
      <c r="AD782" s="212"/>
      <c r="AF782" s="475"/>
    </row>
    <row r="783" spans="1:32" x14ac:dyDescent="0.25">
      <c r="A783" s="212"/>
      <c r="B783" s="539"/>
      <c r="D783" s="212"/>
      <c r="F783" s="212"/>
      <c r="G783" s="212"/>
      <c r="J783" s="539"/>
      <c r="S783" s="212"/>
      <c r="U783" s="539"/>
      <c r="V783" s="539"/>
      <c r="W783" s="540"/>
      <c r="X783" s="211"/>
      <c r="Y783" s="211"/>
      <c r="Z783" s="211"/>
      <c r="AA783" s="211"/>
      <c r="AB783" s="212"/>
      <c r="AD783" s="212"/>
      <c r="AF783" s="475"/>
    </row>
    <row r="784" spans="1:32" x14ac:dyDescent="0.25">
      <c r="A784" s="212"/>
      <c r="B784" s="539"/>
      <c r="D784" s="212"/>
      <c r="F784" s="212"/>
      <c r="G784" s="212"/>
      <c r="J784" s="539"/>
      <c r="S784" s="212"/>
      <c r="U784" s="539"/>
      <c r="V784" s="539"/>
      <c r="W784" s="540"/>
      <c r="X784" s="211"/>
      <c r="Y784" s="211"/>
      <c r="Z784" s="211"/>
      <c r="AA784" s="211"/>
      <c r="AB784" s="212"/>
      <c r="AD784" s="212"/>
      <c r="AF784" s="475"/>
    </row>
    <row r="785" spans="1:32" x14ac:dyDescent="0.25">
      <c r="A785" s="212"/>
      <c r="B785" s="539"/>
      <c r="D785" s="212"/>
      <c r="F785" s="212"/>
      <c r="G785" s="212"/>
      <c r="J785" s="539"/>
      <c r="S785" s="212"/>
      <c r="U785" s="539"/>
      <c r="V785" s="539"/>
      <c r="W785" s="540"/>
      <c r="X785" s="211"/>
      <c r="Y785" s="211"/>
      <c r="Z785" s="211"/>
      <c r="AA785" s="211"/>
      <c r="AB785" s="212"/>
      <c r="AD785" s="212"/>
      <c r="AF785" s="475"/>
    </row>
    <row r="786" spans="1:32" x14ac:dyDescent="0.25">
      <c r="A786" s="212"/>
      <c r="B786" s="539"/>
      <c r="D786" s="212"/>
      <c r="F786" s="212"/>
      <c r="G786" s="212"/>
      <c r="J786" s="539"/>
      <c r="S786" s="212"/>
      <c r="U786" s="539"/>
      <c r="V786" s="539"/>
      <c r="W786" s="540"/>
      <c r="X786" s="211"/>
      <c r="Y786" s="211"/>
      <c r="Z786" s="211"/>
      <c r="AA786" s="211"/>
      <c r="AB786" s="212"/>
      <c r="AD786" s="212"/>
      <c r="AF786" s="475"/>
    </row>
    <row r="787" spans="1:32" x14ac:dyDescent="0.25">
      <c r="A787" s="212"/>
      <c r="B787" s="539"/>
      <c r="D787" s="212"/>
      <c r="F787" s="212"/>
      <c r="G787" s="212"/>
      <c r="J787" s="539"/>
      <c r="S787" s="212"/>
      <c r="U787" s="539"/>
      <c r="V787" s="539"/>
      <c r="W787" s="540"/>
      <c r="X787" s="211"/>
      <c r="Y787" s="211"/>
      <c r="Z787" s="211"/>
      <c r="AA787" s="211"/>
      <c r="AB787" s="212"/>
      <c r="AD787" s="212"/>
      <c r="AF787" s="475"/>
    </row>
    <row r="788" spans="1:32" x14ac:dyDescent="0.25">
      <c r="A788" s="212"/>
      <c r="B788" s="539"/>
      <c r="D788" s="212"/>
      <c r="F788" s="212"/>
      <c r="G788" s="212"/>
      <c r="J788" s="539"/>
      <c r="S788" s="212"/>
      <c r="U788" s="539"/>
      <c r="V788" s="539"/>
      <c r="W788" s="540"/>
      <c r="X788" s="211"/>
      <c r="Y788" s="211"/>
      <c r="Z788" s="211"/>
      <c r="AA788" s="211"/>
      <c r="AB788" s="212"/>
      <c r="AD788" s="212"/>
      <c r="AF788" s="475"/>
    </row>
    <row r="789" spans="1:32" x14ac:dyDescent="0.25">
      <c r="A789" s="212"/>
      <c r="B789" s="539"/>
      <c r="D789" s="212"/>
      <c r="F789" s="212"/>
      <c r="G789" s="212"/>
      <c r="J789" s="539"/>
      <c r="S789" s="212"/>
      <c r="U789" s="539"/>
      <c r="V789" s="539"/>
      <c r="W789" s="540"/>
      <c r="X789" s="211"/>
      <c r="Y789" s="211"/>
      <c r="Z789" s="211"/>
      <c r="AA789" s="211"/>
      <c r="AB789" s="212"/>
      <c r="AD789" s="212"/>
      <c r="AF789" s="475"/>
    </row>
    <row r="790" spans="1:32" x14ac:dyDescent="0.25">
      <c r="A790" s="212"/>
      <c r="B790" s="539"/>
      <c r="D790" s="212"/>
      <c r="F790" s="212"/>
      <c r="G790" s="212"/>
      <c r="J790" s="539"/>
      <c r="S790" s="212"/>
      <c r="U790" s="539"/>
      <c r="V790" s="539"/>
      <c r="W790" s="540"/>
      <c r="X790" s="211"/>
      <c r="Y790" s="211"/>
      <c r="Z790" s="211"/>
      <c r="AA790" s="211"/>
      <c r="AB790" s="212"/>
      <c r="AD790" s="212"/>
      <c r="AF790" s="475"/>
    </row>
    <row r="791" spans="1:32" x14ac:dyDescent="0.25">
      <c r="A791" s="212"/>
      <c r="B791" s="539"/>
      <c r="D791" s="212"/>
      <c r="F791" s="212"/>
      <c r="G791" s="212"/>
      <c r="J791" s="539"/>
      <c r="S791" s="212"/>
      <c r="U791" s="539"/>
      <c r="V791" s="539"/>
      <c r="W791" s="540"/>
      <c r="X791" s="211"/>
      <c r="Y791" s="211"/>
      <c r="Z791" s="211"/>
      <c r="AA791" s="211"/>
      <c r="AB791" s="212"/>
      <c r="AD791" s="212"/>
      <c r="AF791" s="475"/>
    </row>
    <row r="792" spans="1:32" x14ac:dyDescent="0.25">
      <c r="A792" s="212"/>
      <c r="B792" s="539"/>
      <c r="D792" s="212"/>
      <c r="F792" s="212"/>
      <c r="G792" s="212"/>
      <c r="J792" s="539"/>
      <c r="S792" s="212"/>
      <c r="U792" s="539"/>
      <c r="V792" s="539"/>
      <c r="W792" s="540"/>
      <c r="X792" s="211"/>
      <c r="Y792" s="211"/>
      <c r="Z792" s="211"/>
      <c r="AA792" s="211"/>
      <c r="AB792" s="212"/>
      <c r="AD792" s="212"/>
      <c r="AF792" s="475"/>
    </row>
    <row r="793" spans="1:32" x14ac:dyDescent="0.25">
      <c r="A793" s="212"/>
      <c r="B793" s="539"/>
      <c r="D793" s="212"/>
      <c r="F793" s="212"/>
      <c r="G793" s="212"/>
      <c r="J793" s="539"/>
      <c r="S793" s="212"/>
      <c r="U793" s="539"/>
      <c r="V793" s="539"/>
      <c r="W793" s="540"/>
      <c r="X793" s="211"/>
      <c r="Y793" s="211"/>
      <c r="Z793" s="211"/>
      <c r="AA793" s="211"/>
      <c r="AB793" s="212"/>
      <c r="AD793" s="212"/>
      <c r="AF793" s="475"/>
    </row>
    <row r="794" spans="1:32" x14ac:dyDescent="0.25">
      <c r="A794" s="212"/>
      <c r="B794" s="539"/>
      <c r="D794" s="212"/>
      <c r="F794" s="212"/>
      <c r="G794" s="212"/>
      <c r="J794" s="539"/>
      <c r="S794" s="212"/>
      <c r="U794" s="539"/>
      <c r="V794" s="539"/>
      <c r="W794" s="540"/>
      <c r="X794" s="211"/>
      <c r="Y794" s="211"/>
      <c r="Z794" s="211"/>
      <c r="AA794" s="211"/>
      <c r="AB794" s="212"/>
      <c r="AD794" s="212"/>
      <c r="AF794" s="475"/>
    </row>
    <row r="795" spans="1:32" x14ac:dyDescent="0.25">
      <c r="A795" s="212"/>
      <c r="B795" s="539"/>
      <c r="D795" s="212"/>
      <c r="F795" s="212"/>
      <c r="G795" s="212"/>
      <c r="J795" s="539"/>
      <c r="S795" s="212"/>
      <c r="U795" s="539"/>
      <c r="V795" s="539"/>
      <c r="W795" s="540"/>
      <c r="X795" s="211"/>
      <c r="Y795" s="211"/>
      <c r="Z795" s="211"/>
      <c r="AA795" s="211"/>
      <c r="AB795" s="212"/>
      <c r="AD795" s="212"/>
      <c r="AF795" s="475"/>
    </row>
    <row r="796" spans="1:32" x14ac:dyDescent="0.25">
      <c r="A796" s="212"/>
      <c r="B796" s="539"/>
      <c r="D796" s="212"/>
      <c r="F796" s="212"/>
      <c r="G796" s="212"/>
      <c r="J796" s="539"/>
      <c r="S796" s="212"/>
      <c r="U796" s="539"/>
      <c r="V796" s="539"/>
      <c r="W796" s="540"/>
      <c r="X796" s="211"/>
      <c r="Y796" s="211"/>
      <c r="Z796" s="211"/>
      <c r="AA796" s="211"/>
      <c r="AB796" s="212"/>
      <c r="AD796" s="212"/>
      <c r="AF796" s="475"/>
    </row>
    <row r="797" spans="1:32" x14ac:dyDescent="0.25">
      <c r="A797" s="212"/>
      <c r="B797" s="539"/>
      <c r="D797" s="212"/>
      <c r="F797" s="212"/>
      <c r="G797" s="212"/>
      <c r="J797" s="539"/>
      <c r="S797" s="212"/>
      <c r="U797" s="539"/>
      <c r="V797" s="539"/>
      <c r="W797" s="540"/>
      <c r="X797" s="211"/>
      <c r="Y797" s="211"/>
      <c r="Z797" s="211"/>
      <c r="AA797" s="211"/>
      <c r="AB797" s="212"/>
      <c r="AD797" s="212"/>
      <c r="AF797" s="475"/>
    </row>
    <row r="798" spans="1:32" x14ac:dyDescent="0.25">
      <c r="A798" s="212"/>
      <c r="B798" s="539"/>
      <c r="D798" s="212"/>
      <c r="F798" s="212"/>
      <c r="G798" s="212"/>
      <c r="J798" s="539"/>
      <c r="S798" s="212"/>
      <c r="U798" s="539"/>
      <c r="V798" s="539"/>
      <c r="W798" s="540"/>
      <c r="X798" s="211"/>
      <c r="Y798" s="211"/>
      <c r="Z798" s="211"/>
      <c r="AA798" s="211"/>
      <c r="AB798" s="212"/>
      <c r="AD798" s="212"/>
      <c r="AF798" s="475"/>
    </row>
    <row r="799" spans="1:32" x14ac:dyDescent="0.25">
      <c r="A799" s="212"/>
      <c r="B799" s="539"/>
      <c r="D799" s="212"/>
      <c r="F799" s="212"/>
      <c r="G799" s="212"/>
      <c r="J799" s="539"/>
      <c r="S799" s="212"/>
      <c r="U799" s="539"/>
      <c r="V799" s="539"/>
      <c r="W799" s="540"/>
      <c r="X799" s="211"/>
      <c r="Y799" s="211"/>
      <c r="Z799" s="211"/>
      <c r="AA799" s="211"/>
      <c r="AB799" s="212"/>
      <c r="AD799" s="212"/>
      <c r="AF799" s="475"/>
    </row>
    <row r="800" spans="1:32" x14ac:dyDescent="0.25">
      <c r="A800" s="212"/>
      <c r="B800" s="539"/>
      <c r="D800" s="212"/>
      <c r="F800" s="212"/>
      <c r="G800" s="212"/>
      <c r="J800" s="539"/>
      <c r="S800" s="212"/>
      <c r="U800" s="539"/>
      <c r="V800" s="539"/>
      <c r="W800" s="540"/>
      <c r="X800" s="211"/>
      <c r="Y800" s="211"/>
      <c r="Z800" s="211"/>
      <c r="AA800" s="211"/>
      <c r="AB800" s="212"/>
      <c r="AD800" s="212"/>
      <c r="AF800" s="475"/>
    </row>
    <row r="801" spans="1:32" x14ac:dyDescent="0.25">
      <c r="A801" s="212"/>
      <c r="B801" s="539"/>
      <c r="D801" s="212"/>
      <c r="F801" s="212"/>
      <c r="G801" s="212"/>
      <c r="J801" s="539"/>
      <c r="S801" s="212"/>
      <c r="U801" s="539"/>
      <c r="V801" s="539"/>
      <c r="W801" s="540"/>
      <c r="X801" s="211"/>
      <c r="Y801" s="211"/>
      <c r="Z801" s="211"/>
      <c r="AA801" s="211"/>
      <c r="AB801" s="212"/>
      <c r="AD801" s="212"/>
      <c r="AF801" s="475"/>
    </row>
    <row r="802" spans="1:32" x14ac:dyDescent="0.25">
      <c r="A802" s="212"/>
      <c r="B802" s="539"/>
      <c r="D802" s="212"/>
      <c r="F802" s="212"/>
      <c r="G802" s="212"/>
      <c r="J802" s="539"/>
      <c r="S802" s="212"/>
      <c r="U802" s="539"/>
      <c r="V802" s="539"/>
      <c r="W802" s="540"/>
      <c r="X802" s="211"/>
      <c r="Y802" s="211"/>
      <c r="Z802" s="211"/>
      <c r="AA802" s="211"/>
      <c r="AB802" s="212"/>
      <c r="AD802" s="212"/>
      <c r="AF802" s="475"/>
    </row>
    <row r="803" spans="1:32" x14ac:dyDescent="0.25">
      <c r="A803" s="212"/>
      <c r="B803" s="539"/>
      <c r="D803" s="212"/>
      <c r="F803" s="212"/>
      <c r="G803" s="212"/>
      <c r="J803" s="539"/>
      <c r="S803" s="212"/>
      <c r="U803" s="539"/>
      <c r="V803" s="539"/>
      <c r="W803" s="540"/>
      <c r="X803" s="211"/>
      <c r="Y803" s="211"/>
      <c r="Z803" s="211"/>
      <c r="AA803" s="211"/>
      <c r="AB803" s="212"/>
      <c r="AD803" s="212"/>
      <c r="AF803" s="475"/>
    </row>
    <row r="804" spans="1:32" x14ac:dyDescent="0.25">
      <c r="A804" s="212"/>
      <c r="B804" s="539"/>
      <c r="D804" s="212"/>
      <c r="F804" s="212"/>
      <c r="G804" s="212"/>
      <c r="J804" s="539"/>
      <c r="S804" s="212"/>
      <c r="U804" s="539"/>
      <c r="V804" s="539"/>
      <c r="W804" s="540"/>
      <c r="X804" s="211"/>
      <c r="Y804" s="211"/>
      <c r="Z804" s="211"/>
      <c r="AA804" s="211"/>
      <c r="AB804" s="212"/>
      <c r="AD804" s="212"/>
      <c r="AF804" s="475"/>
    </row>
    <row r="805" spans="1:32" x14ac:dyDescent="0.25">
      <c r="A805" s="212"/>
      <c r="B805" s="539"/>
      <c r="D805" s="212"/>
      <c r="F805" s="212"/>
      <c r="G805" s="212"/>
      <c r="J805" s="539"/>
      <c r="S805" s="212"/>
      <c r="U805" s="539"/>
      <c r="V805" s="539"/>
      <c r="W805" s="540"/>
      <c r="X805" s="211"/>
      <c r="Y805" s="211"/>
      <c r="Z805" s="211"/>
      <c r="AA805" s="211"/>
      <c r="AB805" s="212"/>
      <c r="AD805" s="212"/>
      <c r="AF805" s="475"/>
    </row>
    <row r="806" spans="1:32" x14ac:dyDescent="0.25">
      <c r="A806" s="212"/>
      <c r="B806" s="539"/>
      <c r="D806" s="212"/>
      <c r="F806" s="212"/>
      <c r="G806" s="212"/>
      <c r="J806" s="539"/>
      <c r="S806" s="212"/>
      <c r="U806" s="539"/>
      <c r="V806" s="539"/>
      <c r="W806" s="540"/>
      <c r="X806" s="211"/>
      <c r="Y806" s="211"/>
      <c r="Z806" s="211"/>
      <c r="AA806" s="211"/>
      <c r="AB806" s="212"/>
      <c r="AD806" s="212"/>
      <c r="AF806" s="475"/>
    </row>
    <row r="807" spans="1:32" x14ac:dyDescent="0.25">
      <c r="A807" s="212"/>
      <c r="B807" s="539"/>
      <c r="D807" s="212"/>
      <c r="F807" s="212"/>
      <c r="G807" s="212"/>
      <c r="J807" s="539"/>
      <c r="S807" s="212"/>
      <c r="U807" s="539"/>
      <c r="V807" s="539"/>
      <c r="W807" s="540"/>
      <c r="X807" s="211"/>
      <c r="Y807" s="211"/>
      <c r="Z807" s="211"/>
      <c r="AA807" s="211"/>
      <c r="AB807" s="212"/>
      <c r="AD807" s="212"/>
      <c r="AF807" s="475"/>
    </row>
    <row r="808" spans="1:32" x14ac:dyDescent="0.25">
      <c r="A808" s="212"/>
      <c r="B808" s="539"/>
      <c r="D808" s="212"/>
      <c r="F808" s="212"/>
      <c r="G808" s="212"/>
      <c r="J808" s="539"/>
      <c r="S808" s="212"/>
      <c r="U808" s="539"/>
      <c r="V808" s="539"/>
      <c r="W808" s="540"/>
      <c r="X808" s="211"/>
      <c r="Y808" s="211"/>
      <c r="Z808" s="211"/>
      <c r="AA808" s="211"/>
      <c r="AB808" s="212"/>
      <c r="AD808" s="212"/>
      <c r="AF808" s="475"/>
    </row>
    <row r="809" spans="1:32" x14ac:dyDescent="0.25">
      <c r="A809" s="212"/>
      <c r="B809" s="539"/>
      <c r="D809" s="212"/>
      <c r="F809" s="212"/>
      <c r="G809" s="212"/>
      <c r="J809" s="539"/>
      <c r="S809" s="212"/>
      <c r="U809" s="539"/>
      <c r="V809" s="539"/>
      <c r="W809" s="540"/>
      <c r="X809" s="211"/>
      <c r="Y809" s="211"/>
      <c r="Z809" s="211"/>
      <c r="AA809" s="211"/>
      <c r="AB809" s="212"/>
      <c r="AD809" s="212"/>
      <c r="AF809" s="475"/>
    </row>
    <row r="810" spans="1:32" x14ac:dyDescent="0.25">
      <c r="A810" s="212"/>
      <c r="B810" s="539"/>
      <c r="D810" s="212"/>
      <c r="F810" s="212"/>
      <c r="G810" s="212"/>
      <c r="J810" s="539"/>
      <c r="S810" s="212"/>
      <c r="U810" s="539"/>
      <c r="V810" s="539"/>
      <c r="W810" s="540"/>
      <c r="X810" s="211"/>
      <c r="Y810" s="211"/>
      <c r="Z810" s="211"/>
      <c r="AA810" s="211"/>
      <c r="AB810" s="212"/>
      <c r="AD810" s="212"/>
      <c r="AF810" s="475"/>
    </row>
    <row r="811" spans="1:32" x14ac:dyDescent="0.25">
      <c r="A811" s="212"/>
      <c r="B811" s="539"/>
      <c r="D811" s="212"/>
      <c r="F811" s="212"/>
      <c r="G811" s="212"/>
      <c r="J811" s="539"/>
      <c r="S811" s="212"/>
      <c r="U811" s="539"/>
      <c r="V811" s="539"/>
      <c r="W811" s="540"/>
      <c r="X811" s="211"/>
      <c r="Y811" s="211"/>
      <c r="Z811" s="211"/>
      <c r="AA811" s="211"/>
      <c r="AB811" s="212"/>
      <c r="AD811" s="212"/>
      <c r="AF811" s="475"/>
    </row>
    <row r="812" spans="1:32" x14ac:dyDescent="0.25">
      <c r="A812" s="212"/>
      <c r="B812" s="539"/>
      <c r="D812" s="212"/>
      <c r="F812" s="212"/>
      <c r="G812" s="212"/>
      <c r="J812" s="539"/>
      <c r="S812" s="212"/>
      <c r="U812" s="539"/>
      <c r="V812" s="539"/>
      <c r="W812" s="540"/>
      <c r="X812" s="211"/>
      <c r="Y812" s="211"/>
      <c r="Z812" s="211"/>
      <c r="AA812" s="211"/>
      <c r="AB812" s="212"/>
      <c r="AD812" s="212"/>
      <c r="AF812" s="475"/>
    </row>
    <row r="813" spans="1:32" x14ac:dyDescent="0.25">
      <c r="A813" s="212"/>
      <c r="B813" s="539"/>
      <c r="D813" s="212"/>
      <c r="F813" s="212"/>
      <c r="G813" s="212"/>
      <c r="J813" s="539"/>
      <c r="S813" s="212"/>
      <c r="U813" s="539"/>
      <c r="V813" s="539"/>
      <c r="W813" s="540"/>
      <c r="X813" s="211"/>
      <c r="Y813" s="211"/>
      <c r="Z813" s="211"/>
      <c r="AA813" s="211"/>
      <c r="AB813" s="212"/>
      <c r="AD813" s="212"/>
      <c r="AF813" s="475"/>
    </row>
    <row r="814" spans="1:32" x14ac:dyDescent="0.25">
      <c r="A814" s="212"/>
      <c r="B814" s="539"/>
      <c r="D814" s="212"/>
      <c r="F814" s="212"/>
      <c r="G814" s="212"/>
      <c r="J814" s="539"/>
      <c r="S814" s="212"/>
      <c r="U814" s="539"/>
      <c r="V814" s="539"/>
      <c r="W814" s="540"/>
      <c r="X814" s="211"/>
      <c r="Y814" s="211"/>
      <c r="Z814" s="211"/>
      <c r="AA814" s="211"/>
      <c r="AB814" s="212"/>
      <c r="AD814" s="212"/>
      <c r="AF814" s="475"/>
    </row>
    <row r="815" spans="1:32" x14ac:dyDescent="0.25">
      <c r="A815" s="212"/>
      <c r="B815" s="539"/>
      <c r="D815" s="212"/>
      <c r="F815" s="212"/>
      <c r="G815" s="212"/>
      <c r="J815" s="539"/>
      <c r="S815" s="212"/>
      <c r="U815" s="539"/>
      <c r="V815" s="539"/>
      <c r="W815" s="540"/>
      <c r="X815" s="211"/>
      <c r="Y815" s="211"/>
      <c r="Z815" s="211"/>
      <c r="AA815" s="211"/>
      <c r="AB815" s="212"/>
      <c r="AD815" s="212"/>
      <c r="AF815" s="475"/>
    </row>
    <row r="816" spans="1:32" x14ac:dyDescent="0.25">
      <c r="A816" s="212"/>
      <c r="B816" s="539"/>
      <c r="D816" s="212"/>
      <c r="F816" s="212"/>
      <c r="G816" s="212"/>
      <c r="J816" s="539"/>
      <c r="S816" s="212"/>
      <c r="U816" s="539"/>
      <c r="V816" s="539"/>
      <c r="W816" s="540"/>
      <c r="X816" s="211"/>
      <c r="Y816" s="211"/>
      <c r="Z816" s="211"/>
      <c r="AA816" s="211"/>
      <c r="AB816" s="212"/>
      <c r="AD816" s="212"/>
      <c r="AF816" s="475"/>
    </row>
    <row r="817" spans="1:32" x14ac:dyDescent="0.25">
      <c r="A817" s="212"/>
      <c r="B817" s="539"/>
      <c r="D817" s="212"/>
      <c r="F817" s="212"/>
      <c r="G817" s="212"/>
      <c r="J817" s="539"/>
      <c r="S817" s="212"/>
      <c r="U817" s="539"/>
      <c r="V817" s="539"/>
      <c r="W817" s="540"/>
      <c r="X817" s="211"/>
      <c r="Y817" s="211"/>
      <c r="Z817" s="211"/>
      <c r="AA817" s="211"/>
      <c r="AB817" s="212"/>
      <c r="AD817" s="212"/>
      <c r="AF817" s="475"/>
    </row>
    <row r="818" spans="1:32" x14ac:dyDescent="0.25">
      <c r="A818" s="212"/>
      <c r="B818" s="539"/>
      <c r="D818" s="212"/>
      <c r="F818" s="212"/>
      <c r="G818" s="212"/>
      <c r="J818" s="539"/>
      <c r="S818" s="212"/>
      <c r="U818" s="539"/>
      <c r="V818" s="539"/>
      <c r="W818" s="540"/>
      <c r="X818" s="211"/>
      <c r="Y818" s="211"/>
      <c r="Z818" s="211"/>
      <c r="AA818" s="211"/>
      <c r="AB818" s="212"/>
      <c r="AD818" s="212"/>
      <c r="AF818" s="475"/>
    </row>
    <row r="819" spans="1:32" x14ac:dyDescent="0.25">
      <c r="A819" s="212"/>
      <c r="B819" s="539"/>
      <c r="D819" s="212"/>
      <c r="F819" s="212"/>
      <c r="G819" s="212"/>
      <c r="J819" s="539"/>
      <c r="S819" s="212"/>
      <c r="U819" s="539"/>
      <c r="V819" s="539"/>
      <c r="W819" s="540"/>
      <c r="X819" s="211"/>
      <c r="Y819" s="211"/>
      <c r="Z819" s="211"/>
      <c r="AA819" s="211"/>
      <c r="AB819" s="212"/>
      <c r="AD819" s="212"/>
      <c r="AF819" s="475"/>
    </row>
    <row r="820" spans="1:32" x14ac:dyDescent="0.25">
      <c r="A820" s="212"/>
      <c r="B820" s="539"/>
      <c r="D820" s="212"/>
      <c r="F820" s="212"/>
      <c r="G820" s="212"/>
      <c r="J820" s="539"/>
      <c r="S820" s="212"/>
      <c r="U820" s="539"/>
      <c r="V820" s="539"/>
      <c r="W820" s="540"/>
      <c r="X820" s="211"/>
      <c r="Y820" s="211"/>
      <c r="Z820" s="211"/>
      <c r="AA820" s="211"/>
      <c r="AB820" s="212"/>
      <c r="AD820" s="212"/>
      <c r="AF820" s="475"/>
    </row>
    <row r="821" spans="1:32" x14ac:dyDescent="0.25">
      <c r="A821" s="212"/>
      <c r="B821" s="539"/>
      <c r="D821" s="212"/>
      <c r="F821" s="212"/>
      <c r="G821" s="212"/>
      <c r="J821" s="539"/>
      <c r="S821" s="212"/>
      <c r="U821" s="539"/>
      <c r="V821" s="539"/>
      <c r="W821" s="540"/>
      <c r="X821" s="211"/>
      <c r="Y821" s="211"/>
      <c r="Z821" s="211"/>
      <c r="AA821" s="211"/>
      <c r="AB821" s="212"/>
      <c r="AD821" s="212"/>
      <c r="AF821" s="475"/>
    </row>
    <row r="822" spans="1:32" x14ac:dyDescent="0.25">
      <c r="A822" s="212"/>
      <c r="B822" s="539"/>
      <c r="D822" s="212"/>
      <c r="F822" s="212"/>
      <c r="G822" s="212"/>
      <c r="J822" s="539"/>
      <c r="S822" s="212"/>
      <c r="U822" s="539"/>
      <c r="V822" s="539"/>
      <c r="W822" s="540"/>
      <c r="X822" s="211"/>
      <c r="Y822" s="211"/>
      <c r="Z822" s="211"/>
      <c r="AA822" s="211"/>
      <c r="AB822" s="212"/>
      <c r="AD822" s="212"/>
      <c r="AF822" s="475"/>
    </row>
    <row r="823" spans="1:32" x14ac:dyDescent="0.25">
      <c r="A823" s="212"/>
      <c r="B823" s="539"/>
      <c r="D823" s="212"/>
      <c r="F823" s="212"/>
      <c r="G823" s="212"/>
      <c r="J823" s="539"/>
      <c r="S823" s="212"/>
      <c r="U823" s="539"/>
      <c r="V823" s="539"/>
      <c r="W823" s="540"/>
      <c r="X823" s="211"/>
      <c r="Y823" s="211"/>
      <c r="Z823" s="211"/>
      <c r="AA823" s="211"/>
      <c r="AB823" s="212"/>
      <c r="AD823" s="212"/>
      <c r="AF823" s="475"/>
    </row>
    <row r="824" spans="1:32" x14ac:dyDescent="0.25">
      <c r="A824" s="212"/>
      <c r="B824" s="539"/>
      <c r="D824" s="212"/>
      <c r="F824" s="212"/>
      <c r="G824" s="212"/>
      <c r="J824" s="539"/>
      <c r="S824" s="212"/>
      <c r="U824" s="539"/>
      <c r="V824" s="539"/>
      <c r="W824" s="540"/>
      <c r="X824" s="211"/>
      <c r="Y824" s="211"/>
      <c r="Z824" s="211"/>
      <c r="AA824" s="211"/>
      <c r="AB824" s="212"/>
      <c r="AD824" s="212"/>
      <c r="AF824" s="475"/>
    </row>
    <row r="825" spans="1:32" x14ac:dyDescent="0.25">
      <c r="A825" s="212"/>
      <c r="B825" s="539"/>
      <c r="D825" s="212"/>
      <c r="F825" s="212"/>
      <c r="G825" s="212"/>
      <c r="J825" s="539"/>
      <c r="S825" s="212"/>
      <c r="U825" s="539"/>
      <c r="V825" s="539"/>
      <c r="W825" s="540"/>
      <c r="X825" s="211"/>
      <c r="Y825" s="211"/>
      <c r="Z825" s="211"/>
      <c r="AA825" s="211"/>
      <c r="AB825" s="212"/>
      <c r="AD825" s="212"/>
      <c r="AF825" s="475"/>
    </row>
    <row r="826" spans="1:32" x14ac:dyDescent="0.25">
      <c r="A826" s="212"/>
      <c r="B826" s="539"/>
      <c r="D826" s="212"/>
      <c r="F826" s="212"/>
      <c r="G826" s="212"/>
      <c r="J826" s="539"/>
      <c r="S826" s="212"/>
      <c r="U826" s="539"/>
      <c r="V826" s="539"/>
      <c r="W826" s="540"/>
      <c r="X826" s="211"/>
      <c r="Y826" s="211"/>
      <c r="Z826" s="211"/>
      <c r="AA826" s="211"/>
      <c r="AB826" s="212"/>
      <c r="AD826" s="212"/>
      <c r="AF826" s="475"/>
    </row>
    <row r="827" spans="1:32" x14ac:dyDescent="0.25">
      <c r="A827" s="212"/>
      <c r="B827" s="539"/>
      <c r="D827" s="212"/>
      <c r="F827" s="212"/>
      <c r="G827" s="212"/>
      <c r="J827" s="539"/>
      <c r="S827" s="212"/>
      <c r="U827" s="539"/>
      <c r="V827" s="539"/>
      <c r="W827" s="540"/>
      <c r="X827" s="211"/>
      <c r="Y827" s="211"/>
      <c r="Z827" s="211"/>
      <c r="AA827" s="211"/>
      <c r="AB827" s="212"/>
      <c r="AD827" s="212"/>
      <c r="AF827" s="475"/>
    </row>
    <row r="828" spans="1:32" x14ac:dyDescent="0.25">
      <c r="A828" s="212"/>
      <c r="B828" s="539"/>
      <c r="D828" s="212"/>
      <c r="F828" s="212"/>
      <c r="G828" s="212"/>
      <c r="J828" s="539"/>
      <c r="S828" s="212"/>
      <c r="U828" s="539"/>
      <c r="V828" s="539"/>
      <c r="W828" s="540"/>
      <c r="X828" s="211"/>
      <c r="Y828" s="211"/>
      <c r="Z828" s="211"/>
      <c r="AA828" s="211"/>
      <c r="AB828" s="212"/>
      <c r="AD828" s="212"/>
      <c r="AF828" s="475"/>
    </row>
    <row r="829" spans="1:32" x14ac:dyDescent="0.25">
      <c r="A829" s="212"/>
      <c r="B829" s="539"/>
      <c r="D829" s="212"/>
      <c r="F829" s="212"/>
      <c r="G829" s="212"/>
      <c r="J829" s="539"/>
      <c r="S829" s="212"/>
      <c r="U829" s="539"/>
      <c r="V829" s="539"/>
      <c r="W829" s="540"/>
      <c r="X829" s="211"/>
      <c r="Y829" s="211"/>
      <c r="Z829" s="211"/>
      <c r="AA829" s="211"/>
      <c r="AB829" s="212"/>
      <c r="AD829" s="212"/>
      <c r="AF829" s="475"/>
    </row>
    <row r="830" spans="1:32" x14ac:dyDescent="0.25">
      <c r="A830" s="212"/>
      <c r="B830" s="539"/>
      <c r="D830" s="212"/>
      <c r="F830" s="212"/>
      <c r="G830" s="212"/>
      <c r="J830" s="539"/>
      <c r="S830" s="212"/>
      <c r="U830" s="539"/>
      <c r="V830" s="539"/>
      <c r="W830" s="540"/>
      <c r="X830" s="211"/>
      <c r="Y830" s="211"/>
      <c r="Z830" s="211"/>
      <c r="AA830" s="211"/>
      <c r="AB830" s="212"/>
      <c r="AD830" s="212"/>
      <c r="AF830" s="475"/>
    </row>
    <row r="831" spans="1:32" x14ac:dyDescent="0.25">
      <c r="A831" s="212"/>
      <c r="B831" s="539"/>
      <c r="D831" s="212"/>
      <c r="F831" s="212"/>
      <c r="G831" s="212"/>
      <c r="J831" s="539"/>
      <c r="S831" s="212"/>
      <c r="U831" s="539"/>
      <c r="V831" s="539"/>
      <c r="W831" s="540"/>
      <c r="X831" s="211"/>
      <c r="Y831" s="211"/>
      <c r="Z831" s="211"/>
      <c r="AA831" s="211"/>
      <c r="AB831" s="212"/>
      <c r="AD831" s="212"/>
      <c r="AF831" s="475"/>
    </row>
    <row r="832" spans="1:32" x14ac:dyDescent="0.25">
      <c r="A832" s="212"/>
      <c r="B832" s="539"/>
      <c r="D832" s="212"/>
      <c r="F832" s="212"/>
      <c r="G832" s="212"/>
      <c r="J832" s="539"/>
      <c r="S832" s="212"/>
      <c r="U832" s="539"/>
      <c r="V832" s="539"/>
      <c r="W832" s="540"/>
      <c r="X832" s="211"/>
      <c r="Y832" s="211"/>
      <c r="Z832" s="211"/>
      <c r="AA832" s="211"/>
      <c r="AB832" s="212"/>
      <c r="AD832" s="212"/>
      <c r="AF832" s="475"/>
    </row>
    <row r="833" spans="1:32" x14ac:dyDescent="0.25">
      <c r="A833" s="212"/>
      <c r="B833" s="539"/>
      <c r="D833" s="212"/>
      <c r="F833" s="212"/>
      <c r="G833" s="212"/>
      <c r="J833" s="539"/>
      <c r="S833" s="212"/>
      <c r="U833" s="539"/>
      <c r="V833" s="539"/>
      <c r="W833" s="540"/>
      <c r="X833" s="211"/>
      <c r="Y833" s="211"/>
      <c r="Z833" s="211"/>
      <c r="AA833" s="211"/>
      <c r="AB833" s="212"/>
      <c r="AD833" s="212"/>
      <c r="AF833" s="475"/>
    </row>
    <row r="834" spans="1:32" x14ac:dyDescent="0.25">
      <c r="A834" s="212"/>
      <c r="B834" s="539"/>
      <c r="D834" s="212"/>
      <c r="F834" s="212"/>
      <c r="G834" s="212"/>
      <c r="J834" s="539"/>
      <c r="S834" s="212"/>
      <c r="U834" s="539"/>
      <c r="V834" s="539"/>
      <c r="W834" s="540"/>
      <c r="X834" s="211"/>
      <c r="Y834" s="211"/>
      <c r="Z834" s="211"/>
      <c r="AA834" s="211"/>
      <c r="AB834" s="212"/>
      <c r="AD834" s="212"/>
      <c r="AF834" s="475"/>
    </row>
    <row r="835" spans="1:32" x14ac:dyDescent="0.25">
      <c r="A835" s="212"/>
      <c r="B835" s="539"/>
      <c r="D835" s="212"/>
      <c r="F835" s="212"/>
      <c r="G835" s="212"/>
      <c r="J835" s="539"/>
      <c r="S835" s="212"/>
      <c r="U835" s="539"/>
      <c r="V835" s="539"/>
      <c r="W835" s="540"/>
      <c r="X835" s="211"/>
      <c r="Y835" s="211"/>
      <c r="Z835" s="211"/>
      <c r="AA835" s="211"/>
      <c r="AB835" s="212"/>
      <c r="AD835" s="212"/>
      <c r="AF835" s="475"/>
    </row>
    <row r="836" spans="1:32" x14ac:dyDescent="0.25">
      <c r="A836" s="212"/>
      <c r="B836" s="539"/>
      <c r="D836" s="212"/>
      <c r="F836" s="212"/>
      <c r="G836" s="212"/>
      <c r="J836" s="539"/>
      <c r="S836" s="212"/>
      <c r="U836" s="539"/>
      <c r="V836" s="539"/>
      <c r="W836" s="540"/>
      <c r="X836" s="211"/>
      <c r="Y836" s="211"/>
      <c r="Z836" s="211"/>
      <c r="AA836" s="211"/>
      <c r="AB836" s="212"/>
      <c r="AD836" s="212"/>
      <c r="AF836" s="475"/>
    </row>
    <row r="837" spans="1:32" x14ac:dyDescent="0.25">
      <c r="A837" s="212"/>
      <c r="B837" s="539"/>
      <c r="D837" s="212"/>
      <c r="F837" s="212"/>
      <c r="G837" s="212"/>
      <c r="J837" s="539"/>
      <c r="S837" s="212"/>
      <c r="U837" s="539"/>
      <c r="V837" s="539"/>
      <c r="W837" s="540"/>
      <c r="X837" s="211"/>
      <c r="Y837" s="211"/>
      <c r="Z837" s="211"/>
      <c r="AA837" s="211"/>
      <c r="AB837" s="212"/>
      <c r="AD837" s="212"/>
      <c r="AF837" s="475"/>
    </row>
    <row r="838" spans="1:32" x14ac:dyDescent="0.25">
      <c r="A838" s="212"/>
      <c r="B838" s="539"/>
      <c r="D838" s="212"/>
      <c r="F838" s="212"/>
      <c r="G838" s="212"/>
      <c r="J838" s="539"/>
      <c r="S838" s="212"/>
      <c r="U838" s="539"/>
      <c r="V838" s="539"/>
      <c r="W838" s="540"/>
      <c r="X838" s="211"/>
      <c r="Y838" s="211"/>
      <c r="Z838" s="211"/>
      <c r="AA838" s="211"/>
      <c r="AB838" s="212"/>
      <c r="AD838" s="212"/>
      <c r="AF838" s="475"/>
    </row>
    <row r="839" spans="1:32" x14ac:dyDescent="0.25">
      <c r="A839" s="212"/>
      <c r="B839" s="539"/>
      <c r="D839" s="212"/>
      <c r="F839" s="212"/>
      <c r="G839" s="212"/>
      <c r="J839" s="539"/>
      <c r="S839" s="212"/>
      <c r="U839" s="539"/>
      <c r="V839" s="539"/>
      <c r="W839" s="540"/>
      <c r="X839" s="211"/>
      <c r="Y839" s="211"/>
      <c r="Z839" s="211"/>
      <c r="AA839" s="211"/>
      <c r="AB839" s="212"/>
      <c r="AD839" s="212"/>
      <c r="AF839" s="475"/>
    </row>
    <row r="840" spans="1:32" x14ac:dyDescent="0.25">
      <c r="A840" s="212"/>
      <c r="B840" s="539"/>
      <c r="D840" s="212"/>
      <c r="F840" s="212"/>
      <c r="G840" s="212"/>
      <c r="J840" s="539"/>
      <c r="S840" s="212"/>
      <c r="U840" s="539"/>
      <c r="V840" s="539"/>
      <c r="W840" s="540"/>
      <c r="X840" s="211"/>
      <c r="Y840" s="211"/>
      <c r="Z840" s="211"/>
      <c r="AA840" s="211"/>
      <c r="AB840" s="212"/>
      <c r="AD840" s="212"/>
      <c r="AF840" s="475"/>
    </row>
    <row r="841" spans="1:32" x14ac:dyDescent="0.25">
      <c r="A841" s="212"/>
      <c r="B841" s="539"/>
      <c r="D841" s="212"/>
      <c r="F841" s="212"/>
      <c r="G841" s="212"/>
      <c r="J841" s="539"/>
      <c r="S841" s="212"/>
      <c r="U841" s="539"/>
      <c r="V841" s="539"/>
      <c r="W841" s="540"/>
      <c r="X841" s="211"/>
      <c r="Y841" s="211"/>
      <c r="Z841" s="211"/>
      <c r="AA841" s="211"/>
      <c r="AB841" s="212"/>
      <c r="AD841" s="212"/>
      <c r="AF841" s="475"/>
    </row>
    <row r="842" spans="1:32" x14ac:dyDescent="0.25">
      <c r="A842" s="212"/>
      <c r="B842" s="539"/>
      <c r="D842" s="212"/>
      <c r="F842" s="212"/>
      <c r="G842" s="212"/>
      <c r="J842" s="539"/>
      <c r="S842" s="212"/>
      <c r="U842" s="539"/>
      <c r="V842" s="539"/>
      <c r="W842" s="540"/>
      <c r="X842" s="211"/>
      <c r="Y842" s="211"/>
      <c r="Z842" s="211"/>
      <c r="AA842" s="211"/>
      <c r="AB842" s="212"/>
      <c r="AD842" s="212"/>
      <c r="AF842" s="475"/>
    </row>
    <row r="843" spans="1:32" x14ac:dyDescent="0.25">
      <c r="A843" s="212"/>
      <c r="B843" s="539"/>
      <c r="D843" s="212"/>
      <c r="F843" s="212"/>
      <c r="G843" s="212"/>
      <c r="J843" s="539"/>
      <c r="S843" s="212"/>
      <c r="U843" s="539"/>
      <c r="V843" s="539"/>
      <c r="W843" s="540"/>
      <c r="X843" s="211"/>
      <c r="Y843" s="211"/>
      <c r="Z843" s="211"/>
      <c r="AA843" s="211"/>
      <c r="AB843" s="212"/>
      <c r="AD843" s="212"/>
      <c r="AF843" s="475"/>
    </row>
    <row r="844" spans="1:32" x14ac:dyDescent="0.25">
      <c r="A844" s="212"/>
      <c r="B844" s="539"/>
      <c r="D844" s="212"/>
      <c r="F844" s="212"/>
      <c r="G844" s="212"/>
      <c r="J844" s="539"/>
      <c r="S844" s="212"/>
      <c r="U844" s="539"/>
      <c r="V844" s="539"/>
      <c r="W844" s="540"/>
      <c r="X844" s="211"/>
      <c r="Y844" s="211"/>
      <c r="Z844" s="211"/>
      <c r="AA844" s="211"/>
      <c r="AB844" s="212"/>
      <c r="AD844" s="212"/>
      <c r="AF844" s="475"/>
    </row>
    <row r="845" spans="1:32" x14ac:dyDescent="0.25">
      <c r="A845" s="212"/>
      <c r="B845" s="539"/>
      <c r="D845" s="212"/>
      <c r="F845" s="212"/>
      <c r="G845" s="212"/>
      <c r="J845" s="539"/>
      <c r="S845" s="212"/>
      <c r="U845" s="539"/>
      <c r="V845" s="539"/>
      <c r="W845" s="540"/>
      <c r="X845" s="211"/>
      <c r="Y845" s="211"/>
      <c r="Z845" s="211"/>
      <c r="AA845" s="211"/>
      <c r="AB845" s="212"/>
      <c r="AD845" s="212"/>
      <c r="AF845" s="475"/>
    </row>
    <row r="846" spans="1:32" x14ac:dyDescent="0.25">
      <c r="A846" s="212"/>
      <c r="B846" s="539"/>
      <c r="D846" s="212"/>
      <c r="F846" s="212"/>
      <c r="G846" s="212"/>
      <c r="J846" s="539"/>
      <c r="S846" s="212"/>
      <c r="U846" s="539"/>
      <c r="V846" s="539"/>
      <c r="W846" s="540"/>
      <c r="X846" s="211"/>
      <c r="Y846" s="211"/>
      <c r="Z846" s="211"/>
      <c r="AA846" s="211"/>
      <c r="AB846" s="212"/>
      <c r="AD846" s="212"/>
      <c r="AF846" s="475"/>
    </row>
    <row r="847" spans="1:32" x14ac:dyDescent="0.25">
      <c r="A847" s="212"/>
      <c r="B847" s="539"/>
      <c r="D847" s="212"/>
      <c r="F847" s="212"/>
      <c r="G847" s="212"/>
      <c r="J847" s="539"/>
      <c r="S847" s="212"/>
      <c r="U847" s="539"/>
      <c r="V847" s="539"/>
      <c r="W847" s="540"/>
      <c r="X847" s="211"/>
      <c r="Y847" s="211"/>
      <c r="Z847" s="211"/>
      <c r="AA847" s="211"/>
      <c r="AB847" s="212"/>
      <c r="AD847" s="212"/>
      <c r="AF847" s="475"/>
    </row>
    <row r="848" spans="1:32" x14ac:dyDescent="0.25">
      <c r="A848" s="212"/>
      <c r="B848" s="539"/>
      <c r="D848" s="212"/>
      <c r="F848" s="212"/>
      <c r="G848" s="212"/>
      <c r="J848" s="539"/>
      <c r="S848" s="212"/>
      <c r="U848" s="539"/>
      <c r="V848" s="539"/>
      <c r="W848" s="540"/>
      <c r="X848" s="211"/>
      <c r="Y848" s="211"/>
      <c r="Z848" s="211"/>
      <c r="AA848" s="211"/>
      <c r="AB848" s="212"/>
      <c r="AD848" s="212"/>
      <c r="AF848" s="475"/>
    </row>
    <row r="849" spans="1:32" x14ac:dyDescent="0.25">
      <c r="A849" s="212"/>
      <c r="B849" s="539"/>
      <c r="D849" s="212"/>
      <c r="F849" s="212"/>
      <c r="G849" s="212"/>
      <c r="J849" s="539"/>
      <c r="S849" s="212"/>
      <c r="U849" s="539"/>
      <c r="V849" s="539"/>
      <c r="W849" s="540"/>
      <c r="X849" s="211"/>
      <c r="Y849" s="211"/>
      <c r="Z849" s="211"/>
      <c r="AA849" s="211"/>
      <c r="AB849" s="212"/>
      <c r="AD849" s="212"/>
      <c r="AF849" s="475"/>
    </row>
    <row r="850" spans="1:32" x14ac:dyDescent="0.25">
      <c r="A850" s="212"/>
      <c r="B850" s="539"/>
      <c r="D850" s="212"/>
      <c r="F850" s="212"/>
      <c r="G850" s="212"/>
      <c r="J850" s="539"/>
      <c r="S850" s="212"/>
      <c r="U850" s="539"/>
      <c r="V850" s="539"/>
      <c r="W850" s="540"/>
      <c r="X850" s="211"/>
      <c r="Y850" s="211"/>
      <c r="Z850" s="211"/>
      <c r="AA850" s="211"/>
      <c r="AB850" s="212"/>
      <c r="AD850" s="212"/>
      <c r="AF850" s="475"/>
    </row>
    <row r="851" spans="1:32" x14ac:dyDescent="0.25">
      <c r="A851" s="212"/>
      <c r="B851" s="539"/>
      <c r="D851" s="212"/>
      <c r="F851" s="212"/>
      <c r="G851" s="212"/>
      <c r="J851" s="539"/>
      <c r="S851" s="212"/>
      <c r="U851" s="539"/>
      <c r="V851" s="539"/>
      <c r="W851" s="540"/>
      <c r="X851" s="211"/>
      <c r="Y851" s="211"/>
      <c r="Z851" s="211"/>
      <c r="AA851" s="211"/>
      <c r="AB851" s="212"/>
      <c r="AD851" s="212"/>
      <c r="AF851" s="475"/>
    </row>
    <row r="852" spans="1:32" x14ac:dyDescent="0.25">
      <c r="A852" s="212"/>
      <c r="B852" s="539"/>
      <c r="D852" s="212"/>
      <c r="F852" s="212"/>
      <c r="G852" s="212"/>
      <c r="J852" s="539"/>
      <c r="S852" s="212"/>
      <c r="U852" s="539"/>
      <c r="V852" s="539"/>
      <c r="W852" s="540"/>
      <c r="X852" s="211"/>
      <c r="Y852" s="211"/>
      <c r="Z852" s="211"/>
      <c r="AA852" s="211"/>
      <c r="AB852" s="212"/>
      <c r="AD852" s="212"/>
      <c r="AF852" s="475"/>
    </row>
    <row r="853" spans="1:32" x14ac:dyDescent="0.25">
      <c r="A853" s="212"/>
      <c r="B853" s="539"/>
      <c r="D853" s="212"/>
      <c r="F853" s="212"/>
      <c r="G853" s="212"/>
      <c r="J853" s="539"/>
      <c r="S853" s="212"/>
      <c r="U853" s="539"/>
      <c r="V853" s="539"/>
      <c r="W853" s="540"/>
      <c r="X853" s="211"/>
      <c r="Y853" s="211"/>
      <c r="Z853" s="211"/>
      <c r="AA853" s="211"/>
      <c r="AB853" s="212"/>
      <c r="AD853" s="212"/>
      <c r="AF853" s="475"/>
    </row>
    <row r="854" spans="1:32" x14ac:dyDescent="0.25">
      <c r="A854" s="212"/>
      <c r="B854" s="539"/>
      <c r="D854" s="212"/>
      <c r="F854" s="212"/>
      <c r="G854" s="212"/>
      <c r="J854" s="539"/>
      <c r="S854" s="212"/>
      <c r="U854" s="539"/>
      <c r="V854" s="539"/>
      <c r="W854" s="540"/>
      <c r="X854" s="211"/>
      <c r="Y854" s="211"/>
      <c r="Z854" s="211"/>
      <c r="AA854" s="211"/>
      <c r="AB854" s="212"/>
      <c r="AD854" s="212"/>
      <c r="AF854" s="475"/>
    </row>
    <row r="855" spans="1:32" x14ac:dyDescent="0.25">
      <c r="A855" s="212"/>
      <c r="B855" s="539"/>
      <c r="D855" s="212"/>
      <c r="F855" s="212"/>
      <c r="G855" s="212"/>
      <c r="J855" s="539"/>
      <c r="S855" s="212"/>
      <c r="U855" s="539"/>
      <c r="V855" s="539"/>
      <c r="W855" s="540"/>
      <c r="X855" s="211"/>
      <c r="Y855" s="211"/>
      <c r="Z855" s="211"/>
      <c r="AA855" s="211"/>
      <c r="AB855" s="212"/>
      <c r="AD855" s="212"/>
      <c r="AF855" s="475"/>
    </row>
    <row r="856" spans="1:32" x14ac:dyDescent="0.25">
      <c r="A856" s="212"/>
      <c r="B856" s="539"/>
      <c r="D856" s="212"/>
      <c r="F856" s="212"/>
      <c r="G856" s="212"/>
      <c r="J856" s="539"/>
      <c r="S856" s="212"/>
      <c r="U856" s="539"/>
      <c r="V856" s="539"/>
      <c r="W856" s="540"/>
      <c r="X856" s="211"/>
      <c r="Y856" s="211"/>
      <c r="Z856" s="211"/>
      <c r="AA856" s="211"/>
      <c r="AB856" s="212"/>
      <c r="AD856" s="212"/>
      <c r="AF856" s="475"/>
    </row>
    <row r="857" spans="1:32" x14ac:dyDescent="0.25">
      <c r="A857" s="212"/>
      <c r="B857" s="539"/>
      <c r="D857" s="212"/>
      <c r="F857" s="212"/>
      <c r="G857" s="212"/>
      <c r="J857" s="539"/>
      <c r="S857" s="212"/>
      <c r="U857" s="539"/>
      <c r="V857" s="539"/>
      <c r="W857" s="540"/>
      <c r="X857" s="211"/>
      <c r="Y857" s="211"/>
      <c r="Z857" s="211"/>
      <c r="AA857" s="211"/>
      <c r="AB857" s="212"/>
      <c r="AD857" s="212"/>
      <c r="AF857" s="475"/>
    </row>
    <row r="858" spans="1:32" x14ac:dyDescent="0.25">
      <c r="A858" s="212"/>
      <c r="B858" s="539"/>
      <c r="D858" s="212"/>
      <c r="F858" s="212"/>
      <c r="G858" s="212"/>
      <c r="J858" s="539"/>
      <c r="S858" s="212"/>
      <c r="U858" s="539"/>
      <c r="V858" s="539"/>
      <c r="W858" s="540"/>
      <c r="X858" s="211"/>
      <c r="Y858" s="211"/>
      <c r="Z858" s="211"/>
      <c r="AA858" s="211"/>
      <c r="AB858" s="212"/>
      <c r="AD858" s="212"/>
      <c r="AF858" s="475"/>
    </row>
    <row r="859" spans="1:32" x14ac:dyDescent="0.25">
      <c r="A859" s="212"/>
      <c r="B859" s="539"/>
      <c r="D859" s="212"/>
      <c r="F859" s="212"/>
      <c r="G859" s="212"/>
      <c r="J859" s="539"/>
      <c r="S859" s="212"/>
      <c r="U859" s="539"/>
      <c r="V859" s="539"/>
      <c r="W859" s="540"/>
      <c r="X859" s="211"/>
      <c r="Y859" s="211"/>
      <c r="Z859" s="211"/>
      <c r="AA859" s="211"/>
      <c r="AB859" s="212"/>
      <c r="AD859" s="212"/>
      <c r="AF859" s="475"/>
    </row>
    <row r="860" spans="1:32" x14ac:dyDescent="0.25">
      <c r="A860" s="212"/>
      <c r="B860" s="539"/>
      <c r="D860" s="212"/>
      <c r="F860" s="212"/>
      <c r="G860" s="212"/>
      <c r="J860" s="539"/>
      <c r="S860" s="212"/>
      <c r="U860" s="539"/>
      <c r="V860" s="539"/>
      <c r="W860" s="540"/>
      <c r="X860" s="211"/>
      <c r="Y860" s="211"/>
      <c r="Z860" s="211"/>
      <c r="AA860" s="211"/>
      <c r="AB860" s="212"/>
      <c r="AD860" s="212"/>
      <c r="AF860" s="475"/>
    </row>
    <row r="861" spans="1:32" x14ac:dyDescent="0.25">
      <c r="A861" s="212"/>
      <c r="B861" s="539"/>
      <c r="D861" s="212"/>
      <c r="F861" s="212"/>
      <c r="G861" s="212"/>
      <c r="J861" s="539"/>
      <c r="S861" s="212"/>
      <c r="U861" s="539"/>
      <c r="V861" s="539"/>
      <c r="W861" s="540"/>
      <c r="X861" s="211"/>
      <c r="Y861" s="211"/>
      <c r="Z861" s="211"/>
      <c r="AA861" s="211"/>
      <c r="AB861" s="212"/>
      <c r="AD861" s="212"/>
      <c r="AF861" s="475"/>
    </row>
    <row r="862" spans="1:32" x14ac:dyDescent="0.25">
      <c r="A862" s="212"/>
      <c r="B862" s="539"/>
      <c r="D862" s="212"/>
      <c r="F862" s="212"/>
      <c r="G862" s="212"/>
      <c r="J862" s="539"/>
      <c r="S862" s="212"/>
      <c r="U862" s="539"/>
      <c r="V862" s="539"/>
      <c r="W862" s="540"/>
      <c r="X862" s="211"/>
      <c r="Y862" s="211"/>
      <c r="Z862" s="211"/>
      <c r="AA862" s="211"/>
      <c r="AB862" s="212"/>
      <c r="AD862" s="212"/>
      <c r="AF862" s="475"/>
    </row>
    <row r="863" spans="1:32" x14ac:dyDescent="0.25">
      <c r="A863" s="212"/>
      <c r="B863" s="539"/>
      <c r="D863" s="212"/>
      <c r="F863" s="212"/>
      <c r="G863" s="212"/>
      <c r="J863" s="539"/>
      <c r="S863" s="212"/>
      <c r="U863" s="539"/>
      <c r="V863" s="539"/>
      <c r="W863" s="540"/>
      <c r="X863" s="211"/>
      <c r="Y863" s="211"/>
      <c r="Z863" s="211"/>
      <c r="AA863" s="211"/>
      <c r="AB863" s="212"/>
      <c r="AD863" s="212"/>
      <c r="AF863" s="475"/>
    </row>
    <row r="864" spans="1:32" x14ac:dyDescent="0.25">
      <c r="A864" s="212"/>
      <c r="B864" s="539"/>
      <c r="D864" s="212"/>
      <c r="F864" s="212"/>
      <c r="G864" s="212"/>
      <c r="J864" s="539"/>
      <c r="S864" s="212"/>
      <c r="U864" s="539"/>
      <c r="V864" s="539"/>
      <c r="W864" s="540"/>
      <c r="X864" s="211"/>
      <c r="Y864" s="211"/>
      <c r="Z864" s="211"/>
      <c r="AA864" s="211"/>
      <c r="AB864" s="212"/>
      <c r="AD864" s="212"/>
      <c r="AF864" s="475"/>
    </row>
    <row r="865" spans="1:32" x14ac:dyDescent="0.25">
      <c r="A865" s="212"/>
      <c r="B865" s="539"/>
      <c r="D865" s="212"/>
      <c r="F865" s="212"/>
      <c r="G865" s="212"/>
      <c r="J865" s="539"/>
      <c r="S865" s="212"/>
      <c r="U865" s="539"/>
      <c r="V865" s="539"/>
      <c r="W865" s="540"/>
      <c r="X865" s="211"/>
      <c r="Y865" s="211"/>
      <c r="Z865" s="211"/>
      <c r="AA865" s="211"/>
      <c r="AB865" s="212"/>
      <c r="AD865" s="212"/>
      <c r="AF865" s="475"/>
    </row>
    <row r="866" spans="1:32" x14ac:dyDescent="0.25">
      <c r="A866" s="212"/>
      <c r="B866" s="539"/>
      <c r="D866" s="212"/>
      <c r="F866" s="212"/>
      <c r="G866" s="212"/>
      <c r="J866" s="539"/>
      <c r="S866" s="212"/>
      <c r="U866" s="539"/>
      <c r="V866" s="539"/>
      <c r="W866" s="540"/>
      <c r="X866" s="211"/>
      <c r="Y866" s="211"/>
      <c r="Z866" s="211"/>
      <c r="AA866" s="211"/>
      <c r="AB866" s="212"/>
      <c r="AD866" s="212"/>
      <c r="AF866" s="475"/>
    </row>
    <row r="867" spans="1:32" x14ac:dyDescent="0.25">
      <c r="A867" s="212"/>
      <c r="B867" s="539"/>
      <c r="D867" s="212"/>
      <c r="F867" s="212"/>
      <c r="G867" s="212"/>
      <c r="J867" s="539"/>
      <c r="S867" s="212"/>
      <c r="U867" s="539"/>
      <c r="V867" s="539"/>
      <c r="W867" s="540"/>
      <c r="X867" s="211"/>
      <c r="Y867" s="211"/>
      <c r="Z867" s="211"/>
      <c r="AA867" s="211"/>
      <c r="AB867" s="212"/>
      <c r="AD867" s="212"/>
      <c r="AF867" s="475"/>
    </row>
    <row r="868" spans="1:32" x14ac:dyDescent="0.25">
      <c r="A868" s="212"/>
      <c r="B868" s="539"/>
      <c r="D868" s="212"/>
      <c r="F868" s="212"/>
      <c r="G868" s="212"/>
      <c r="J868" s="539"/>
      <c r="S868" s="212"/>
      <c r="U868" s="539"/>
      <c r="V868" s="539"/>
      <c r="W868" s="540"/>
      <c r="X868" s="211"/>
      <c r="Y868" s="211"/>
      <c r="Z868" s="211"/>
      <c r="AA868" s="211"/>
      <c r="AB868" s="212"/>
      <c r="AD868" s="212"/>
      <c r="AF868" s="475"/>
    </row>
    <row r="869" spans="1:32" x14ac:dyDescent="0.25">
      <c r="A869" s="212"/>
      <c r="B869" s="539"/>
      <c r="D869" s="212"/>
      <c r="F869" s="212"/>
      <c r="G869" s="212"/>
      <c r="J869" s="539"/>
      <c r="S869" s="212"/>
      <c r="U869" s="539"/>
      <c r="V869" s="539"/>
      <c r="W869" s="540"/>
      <c r="X869" s="211"/>
      <c r="Y869" s="211"/>
      <c r="Z869" s="211"/>
      <c r="AA869" s="211"/>
      <c r="AB869" s="212"/>
      <c r="AD869" s="212"/>
      <c r="AF869" s="475"/>
    </row>
    <row r="870" spans="1:32" x14ac:dyDescent="0.25">
      <c r="A870" s="212"/>
      <c r="B870" s="539"/>
      <c r="D870" s="212"/>
      <c r="F870" s="212"/>
      <c r="G870" s="212"/>
      <c r="J870" s="539"/>
      <c r="S870" s="212"/>
      <c r="U870" s="539"/>
      <c r="V870" s="539"/>
      <c r="W870" s="540"/>
      <c r="X870" s="211"/>
      <c r="Y870" s="211"/>
      <c r="Z870" s="211"/>
      <c r="AA870" s="211"/>
      <c r="AB870" s="212"/>
      <c r="AD870" s="212"/>
      <c r="AF870" s="475"/>
    </row>
    <row r="871" spans="1:32" x14ac:dyDescent="0.25">
      <c r="A871" s="212"/>
      <c r="B871" s="539"/>
      <c r="D871" s="212"/>
      <c r="F871" s="212"/>
      <c r="G871" s="212"/>
      <c r="J871" s="539"/>
      <c r="S871" s="212"/>
      <c r="U871" s="539"/>
      <c r="V871" s="539"/>
      <c r="W871" s="540"/>
      <c r="X871" s="211"/>
      <c r="Y871" s="211"/>
      <c r="Z871" s="211"/>
      <c r="AA871" s="211"/>
      <c r="AB871" s="212"/>
      <c r="AD871" s="212"/>
      <c r="AF871" s="475"/>
    </row>
    <row r="872" spans="1:32" x14ac:dyDescent="0.25">
      <c r="A872" s="212"/>
      <c r="B872" s="539"/>
      <c r="D872" s="212"/>
      <c r="F872" s="212"/>
      <c r="G872" s="212"/>
      <c r="J872" s="539"/>
      <c r="S872" s="212"/>
      <c r="U872" s="539"/>
      <c r="V872" s="539"/>
      <c r="W872" s="540"/>
      <c r="X872" s="211"/>
      <c r="Y872" s="211"/>
      <c r="Z872" s="211"/>
      <c r="AA872" s="211"/>
      <c r="AB872" s="212"/>
      <c r="AD872" s="212"/>
      <c r="AF872" s="475"/>
    </row>
    <row r="873" spans="1:32" x14ac:dyDescent="0.25">
      <c r="A873" s="212"/>
      <c r="B873" s="539"/>
      <c r="D873" s="212"/>
      <c r="F873" s="212"/>
      <c r="G873" s="212"/>
      <c r="J873" s="539"/>
      <c r="S873" s="212"/>
      <c r="U873" s="539"/>
      <c r="V873" s="539"/>
      <c r="W873" s="540"/>
      <c r="X873" s="211"/>
      <c r="Y873" s="211"/>
      <c r="Z873" s="211"/>
      <c r="AA873" s="211"/>
      <c r="AB873" s="212"/>
      <c r="AD873" s="212"/>
      <c r="AF873" s="475"/>
    </row>
    <row r="874" spans="1:32" x14ac:dyDescent="0.25">
      <c r="A874" s="212"/>
      <c r="B874" s="539"/>
      <c r="D874" s="212"/>
      <c r="F874" s="212"/>
      <c r="G874" s="212"/>
      <c r="J874" s="539"/>
      <c r="S874" s="212"/>
      <c r="U874" s="539"/>
      <c r="V874" s="539"/>
      <c r="W874" s="540"/>
      <c r="X874" s="211"/>
      <c r="Y874" s="211"/>
      <c r="Z874" s="211"/>
      <c r="AA874" s="211"/>
      <c r="AB874" s="212"/>
      <c r="AD874" s="212"/>
      <c r="AF874" s="475"/>
    </row>
    <row r="875" spans="1:32" x14ac:dyDescent="0.25">
      <c r="A875" s="212"/>
      <c r="B875" s="539"/>
      <c r="D875" s="212"/>
      <c r="F875" s="212"/>
      <c r="G875" s="212"/>
      <c r="J875" s="539"/>
      <c r="S875" s="212"/>
      <c r="U875" s="539"/>
      <c r="V875" s="539"/>
      <c r="W875" s="540"/>
      <c r="X875" s="211"/>
      <c r="Y875" s="211"/>
      <c r="Z875" s="211"/>
      <c r="AA875" s="211"/>
      <c r="AB875" s="212"/>
      <c r="AD875" s="212"/>
      <c r="AF875" s="475"/>
    </row>
    <row r="876" spans="1:32" x14ac:dyDescent="0.25">
      <c r="A876" s="212"/>
      <c r="B876" s="539"/>
      <c r="D876" s="212"/>
      <c r="F876" s="212"/>
      <c r="G876" s="212"/>
      <c r="J876" s="539"/>
      <c r="S876" s="212"/>
      <c r="U876" s="539"/>
      <c r="V876" s="539"/>
      <c r="W876" s="540"/>
      <c r="X876" s="211"/>
      <c r="Y876" s="211"/>
      <c r="Z876" s="211"/>
      <c r="AA876" s="211"/>
      <c r="AB876" s="212"/>
      <c r="AD876" s="212"/>
      <c r="AF876" s="475"/>
    </row>
    <row r="877" spans="1:32" x14ac:dyDescent="0.25">
      <c r="A877" s="212"/>
      <c r="B877" s="539"/>
      <c r="D877" s="212"/>
      <c r="F877" s="212"/>
      <c r="G877" s="212"/>
      <c r="J877" s="539"/>
      <c r="S877" s="212"/>
      <c r="U877" s="539"/>
      <c r="V877" s="539"/>
      <c r="W877" s="540"/>
      <c r="X877" s="211"/>
      <c r="Y877" s="211"/>
      <c r="Z877" s="211"/>
      <c r="AA877" s="211"/>
      <c r="AB877" s="212"/>
      <c r="AD877" s="212"/>
      <c r="AF877" s="475"/>
    </row>
    <row r="878" spans="1:32" x14ac:dyDescent="0.25">
      <c r="A878" s="212"/>
      <c r="B878" s="539"/>
      <c r="D878" s="212"/>
      <c r="F878" s="212"/>
      <c r="G878" s="212"/>
      <c r="J878" s="539"/>
      <c r="S878" s="212"/>
      <c r="U878" s="539"/>
      <c r="V878" s="539"/>
      <c r="W878" s="540"/>
      <c r="X878" s="211"/>
      <c r="Y878" s="211"/>
      <c r="Z878" s="211"/>
      <c r="AA878" s="211"/>
      <c r="AB878" s="212"/>
      <c r="AD878" s="212"/>
      <c r="AF878" s="475"/>
    </row>
    <row r="879" spans="1:32" x14ac:dyDescent="0.25">
      <c r="A879" s="212"/>
      <c r="B879" s="539"/>
      <c r="D879" s="212"/>
      <c r="F879" s="212"/>
      <c r="G879" s="212"/>
      <c r="J879" s="539"/>
      <c r="S879" s="212"/>
      <c r="U879" s="539"/>
      <c r="V879" s="539"/>
      <c r="W879" s="540"/>
      <c r="X879" s="211"/>
      <c r="Y879" s="211"/>
      <c r="Z879" s="211"/>
      <c r="AA879" s="211"/>
      <c r="AB879" s="212"/>
      <c r="AD879" s="212"/>
      <c r="AF879" s="475"/>
    </row>
    <row r="880" spans="1:32" x14ac:dyDescent="0.25">
      <c r="A880" s="212"/>
      <c r="B880" s="539"/>
      <c r="D880" s="212"/>
      <c r="F880" s="212"/>
      <c r="G880" s="212"/>
      <c r="J880" s="539"/>
      <c r="S880" s="212"/>
      <c r="U880" s="539"/>
      <c r="V880" s="539"/>
      <c r="W880" s="540"/>
      <c r="X880" s="211"/>
      <c r="Y880" s="211"/>
      <c r="Z880" s="211"/>
      <c r="AA880" s="211"/>
      <c r="AB880" s="212"/>
      <c r="AD880" s="212"/>
      <c r="AF880" s="475"/>
    </row>
    <row r="881" spans="1:32" x14ac:dyDescent="0.25">
      <c r="A881" s="212"/>
      <c r="B881" s="539"/>
      <c r="D881" s="212"/>
      <c r="F881" s="212"/>
      <c r="G881" s="212"/>
      <c r="J881" s="539"/>
      <c r="S881" s="212"/>
      <c r="U881" s="539"/>
      <c r="V881" s="539"/>
      <c r="W881" s="540"/>
      <c r="X881" s="211"/>
      <c r="Y881" s="211"/>
      <c r="Z881" s="211"/>
      <c r="AA881" s="211"/>
      <c r="AB881" s="212"/>
      <c r="AD881" s="212"/>
      <c r="AF881" s="475"/>
    </row>
    <row r="882" spans="1:32" x14ac:dyDescent="0.25">
      <c r="A882" s="212"/>
      <c r="B882" s="539"/>
      <c r="D882" s="212"/>
      <c r="F882" s="212"/>
      <c r="G882" s="212"/>
      <c r="J882" s="539"/>
      <c r="S882" s="212"/>
      <c r="U882" s="539"/>
      <c r="V882" s="539"/>
      <c r="W882" s="540"/>
      <c r="X882" s="211"/>
      <c r="Y882" s="211"/>
      <c r="Z882" s="211"/>
      <c r="AA882" s="211"/>
      <c r="AB882" s="212"/>
      <c r="AD882" s="212"/>
      <c r="AF882" s="475"/>
    </row>
    <row r="883" spans="1:32" x14ac:dyDescent="0.25">
      <c r="A883" s="212"/>
      <c r="B883" s="539"/>
      <c r="D883" s="212"/>
      <c r="F883" s="212"/>
      <c r="G883" s="212"/>
      <c r="J883" s="539"/>
      <c r="S883" s="212"/>
      <c r="U883" s="539"/>
      <c r="V883" s="539"/>
      <c r="W883" s="540"/>
      <c r="X883" s="211"/>
      <c r="Y883" s="211"/>
      <c r="Z883" s="211"/>
      <c r="AA883" s="211"/>
      <c r="AB883" s="212"/>
      <c r="AD883" s="212"/>
      <c r="AF883" s="475"/>
    </row>
    <row r="884" spans="1:32" x14ac:dyDescent="0.25">
      <c r="A884" s="212"/>
      <c r="B884" s="539"/>
      <c r="D884" s="212"/>
      <c r="F884" s="212"/>
      <c r="G884" s="212"/>
      <c r="J884" s="539"/>
      <c r="S884" s="212"/>
      <c r="U884" s="539"/>
      <c r="V884" s="539"/>
      <c r="W884" s="540"/>
      <c r="X884" s="211"/>
      <c r="Y884" s="211"/>
      <c r="Z884" s="211"/>
      <c r="AA884" s="211"/>
      <c r="AB884" s="212"/>
      <c r="AD884" s="212"/>
      <c r="AF884" s="475"/>
    </row>
    <row r="885" spans="1:32" x14ac:dyDescent="0.25">
      <c r="A885" s="212"/>
      <c r="B885" s="539"/>
      <c r="D885" s="212"/>
      <c r="F885" s="212"/>
      <c r="G885" s="212"/>
      <c r="J885" s="539"/>
      <c r="S885" s="212"/>
      <c r="U885" s="539"/>
      <c r="V885" s="539"/>
      <c r="W885" s="540"/>
      <c r="X885" s="211"/>
      <c r="Y885" s="211"/>
      <c r="Z885" s="211"/>
      <c r="AA885" s="211"/>
      <c r="AB885" s="212"/>
      <c r="AD885" s="212"/>
      <c r="AF885" s="475"/>
    </row>
    <row r="886" spans="1:32" x14ac:dyDescent="0.25">
      <c r="A886" s="212"/>
      <c r="B886" s="539"/>
      <c r="D886" s="212"/>
      <c r="F886" s="212"/>
      <c r="G886" s="212"/>
      <c r="J886" s="539"/>
      <c r="S886" s="212"/>
      <c r="U886" s="539"/>
      <c r="V886" s="539"/>
      <c r="W886" s="540"/>
      <c r="X886" s="211"/>
      <c r="Y886" s="211"/>
      <c r="Z886" s="211"/>
      <c r="AA886" s="211"/>
      <c r="AB886" s="212"/>
      <c r="AD886" s="212"/>
      <c r="AF886" s="475"/>
    </row>
    <row r="887" spans="1:32" x14ac:dyDescent="0.25">
      <c r="A887" s="212"/>
      <c r="B887" s="539"/>
      <c r="D887" s="212"/>
      <c r="F887" s="212"/>
      <c r="G887" s="212"/>
      <c r="J887" s="539"/>
      <c r="S887" s="212"/>
      <c r="U887" s="539"/>
      <c r="V887" s="539"/>
      <c r="W887" s="540"/>
      <c r="X887" s="211"/>
      <c r="Y887" s="211"/>
      <c r="Z887" s="211"/>
      <c r="AA887" s="211"/>
      <c r="AB887" s="212"/>
      <c r="AD887" s="212"/>
      <c r="AF887" s="475"/>
    </row>
    <row r="888" spans="1:32" x14ac:dyDescent="0.25">
      <c r="A888" s="212"/>
      <c r="B888" s="539"/>
      <c r="D888" s="212"/>
      <c r="F888" s="212"/>
      <c r="G888" s="212"/>
      <c r="J888" s="539"/>
      <c r="S888" s="212"/>
      <c r="U888" s="539"/>
      <c r="V888" s="539"/>
      <c r="W888" s="540"/>
      <c r="X888" s="211"/>
      <c r="Y888" s="211"/>
      <c r="Z888" s="211"/>
      <c r="AA888" s="211"/>
      <c r="AB888" s="212"/>
      <c r="AD888" s="212"/>
      <c r="AF888" s="475"/>
    </row>
    <row r="889" spans="1:32" x14ac:dyDescent="0.25">
      <c r="A889" s="212"/>
      <c r="B889" s="539"/>
      <c r="D889" s="212"/>
      <c r="F889" s="212"/>
      <c r="G889" s="212"/>
      <c r="J889" s="539"/>
      <c r="S889" s="212"/>
      <c r="U889" s="539"/>
      <c r="V889" s="539"/>
      <c r="W889" s="540"/>
      <c r="X889" s="211"/>
      <c r="Y889" s="211"/>
      <c r="Z889" s="211"/>
      <c r="AA889" s="211"/>
      <c r="AB889" s="212"/>
      <c r="AD889" s="212"/>
      <c r="AF889" s="475"/>
    </row>
    <row r="890" spans="1:32" x14ac:dyDescent="0.25">
      <c r="A890" s="212"/>
      <c r="B890" s="539"/>
      <c r="D890" s="212"/>
      <c r="F890" s="212"/>
      <c r="G890" s="212"/>
      <c r="J890" s="539"/>
      <c r="S890" s="212"/>
      <c r="U890" s="539"/>
      <c r="V890" s="539"/>
      <c r="W890" s="540"/>
      <c r="X890" s="211"/>
      <c r="Y890" s="211"/>
      <c r="Z890" s="211"/>
      <c r="AA890" s="211"/>
      <c r="AB890" s="212"/>
      <c r="AD890" s="212"/>
      <c r="AF890" s="475"/>
    </row>
    <row r="891" spans="1:32" x14ac:dyDescent="0.25">
      <c r="V891" s="406"/>
      <c r="W891" s="362"/>
    </row>
    <row r="892" spans="1:32" x14ac:dyDescent="0.25">
      <c r="V892" s="406"/>
      <c r="W892" s="362"/>
    </row>
    <row r="893" spans="1:32" x14ac:dyDescent="0.25">
      <c r="V893" s="406"/>
      <c r="W893" s="362"/>
    </row>
    <row r="894" spans="1:32" x14ac:dyDescent="0.25">
      <c r="V894" s="406"/>
      <c r="W894" s="362"/>
    </row>
    <row r="895" spans="1:32" x14ac:dyDescent="0.25">
      <c r="V895" s="406"/>
      <c r="W895" s="362"/>
    </row>
    <row r="896" spans="1:32" x14ac:dyDescent="0.25">
      <c r="V896" s="406"/>
      <c r="W896" s="362"/>
    </row>
    <row r="897" spans="22:23" x14ac:dyDescent="0.25">
      <c r="V897" s="406"/>
      <c r="W897" s="362"/>
    </row>
    <row r="898" spans="22:23" x14ac:dyDescent="0.25">
      <c r="V898" s="406"/>
      <c r="W898" s="362"/>
    </row>
    <row r="899" spans="22:23" x14ac:dyDescent="0.25">
      <c r="V899" s="406"/>
      <c r="W899" s="362"/>
    </row>
    <row r="900" spans="22:23" x14ac:dyDescent="0.25">
      <c r="V900" s="406"/>
      <c r="W900" s="362"/>
    </row>
    <row r="901" spans="22:23" x14ac:dyDescent="0.25">
      <c r="V901" s="406"/>
      <c r="W901" s="362"/>
    </row>
    <row r="902" spans="22:23" x14ac:dyDescent="0.25">
      <c r="V902" s="406"/>
      <c r="W902" s="362"/>
    </row>
    <row r="903" spans="22:23" x14ac:dyDescent="0.25">
      <c r="V903" s="406"/>
      <c r="W903" s="362"/>
    </row>
    <row r="904" spans="22:23" x14ac:dyDescent="0.25">
      <c r="V904" s="406"/>
      <c r="W904" s="362"/>
    </row>
    <row r="905" spans="22:23" x14ac:dyDescent="0.25">
      <c r="V905" s="406"/>
      <c r="W905" s="362"/>
    </row>
    <row r="906" spans="22:23" x14ac:dyDescent="0.25">
      <c r="V906" s="406"/>
      <c r="W906" s="362"/>
    </row>
    <row r="907" spans="22:23" x14ac:dyDescent="0.25">
      <c r="V907" s="406"/>
      <c r="W907" s="362"/>
    </row>
    <row r="908" spans="22:23" x14ac:dyDescent="0.25">
      <c r="V908" s="406"/>
      <c r="W908" s="362"/>
    </row>
    <row r="909" spans="22:23" x14ac:dyDescent="0.25">
      <c r="V909" s="406"/>
      <c r="W909" s="362"/>
    </row>
    <row r="910" spans="22:23" x14ac:dyDescent="0.25">
      <c r="V910" s="406"/>
      <c r="W910" s="362"/>
    </row>
    <row r="911" spans="22:23" x14ac:dyDescent="0.25">
      <c r="V911" s="406"/>
      <c r="W911" s="362"/>
    </row>
    <row r="912" spans="22:23" x14ac:dyDescent="0.25">
      <c r="V912" s="406"/>
      <c r="W912" s="362"/>
    </row>
    <row r="913" spans="22:23" x14ac:dyDescent="0.25">
      <c r="V913" s="406"/>
      <c r="W913" s="362"/>
    </row>
    <row r="914" spans="22:23" x14ac:dyDescent="0.25">
      <c r="V914" s="406"/>
      <c r="W914" s="362"/>
    </row>
    <row r="915" spans="22:23" x14ac:dyDescent="0.25">
      <c r="V915" s="406"/>
      <c r="W915" s="362"/>
    </row>
    <row r="916" spans="22:23" x14ac:dyDescent="0.25">
      <c r="V916" s="406"/>
      <c r="W916" s="362"/>
    </row>
    <row r="917" spans="22:23" x14ac:dyDescent="0.25">
      <c r="V917" s="406"/>
      <c r="W917" s="362"/>
    </row>
    <row r="918" spans="22:23" x14ac:dyDescent="0.25">
      <c r="V918" s="406"/>
      <c r="W918" s="362"/>
    </row>
    <row r="919" spans="22:23" x14ac:dyDescent="0.25">
      <c r="V919" s="406"/>
      <c r="W919" s="362"/>
    </row>
    <row r="920" spans="22:23" x14ac:dyDescent="0.25">
      <c r="V920" s="406"/>
      <c r="W920" s="362"/>
    </row>
    <row r="921" spans="22:23" x14ac:dyDescent="0.25">
      <c r="V921" s="406"/>
      <c r="W921" s="362"/>
    </row>
    <row r="922" spans="22:23" x14ac:dyDescent="0.25">
      <c r="V922" s="406"/>
      <c r="W922" s="362"/>
    </row>
    <row r="923" spans="22:23" x14ac:dyDescent="0.25">
      <c r="V923" s="406"/>
      <c r="W923" s="362"/>
    </row>
    <row r="924" spans="22:23" x14ac:dyDescent="0.25">
      <c r="V924" s="406"/>
      <c r="W924" s="362"/>
    </row>
    <row r="925" spans="22:23" x14ac:dyDescent="0.25">
      <c r="V925" s="406"/>
      <c r="W925" s="362"/>
    </row>
    <row r="926" spans="22:23" x14ac:dyDescent="0.25">
      <c r="V926" s="406"/>
      <c r="W926" s="362"/>
    </row>
    <row r="927" spans="22:23" x14ac:dyDescent="0.25">
      <c r="V927" s="406"/>
      <c r="W927" s="362"/>
    </row>
    <row r="928" spans="22:23" x14ac:dyDescent="0.25">
      <c r="V928" s="406"/>
      <c r="W928" s="362"/>
    </row>
    <row r="929" spans="22:23" x14ac:dyDescent="0.25">
      <c r="V929" s="406"/>
      <c r="W929" s="362"/>
    </row>
    <row r="930" spans="22:23" x14ac:dyDescent="0.25">
      <c r="V930" s="406"/>
      <c r="W930" s="362"/>
    </row>
    <row r="931" spans="22:23" x14ac:dyDescent="0.25">
      <c r="V931" s="406"/>
      <c r="W931" s="362"/>
    </row>
    <row r="932" spans="22:23" x14ac:dyDescent="0.25">
      <c r="V932" s="406"/>
      <c r="W932" s="362"/>
    </row>
    <row r="933" spans="22:23" x14ac:dyDescent="0.25">
      <c r="V933" s="406"/>
      <c r="W933" s="362"/>
    </row>
    <row r="934" spans="22:23" x14ac:dyDescent="0.25">
      <c r="V934" s="406"/>
      <c r="W934" s="362"/>
    </row>
    <row r="935" spans="22:23" x14ac:dyDescent="0.25">
      <c r="V935" s="406"/>
      <c r="W935" s="362"/>
    </row>
    <row r="936" spans="22:23" x14ac:dyDescent="0.25">
      <c r="V936" s="406"/>
      <c r="W936" s="362"/>
    </row>
    <row r="937" spans="22:23" x14ac:dyDescent="0.25">
      <c r="V937" s="406"/>
      <c r="W937" s="362"/>
    </row>
    <row r="938" spans="22:23" x14ac:dyDescent="0.25">
      <c r="V938" s="406"/>
      <c r="W938" s="362"/>
    </row>
    <row r="939" spans="22:23" x14ac:dyDescent="0.25">
      <c r="V939" s="406"/>
      <c r="W939" s="362"/>
    </row>
    <row r="940" spans="22:23" x14ac:dyDescent="0.25">
      <c r="V940" s="406"/>
      <c r="W940" s="362"/>
    </row>
    <row r="941" spans="22:23" x14ac:dyDescent="0.25">
      <c r="V941" s="406"/>
      <c r="W941" s="362"/>
    </row>
    <row r="942" spans="22:23" x14ac:dyDescent="0.25">
      <c r="V942" s="406"/>
      <c r="W942" s="362"/>
    </row>
    <row r="943" spans="22:23" x14ac:dyDescent="0.25">
      <c r="V943" s="406"/>
      <c r="W943" s="362"/>
    </row>
    <row r="944" spans="22:23" x14ac:dyDescent="0.25">
      <c r="V944" s="406"/>
      <c r="W944" s="362"/>
    </row>
    <row r="945" spans="22:23" x14ac:dyDescent="0.25">
      <c r="V945" s="406"/>
      <c r="W945" s="362"/>
    </row>
    <row r="946" spans="22:23" x14ac:dyDescent="0.25">
      <c r="V946" s="406"/>
      <c r="W946" s="362"/>
    </row>
    <row r="947" spans="22:23" x14ac:dyDescent="0.25">
      <c r="V947" s="406"/>
      <c r="W947" s="362"/>
    </row>
    <row r="948" spans="22:23" x14ac:dyDescent="0.25">
      <c r="V948" s="406"/>
      <c r="W948" s="362"/>
    </row>
    <row r="949" spans="22:23" x14ac:dyDescent="0.25">
      <c r="V949" s="406"/>
      <c r="W949" s="362"/>
    </row>
    <row r="950" spans="22:23" x14ac:dyDescent="0.25">
      <c r="V950" s="406"/>
      <c r="W950" s="362"/>
    </row>
    <row r="951" spans="22:23" x14ac:dyDescent="0.25">
      <c r="V951" s="406"/>
      <c r="W951" s="362"/>
    </row>
    <row r="952" spans="22:23" x14ac:dyDescent="0.25">
      <c r="V952" s="406"/>
      <c r="W952" s="362"/>
    </row>
    <row r="953" spans="22:23" x14ac:dyDescent="0.25">
      <c r="V953" s="406"/>
      <c r="W953" s="362"/>
    </row>
    <row r="954" spans="22:23" x14ac:dyDescent="0.25">
      <c r="V954" s="406"/>
      <c r="W954" s="362"/>
    </row>
    <row r="955" spans="22:23" x14ac:dyDescent="0.25">
      <c r="V955" s="406"/>
      <c r="W955" s="362"/>
    </row>
    <row r="956" spans="22:23" x14ac:dyDescent="0.25">
      <c r="V956" s="406"/>
      <c r="W956" s="362"/>
    </row>
    <row r="957" spans="22:23" x14ac:dyDescent="0.25">
      <c r="V957" s="406"/>
      <c r="W957" s="362"/>
    </row>
    <row r="958" spans="22:23" x14ac:dyDescent="0.25">
      <c r="V958" s="406"/>
      <c r="W958" s="362"/>
    </row>
    <row r="959" spans="22:23" x14ac:dyDescent="0.25">
      <c r="V959" s="406"/>
      <c r="W959" s="362"/>
    </row>
    <row r="960" spans="22:23" x14ac:dyDescent="0.25">
      <c r="V960" s="406"/>
      <c r="W960" s="362"/>
    </row>
    <row r="961" spans="22:23" x14ac:dyDescent="0.25">
      <c r="V961" s="406"/>
      <c r="W961" s="362"/>
    </row>
    <row r="962" spans="22:23" x14ac:dyDescent="0.25">
      <c r="V962" s="406"/>
      <c r="W962" s="362"/>
    </row>
    <row r="963" spans="22:23" x14ac:dyDescent="0.25">
      <c r="V963" s="406"/>
      <c r="W963" s="362"/>
    </row>
    <row r="964" spans="22:23" x14ac:dyDescent="0.25">
      <c r="V964" s="406"/>
      <c r="W964" s="362"/>
    </row>
    <row r="965" spans="22:23" x14ac:dyDescent="0.25">
      <c r="V965" s="406"/>
      <c r="W965" s="362"/>
    </row>
    <row r="966" spans="22:23" x14ac:dyDescent="0.25">
      <c r="V966" s="406"/>
      <c r="W966" s="362"/>
    </row>
    <row r="967" spans="22:23" x14ac:dyDescent="0.25">
      <c r="V967" s="406"/>
      <c r="W967" s="362"/>
    </row>
    <row r="968" spans="22:23" x14ac:dyDescent="0.25">
      <c r="V968" s="406"/>
      <c r="W968" s="362"/>
    </row>
    <row r="969" spans="22:23" x14ac:dyDescent="0.25">
      <c r="V969" s="406"/>
      <c r="W969" s="362"/>
    </row>
    <row r="970" spans="22:23" x14ac:dyDescent="0.25">
      <c r="V970" s="406"/>
      <c r="W970" s="362"/>
    </row>
    <row r="971" spans="22:23" x14ac:dyDescent="0.25">
      <c r="V971" s="406"/>
      <c r="W971" s="362"/>
    </row>
    <row r="972" spans="22:23" x14ac:dyDescent="0.25">
      <c r="V972" s="406"/>
      <c r="W972" s="362"/>
    </row>
    <row r="973" spans="22:23" x14ac:dyDescent="0.25">
      <c r="V973" s="406"/>
      <c r="W973" s="362"/>
    </row>
    <row r="974" spans="22:23" x14ac:dyDescent="0.25">
      <c r="V974" s="406"/>
      <c r="W974" s="362"/>
    </row>
    <row r="975" spans="22:23" x14ac:dyDescent="0.25">
      <c r="V975" s="406"/>
      <c r="W975" s="362"/>
    </row>
    <row r="976" spans="22:23" x14ac:dyDescent="0.25">
      <c r="V976" s="406"/>
      <c r="W976" s="362"/>
    </row>
    <row r="977" spans="22:23" x14ac:dyDescent="0.25">
      <c r="V977" s="406"/>
      <c r="W977" s="362"/>
    </row>
    <row r="978" spans="22:23" x14ac:dyDescent="0.25">
      <c r="V978" s="406"/>
      <c r="W978" s="362"/>
    </row>
    <row r="979" spans="22:23" x14ac:dyDescent="0.25">
      <c r="V979" s="406"/>
      <c r="W979" s="362"/>
    </row>
    <row r="980" spans="22:23" x14ac:dyDescent="0.25">
      <c r="V980" s="406"/>
      <c r="W980" s="362"/>
    </row>
    <row r="981" spans="22:23" x14ac:dyDescent="0.25">
      <c r="V981" s="406"/>
      <c r="W981" s="362"/>
    </row>
    <row r="982" spans="22:23" x14ac:dyDescent="0.25">
      <c r="V982" s="406"/>
      <c r="W982" s="362"/>
    </row>
    <row r="983" spans="22:23" x14ac:dyDescent="0.25">
      <c r="V983" s="406"/>
      <c r="W983" s="362"/>
    </row>
    <row r="984" spans="22:23" x14ac:dyDescent="0.25">
      <c r="V984" s="406"/>
      <c r="W984" s="362"/>
    </row>
    <row r="985" spans="22:23" x14ac:dyDescent="0.25">
      <c r="V985" s="406"/>
      <c r="W985" s="362"/>
    </row>
    <row r="986" spans="22:23" x14ac:dyDescent="0.25">
      <c r="V986" s="406"/>
      <c r="W986" s="362"/>
    </row>
    <row r="987" spans="22:23" x14ac:dyDescent="0.25">
      <c r="V987" s="406"/>
      <c r="W987" s="362"/>
    </row>
    <row r="988" spans="22:23" x14ac:dyDescent="0.25">
      <c r="V988" s="406"/>
      <c r="W988" s="362"/>
    </row>
    <row r="989" spans="22:23" x14ac:dyDescent="0.25">
      <c r="V989" s="406"/>
      <c r="W989" s="362"/>
    </row>
    <row r="990" spans="22:23" x14ac:dyDescent="0.25">
      <c r="V990" s="406"/>
      <c r="W990" s="362"/>
    </row>
    <row r="991" spans="22:23" x14ac:dyDescent="0.25">
      <c r="V991" s="406"/>
      <c r="W991" s="362"/>
    </row>
    <row r="992" spans="22:23" x14ac:dyDescent="0.25">
      <c r="V992" s="406"/>
      <c r="W992" s="362"/>
    </row>
    <row r="993" spans="22:23" x14ac:dyDescent="0.25">
      <c r="V993" s="406"/>
      <c r="W993" s="362"/>
    </row>
    <row r="994" spans="22:23" x14ac:dyDescent="0.25">
      <c r="V994" s="406"/>
      <c r="W994" s="362"/>
    </row>
    <row r="995" spans="22:23" x14ac:dyDescent="0.25">
      <c r="V995" s="406"/>
      <c r="W995" s="362"/>
    </row>
    <row r="996" spans="22:23" x14ac:dyDescent="0.25">
      <c r="V996" s="406"/>
      <c r="W996" s="362"/>
    </row>
    <row r="997" spans="22:23" x14ac:dyDescent="0.25">
      <c r="V997" s="406"/>
      <c r="W997" s="362"/>
    </row>
    <row r="998" spans="22:23" x14ac:dyDescent="0.25">
      <c r="V998" s="406"/>
      <c r="W998" s="362"/>
    </row>
    <row r="999" spans="22:23" x14ac:dyDescent="0.25">
      <c r="V999" s="406"/>
      <c r="W999" s="362"/>
    </row>
    <row r="1000" spans="22:23" x14ac:dyDescent="0.25">
      <c r="V1000" s="406"/>
      <c r="W1000" s="362"/>
    </row>
    <row r="1001" spans="22:23" x14ac:dyDescent="0.25">
      <c r="V1001" s="406"/>
      <c r="W1001" s="362"/>
    </row>
    <row r="1002" spans="22:23" x14ac:dyDescent="0.25">
      <c r="V1002" s="406"/>
      <c r="W1002" s="362"/>
    </row>
    <row r="1003" spans="22:23" x14ac:dyDescent="0.25">
      <c r="V1003" s="406"/>
      <c r="W1003" s="362"/>
    </row>
    <row r="1004" spans="22:23" x14ac:dyDescent="0.25">
      <c r="V1004" s="406"/>
      <c r="W1004" s="362"/>
    </row>
    <row r="1005" spans="22:23" x14ac:dyDescent="0.25">
      <c r="V1005" s="406"/>
      <c r="W1005" s="362"/>
    </row>
    <row r="1006" spans="22:23" x14ac:dyDescent="0.25">
      <c r="V1006" s="406"/>
      <c r="W1006" s="362"/>
    </row>
    <row r="1007" spans="22:23" x14ac:dyDescent="0.25">
      <c r="V1007" s="406"/>
      <c r="W1007" s="362"/>
    </row>
    <row r="1008" spans="22:23" x14ac:dyDescent="0.25">
      <c r="V1008" s="406"/>
      <c r="W1008" s="362"/>
    </row>
    <row r="1009" spans="22:23" x14ac:dyDescent="0.25">
      <c r="V1009" s="406"/>
      <c r="W1009" s="362"/>
    </row>
    <row r="1010" spans="22:23" x14ac:dyDescent="0.25">
      <c r="V1010" s="406"/>
      <c r="W1010" s="362"/>
    </row>
    <row r="1011" spans="22:23" x14ac:dyDescent="0.25">
      <c r="V1011" s="406"/>
      <c r="W1011" s="362"/>
    </row>
    <row r="1012" spans="22:23" x14ac:dyDescent="0.25">
      <c r="V1012" s="406"/>
      <c r="W1012" s="362"/>
    </row>
    <row r="1013" spans="22:23" x14ac:dyDescent="0.25">
      <c r="V1013" s="406"/>
      <c r="W1013" s="362"/>
    </row>
    <row r="1014" spans="22:23" x14ac:dyDescent="0.25">
      <c r="V1014" s="406"/>
      <c r="W1014" s="362"/>
    </row>
    <row r="1015" spans="22:23" x14ac:dyDescent="0.25">
      <c r="V1015" s="406"/>
      <c r="W1015" s="362"/>
    </row>
    <row r="1016" spans="22:23" x14ac:dyDescent="0.25">
      <c r="V1016" s="406"/>
      <c r="W1016" s="362"/>
    </row>
    <row r="1017" spans="22:23" x14ac:dyDescent="0.25">
      <c r="V1017" s="406"/>
      <c r="W1017" s="362"/>
    </row>
    <row r="1018" spans="22:23" x14ac:dyDescent="0.25">
      <c r="V1018" s="406"/>
      <c r="W1018" s="362"/>
    </row>
    <row r="1019" spans="22:23" x14ac:dyDescent="0.25">
      <c r="V1019" s="406"/>
      <c r="W1019" s="362"/>
    </row>
    <row r="1020" spans="22:23" x14ac:dyDescent="0.25">
      <c r="V1020" s="406"/>
      <c r="W1020" s="362"/>
    </row>
    <row r="1021" spans="22:23" x14ac:dyDescent="0.25">
      <c r="V1021" s="406"/>
      <c r="W1021" s="362"/>
    </row>
    <row r="1022" spans="22:23" x14ac:dyDescent="0.25">
      <c r="V1022" s="406"/>
      <c r="W1022" s="362"/>
    </row>
    <row r="1023" spans="22:23" x14ac:dyDescent="0.25">
      <c r="V1023" s="406"/>
      <c r="W1023" s="362"/>
    </row>
    <row r="1024" spans="22:23" x14ac:dyDescent="0.25">
      <c r="V1024" s="406"/>
      <c r="W1024" s="362"/>
    </row>
    <row r="1025" spans="22:23" x14ac:dyDescent="0.25">
      <c r="V1025" s="406"/>
      <c r="W1025" s="362"/>
    </row>
    <row r="1026" spans="22:23" x14ac:dyDescent="0.25">
      <c r="V1026" s="406"/>
      <c r="W1026" s="362"/>
    </row>
    <row r="1027" spans="22:23" x14ac:dyDescent="0.25">
      <c r="V1027" s="406"/>
      <c r="W1027" s="362"/>
    </row>
    <row r="1028" spans="22:23" x14ac:dyDescent="0.25">
      <c r="V1028" s="406"/>
      <c r="W1028" s="362"/>
    </row>
    <row r="1029" spans="22:23" x14ac:dyDescent="0.25">
      <c r="V1029" s="406"/>
      <c r="W1029" s="362"/>
    </row>
    <row r="1030" spans="22:23" x14ac:dyDescent="0.25">
      <c r="V1030" s="406"/>
      <c r="W1030" s="362"/>
    </row>
    <row r="1031" spans="22:23" x14ac:dyDescent="0.25">
      <c r="V1031" s="406"/>
      <c r="W1031" s="362"/>
    </row>
    <row r="1032" spans="22:23" x14ac:dyDescent="0.25">
      <c r="V1032" s="406"/>
      <c r="W1032" s="362"/>
    </row>
    <row r="1033" spans="22:23" x14ac:dyDescent="0.25">
      <c r="V1033" s="406"/>
      <c r="W1033" s="362"/>
    </row>
    <row r="1034" spans="22:23" x14ac:dyDescent="0.25">
      <c r="V1034" s="406"/>
      <c r="W1034" s="362"/>
    </row>
    <row r="1035" spans="22:23" x14ac:dyDescent="0.25">
      <c r="V1035" s="406"/>
      <c r="W1035" s="362"/>
    </row>
    <row r="1036" spans="22:23" x14ac:dyDescent="0.25">
      <c r="V1036" s="406"/>
      <c r="W1036" s="362"/>
    </row>
    <row r="1037" spans="22:23" x14ac:dyDescent="0.25">
      <c r="V1037" s="406"/>
      <c r="W1037" s="362"/>
    </row>
    <row r="1038" spans="22:23" x14ac:dyDescent="0.25">
      <c r="V1038" s="406"/>
      <c r="W1038" s="362"/>
    </row>
    <row r="1039" spans="22:23" x14ac:dyDescent="0.25">
      <c r="V1039" s="406"/>
      <c r="W1039" s="362"/>
    </row>
    <row r="1040" spans="22:23" x14ac:dyDescent="0.25">
      <c r="V1040" s="406"/>
      <c r="W1040" s="362"/>
    </row>
    <row r="1041" spans="22:23" x14ac:dyDescent="0.25">
      <c r="V1041" s="406"/>
      <c r="W1041" s="362"/>
    </row>
    <row r="1042" spans="22:23" x14ac:dyDescent="0.25">
      <c r="V1042" s="406"/>
      <c r="W1042" s="362"/>
    </row>
    <row r="1043" spans="22:23" x14ac:dyDescent="0.25">
      <c r="V1043" s="406"/>
      <c r="W1043" s="362"/>
    </row>
    <row r="1044" spans="22:23" x14ac:dyDescent="0.25">
      <c r="V1044" s="406"/>
      <c r="W1044" s="362"/>
    </row>
    <row r="1045" spans="22:23" x14ac:dyDescent="0.25">
      <c r="V1045" s="406"/>
      <c r="W1045" s="362"/>
    </row>
    <row r="1046" spans="22:23" x14ac:dyDescent="0.25">
      <c r="V1046" s="406"/>
      <c r="W1046" s="362"/>
    </row>
    <row r="1047" spans="22:23" x14ac:dyDescent="0.25">
      <c r="V1047" s="406"/>
      <c r="W1047" s="362"/>
    </row>
    <row r="1048" spans="22:23" x14ac:dyDescent="0.25">
      <c r="V1048" s="406"/>
      <c r="W1048" s="362"/>
    </row>
    <row r="1049" spans="22:23" x14ac:dyDescent="0.25">
      <c r="V1049" s="406"/>
      <c r="W1049" s="362"/>
    </row>
    <row r="1050" spans="22:23" x14ac:dyDescent="0.25">
      <c r="V1050" s="406"/>
      <c r="W1050" s="362"/>
    </row>
    <row r="1051" spans="22:23" x14ac:dyDescent="0.25">
      <c r="V1051" s="406"/>
      <c r="W1051" s="362"/>
    </row>
    <row r="1052" spans="22:23" x14ac:dyDescent="0.25">
      <c r="V1052" s="406"/>
      <c r="W1052" s="362"/>
    </row>
    <row r="1053" spans="22:23" x14ac:dyDescent="0.25">
      <c r="V1053" s="406"/>
      <c r="W1053" s="362"/>
    </row>
    <row r="1054" spans="22:23" x14ac:dyDescent="0.25">
      <c r="V1054" s="406"/>
      <c r="W1054" s="362"/>
    </row>
    <row r="1055" spans="22:23" x14ac:dyDescent="0.25">
      <c r="V1055" s="406"/>
      <c r="W1055" s="362"/>
    </row>
    <row r="1056" spans="22:23" x14ac:dyDescent="0.25">
      <c r="V1056" s="406"/>
      <c r="W1056" s="362"/>
    </row>
    <row r="1057" spans="22:23" x14ac:dyDescent="0.25">
      <c r="V1057" s="406"/>
      <c r="W1057" s="362"/>
    </row>
    <row r="1058" spans="22:23" x14ac:dyDescent="0.25">
      <c r="V1058" s="406"/>
      <c r="W1058" s="362"/>
    </row>
    <row r="1059" spans="22:23" x14ac:dyDescent="0.25">
      <c r="V1059" s="406"/>
      <c r="W1059" s="362"/>
    </row>
    <row r="1060" spans="22:23" x14ac:dyDescent="0.25">
      <c r="V1060" s="406"/>
      <c r="W1060" s="362"/>
    </row>
    <row r="1061" spans="22:23" x14ac:dyDescent="0.25">
      <c r="V1061" s="406"/>
      <c r="W1061" s="362"/>
    </row>
    <row r="1062" spans="22:23" x14ac:dyDescent="0.25">
      <c r="V1062" s="406"/>
      <c r="W1062" s="362"/>
    </row>
    <row r="1063" spans="22:23" x14ac:dyDescent="0.25">
      <c r="V1063" s="406"/>
      <c r="W1063" s="362"/>
    </row>
    <row r="1064" spans="22:23" x14ac:dyDescent="0.25">
      <c r="V1064" s="406"/>
      <c r="W1064" s="362"/>
    </row>
    <row r="1065" spans="22:23" x14ac:dyDescent="0.25">
      <c r="V1065" s="406"/>
      <c r="W1065" s="362"/>
    </row>
    <row r="1066" spans="22:23" x14ac:dyDescent="0.25">
      <c r="V1066" s="406"/>
      <c r="W1066" s="362"/>
    </row>
    <row r="1067" spans="22:23" x14ac:dyDescent="0.25">
      <c r="V1067" s="406"/>
      <c r="W1067" s="362"/>
    </row>
    <row r="1068" spans="22:23" x14ac:dyDescent="0.25">
      <c r="V1068" s="406"/>
      <c r="W1068" s="362"/>
    </row>
    <row r="1069" spans="22:23" x14ac:dyDescent="0.25">
      <c r="V1069" s="406"/>
      <c r="W1069" s="362"/>
    </row>
    <row r="1070" spans="22:23" x14ac:dyDescent="0.25">
      <c r="V1070" s="406"/>
      <c r="W1070" s="362"/>
    </row>
    <row r="1071" spans="22:23" x14ac:dyDescent="0.25">
      <c r="V1071" s="406"/>
      <c r="W1071" s="362"/>
    </row>
    <row r="1072" spans="22:23" x14ac:dyDescent="0.25">
      <c r="V1072" s="406"/>
      <c r="W1072" s="362"/>
    </row>
    <row r="1073" spans="22:23" x14ac:dyDescent="0.25">
      <c r="V1073" s="406"/>
      <c r="W1073" s="362"/>
    </row>
    <row r="1074" spans="22:23" x14ac:dyDescent="0.25">
      <c r="V1074" s="406"/>
      <c r="W1074" s="362"/>
    </row>
    <row r="1075" spans="22:23" x14ac:dyDescent="0.25">
      <c r="V1075" s="406"/>
      <c r="W1075" s="362"/>
    </row>
    <row r="1076" spans="22:23" x14ac:dyDescent="0.25">
      <c r="V1076" s="406"/>
      <c r="W1076" s="362"/>
    </row>
    <row r="1077" spans="22:23" x14ac:dyDescent="0.25">
      <c r="V1077" s="406"/>
      <c r="W1077" s="362"/>
    </row>
    <row r="1078" spans="22:23" x14ac:dyDescent="0.25">
      <c r="V1078" s="406"/>
      <c r="W1078" s="362"/>
    </row>
    <row r="1079" spans="22:23" x14ac:dyDescent="0.25">
      <c r="V1079" s="406"/>
      <c r="W1079" s="362"/>
    </row>
    <row r="1080" spans="22:23" x14ac:dyDescent="0.25">
      <c r="V1080" s="406"/>
      <c r="W1080" s="362"/>
    </row>
    <row r="1081" spans="22:23" x14ac:dyDescent="0.25">
      <c r="V1081" s="406"/>
      <c r="W1081" s="362"/>
    </row>
    <row r="1082" spans="22:23" x14ac:dyDescent="0.25">
      <c r="V1082" s="406"/>
      <c r="W1082" s="362"/>
    </row>
    <row r="1083" spans="22:23" x14ac:dyDescent="0.25">
      <c r="V1083" s="406"/>
      <c r="W1083" s="362"/>
    </row>
    <row r="1084" spans="22:23" x14ac:dyDescent="0.25">
      <c r="V1084" s="406"/>
      <c r="W1084" s="362"/>
    </row>
    <row r="1085" spans="22:23" x14ac:dyDescent="0.25">
      <c r="V1085" s="406"/>
      <c r="W1085" s="362"/>
    </row>
    <row r="1086" spans="22:23" x14ac:dyDescent="0.25">
      <c r="V1086" s="406"/>
      <c r="W1086" s="362"/>
    </row>
    <row r="1087" spans="22:23" x14ac:dyDescent="0.25">
      <c r="V1087" s="406"/>
      <c r="W1087" s="362"/>
    </row>
    <row r="1088" spans="22:23" x14ac:dyDescent="0.25">
      <c r="V1088" s="406"/>
      <c r="W1088" s="362"/>
    </row>
    <row r="1089" spans="22:23" x14ac:dyDescent="0.25">
      <c r="V1089" s="406"/>
      <c r="W1089" s="362"/>
    </row>
    <row r="1090" spans="22:23" x14ac:dyDescent="0.25">
      <c r="V1090" s="406"/>
      <c r="W1090" s="362"/>
    </row>
    <row r="1091" spans="22:23" x14ac:dyDescent="0.25">
      <c r="V1091" s="406"/>
      <c r="W1091" s="362"/>
    </row>
    <row r="1092" spans="22:23" x14ac:dyDescent="0.25">
      <c r="V1092" s="406"/>
      <c r="W1092" s="362"/>
    </row>
    <row r="1093" spans="22:23" x14ac:dyDescent="0.25">
      <c r="V1093" s="406"/>
      <c r="W1093" s="362"/>
    </row>
    <row r="1094" spans="22:23" x14ac:dyDescent="0.25">
      <c r="V1094" s="406"/>
      <c r="W1094" s="362"/>
    </row>
    <row r="1095" spans="22:23" x14ac:dyDescent="0.25">
      <c r="V1095" s="406"/>
      <c r="W1095" s="362"/>
    </row>
    <row r="1096" spans="22:23" x14ac:dyDescent="0.25">
      <c r="V1096" s="406"/>
      <c r="W1096" s="362"/>
    </row>
    <row r="1097" spans="22:23" x14ac:dyDescent="0.25">
      <c r="V1097" s="406"/>
      <c r="W1097" s="362"/>
    </row>
    <row r="1098" spans="22:23" x14ac:dyDescent="0.25">
      <c r="V1098" s="406"/>
      <c r="W1098" s="362"/>
    </row>
    <row r="1099" spans="22:23" x14ac:dyDescent="0.25">
      <c r="V1099" s="406"/>
      <c r="W1099" s="362"/>
    </row>
    <row r="1100" spans="22:23" x14ac:dyDescent="0.25">
      <c r="V1100" s="406"/>
      <c r="W1100" s="362"/>
    </row>
    <row r="1101" spans="22:23" x14ac:dyDescent="0.25">
      <c r="V1101" s="406"/>
      <c r="W1101" s="362"/>
    </row>
    <row r="1102" spans="22:23" x14ac:dyDescent="0.25">
      <c r="V1102" s="406"/>
      <c r="W1102" s="362"/>
    </row>
    <row r="1103" spans="22:23" x14ac:dyDescent="0.25">
      <c r="V1103" s="406"/>
      <c r="W1103" s="362"/>
    </row>
    <row r="1104" spans="22:23" x14ac:dyDescent="0.25">
      <c r="V1104" s="406"/>
      <c r="W1104" s="362"/>
    </row>
    <row r="1105" spans="1:38" x14ac:dyDescent="0.25">
      <c r="V1105" s="406"/>
      <c r="W1105" s="362"/>
    </row>
    <row r="1106" spans="1:38" x14ac:dyDescent="0.25">
      <c r="V1106" s="406"/>
      <c r="W1106" s="362"/>
    </row>
    <row r="1107" spans="1:38" x14ac:dyDescent="0.25">
      <c r="V1107" s="406"/>
      <c r="W1107" s="362"/>
    </row>
    <row r="1108" spans="1:38" x14ac:dyDescent="0.25">
      <c r="V1108" s="406"/>
      <c r="W1108" s="362"/>
    </row>
    <row r="1109" spans="1:38" x14ac:dyDescent="0.25">
      <c r="V1109" s="406"/>
      <c r="W1109" s="362"/>
    </row>
    <row r="1110" spans="1:38" x14ac:dyDescent="0.25">
      <c r="V1110" s="406"/>
      <c r="W1110" s="362"/>
    </row>
    <row r="1111" spans="1:38" x14ac:dyDescent="0.25">
      <c r="V1111" s="406"/>
      <c r="W1111" s="362"/>
    </row>
    <row r="1112" spans="1:38" x14ac:dyDescent="0.25">
      <c r="V1112" s="406"/>
      <c r="W1112" s="362"/>
    </row>
    <row r="1113" spans="1:38" x14ac:dyDescent="0.25">
      <c r="V1113" s="406"/>
      <c r="W1113" s="362"/>
    </row>
    <row r="1114" spans="1:38" x14ac:dyDescent="0.25">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x14ac:dyDescent="0.25">
      <c r="V1115" s="406"/>
      <c r="W1115" s="362"/>
    </row>
    <row r="1116" spans="1:38" x14ac:dyDescent="0.25">
      <c r="V1116" s="406"/>
      <c r="W1116" s="362"/>
    </row>
    <row r="1117" spans="1:38" x14ac:dyDescent="0.25">
      <c r="V1117" s="406"/>
      <c r="W1117" s="362"/>
    </row>
    <row r="1118" spans="1:38" x14ac:dyDescent="0.25">
      <c r="V1118" s="406"/>
      <c r="W1118" s="362"/>
    </row>
    <row r="1119" spans="1:38" x14ac:dyDescent="0.25">
      <c r="V1119" s="406"/>
      <c r="W1119" s="362"/>
    </row>
    <row r="1120" spans="1:38" x14ac:dyDescent="0.25">
      <c r="V1120" s="406"/>
      <c r="W1120" s="362"/>
    </row>
    <row r="1121" spans="22:23" x14ac:dyDescent="0.25">
      <c r="V1121" s="406"/>
      <c r="W1121" s="362"/>
    </row>
    <row r="1122" spans="22:23" x14ac:dyDescent="0.25">
      <c r="V1122" s="406"/>
      <c r="W1122" s="362"/>
    </row>
    <row r="1123" spans="22:23" x14ac:dyDescent="0.25">
      <c r="V1123" s="406"/>
      <c r="W1123" s="362"/>
    </row>
    <row r="1124" spans="22:23" x14ac:dyDescent="0.25">
      <c r="V1124" s="406"/>
      <c r="W1124" s="362"/>
    </row>
    <row r="1125" spans="22:23" x14ac:dyDescent="0.25">
      <c r="V1125" s="406"/>
      <c r="W1125" s="362"/>
    </row>
    <row r="1126" spans="22:23" x14ac:dyDescent="0.25">
      <c r="V1126" s="406"/>
      <c r="W1126" s="362"/>
    </row>
    <row r="1127" spans="22:23" x14ac:dyDescent="0.25">
      <c r="V1127" s="406"/>
      <c r="W1127" s="362"/>
    </row>
    <row r="1128" spans="22:23" x14ac:dyDescent="0.25">
      <c r="V1128" s="406"/>
      <c r="W1128" s="362"/>
    </row>
    <row r="1129" spans="22:23" x14ac:dyDescent="0.25">
      <c r="V1129" s="406"/>
      <c r="W1129" s="362"/>
    </row>
    <row r="1130" spans="22:23" x14ac:dyDescent="0.25">
      <c r="V1130" s="406"/>
      <c r="W1130" s="362"/>
    </row>
    <row r="1131" spans="22:23" x14ac:dyDescent="0.25">
      <c r="V1131" s="406"/>
      <c r="W1131" s="362"/>
    </row>
    <row r="1132" spans="22:23" x14ac:dyDescent="0.25">
      <c r="V1132" s="406"/>
      <c r="W1132" s="362"/>
    </row>
    <row r="1133" spans="22:23" x14ac:dyDescent="0.25">
      <c r="V1133" s="406"/>
      <c r="W1133" s="362"/>
    </row>
    <row r="1134" spans="22:23" x14ac:dyDescent="0.25">
      <c r="V1134" s="406"/>
      <c r="W1134" s="362"/>
    </row>
    <row r="1135" spans="22:23" x14ac:dyDescent="0.25">
      <c r="V1135" s="406"/>
      <c r="W1135" s="362"/>
    </row>
    <row r="1136" spans="22:23" x14ac:dyDescent="0.25">
      <c r="V1136" s="406"/>
      <c r="W1136" s="362"/>
    </row>
    <row r="1137" spans="22:23" x14ac:dyDescent="0.25">
      <c r="V1137" s="406"/>
      <c r="W1137" s="362"/>
    </row>
    <row r="1138" spans="22:23" x14ac:dyDescent="0.25">
      <c r="V1138" s="406"/>
      <c r="W1138" s="362"/>
    </row>
    <row r="1139" spans="22:23" x14ac:dyDescent="0.25">
      <c r="V1139" s="406"/>
      <c r="W1139" s="362"/>
    </row>
    <row r="1140" spans="22:23" x14ac:dyDescent="0.25">
      <c r="V1140" s="406"/>
      <c r="W1140" s="362"/>
    </row>
    <row r="1141" spans="22:23" x14ac:dyDescent="0.25">
      <c r="V1141" s="406"/>
      <c r="W1141" s="362"/>
    </row>
    <row r="1142" spans="22:23" x14ac:dyDescent="0.25">
      <c r="V1142" s="406"/>
      <c r="W1142" s="362"/>
    </row>
    <row r="1143" spans="22:23" x14ac:dyDescent="0.25">
      <c r="V1143" s="406"/>
      <c r="W1143" s="362"/>
    </row>
    <row r="1144" spans="22:23" x14ac:dyDescent="0.25">
      <c r="V1144" s="406"/>
      <c r="W1144" s="362"/>
    </row>
    <row r="1145" spans="22:23" x14ac:dyDescent="0.25">
      <c r="V1145" s="406"/>
      <c r="W1145" s="362"/>
    </row>
    <row r="1146" spans="22:23" x14ac:dyDescent="0.25">
      <c r="V1146" s="406"/>
      <c r="W1146" s="362"/>
    </row>
    <row r="1147" spans="22:23" x14ac:dyDescent="0.25">
      <c r="V1147" s="406"/>
      <c r="W1147" s="362"/>
    </row>
    <row r="1148" spans="22:23" x14ac:dyDescent="0.25">
      <c r="V1148" s="406"/>
      <c r="W1148" s="362"/>
    </row>
    <row r="1149" spans="22:23" x14ac:dyDescent="0.25">
      <c r="V1149" s="406"/>
      <c r="W1149" s="362"/>
    </row>
    <row r="1150" spans="22:23" x14ac:dyDescent="0.25">
      <c r="V1150" s="406"/>
      <c r="W1150" s="362"/>
    </row>
    <row r="1151" spans="22:23" x14ac:dyDescent="0.25">
      <c r="V1151" s="406"/>
      <c r="W1151" s="362"/>
    </row>
    <row r="1152" spans="22:23" x14ac:dyDescent="0.25">
      <c r="V1152" s="406"/>
      <c r="W1152" s="362"/>
    </row>
    <row r="1153" spans="22:23" x14ac:dyDescent="0.25">
      <c r="V1153" s="406"/>
      <c r="W1153" s="362"/>
    </row>
    <row r="1154" spans="22:23" x14ac:dyDescent="0.25">
      <c r="V1154" s="406"/>
      <c r="W1154" s="362"/>
    </row>
    <row r="1155" spans="22:23" x14ac:dyDescent="0.25">
      <c r="V1155" s="406"/>
      <c r="W1155" s="362"/>
    </row>
    <row r="1156" spans="22:23" x14ac:dyDescent="0.25">
      <c r="V1156" s="406"/>
      <c r="W1156" s="362"/>
    </row>
    <row r="1157" spans="22:23" x14ac:dyDescent="0.25">
      <c r="V1157" s="406"/>
      <c r="W1157" s="362"/>
    </row>
    <row r="1158" spans="22:23" x14ac:dyDescent="0.25">
      <c r="V1158" s="406"/>
      <c r="W1158" s="362"/>
    </row>
    <row r="1159" spans="22:23" x14ac:dyDescent="0.25">
      <c r="V1159" s="406"/>
      <c r="W1159" s="362"/>
    </row>
    <row r="1160" spans="22:23" x14ac:dyDescent="0.25">
      <c r="V1160" s="406"/>
      <c r="W1160" s="362"/>
    </row>
    <row r="1161" spans="22:23" x14ac:dyDescent="0.25">
      <c r="V1161" s="406"/>
      <c r="W1161" s="362"/>
    </row>
    <row r="1162" spans="22:23" x14ac:dyDescent="0.25">
      <c r="V1162" s="406"/>
      <c r="W1162" s="362"/>
    </row>
    <row r="1163" spans="22:23" x14ac:dyDescent="0.25">
      <c r="V1163" s="406"/>
      <c r="W1163" s="362"/>
    </row>
    <row r="1164" spans="22:23" x14ac:dyDescent="0.25">
      <c r="V1164" s="406"/>
      <c r="W1164" s="362"/>
    </row>
    <row r="1165" spans="22:23" x14ac:dyDescent="0.25">
      <c r="V1165" s="406"/>
      <c r="W1165" s="362"/>
    </row>
    <row r="1166" spans="22:23" x14ac:dyDescent="0.25">
      <c r="V1166" s="406"/>
      <c r="W1166" s="362"/>
    </row>
    <row r="1167" spans="22:23" x14ac:dyDescent="0.25">
      <c r="V1167" s="406"/>
      <c r="W1167" s="362"/>
    </row>
    <row r="1168" spans="22:23" x14ac:dyDescent="0.25">
      <c r="V1168" s="406"/>
      <c r="W1168" s="362"/>
    </row>
    <row r="1169" spans="22:23" x14ac:dyDescent="0.25">
      <c r="V1169" s="406"/>
      <c r="W1169" s="362"/>
    </row>
    <row r="1170" spans="22:23" x14ac:dyDescent="0.25">
      <c r="V1170" s="406"/>
      <c r="W1170" s="362"/>
    </row>
    <row r="1171" spans="22:23" x14ac:dyDescent="0.25">
      <c r="V1171" s="406"/>
      <c r="W1171" s="362"/>
    </row>
    <row r="1172" spans="22:23" x14ac:dyDescent="0.25">
      <c r="V1172" s="406"/>
      <c r="W1172" s="362"/>
    </row>
    <row r="1173" spans="22:23" x14ac:dyDescent="0.25">
      <c r="V1173" s="406"/>
      <c r="W1173" s="362"/>
    </row>
    <row r="1174" spans="22:23" x14ac:dyDescent="0.25">
      <c r="V1174" s="406"/>
      <c r="W1174" s="362"/>
    </row>
    <row r="1175" spans="22:23" x14ac:dyDescent="0.25">
      <c r="V1175" s="406"/>
      <c r="W1175" s="362"/>
    </row>
    <row r="1176" spans="22:23" x14ac:dyDescent="0.25">
      <c r="V1176" s="406"/>
      <c r="W1176" s="362"/>
    </row>
    <row r="1177" spans="22:23" x14ac:dyDescent="0.25">
      <c r="V1177" s="406"/>
      <c r="W1177" s="362"/>
    </row>
    <row r="1178" spans="22:23" x14ac:dyDescent="0.25">
      <c r="V1178" s="406"/>
      <c r="W1178" s="362"/>
    </row>
    <row r="1179" spans="22:23" x14ac:dyDescent="0.25">
      <c r="V1179" s="406"/>
      <c r="W1179" s="362"/>
    </row>
    <row r="1180" spans="22:23" x14ac:dyDescent="0.25">
      <c r="V1180" s="406"/>
      <c r="W1180" s="362"/>
    </row>
    <row r="1181" spans="22:23" x14ac:dyDescent="0.25">
      <c r="V1181" s="406"/>
      <c r="W1181" s="362"/>
    </row>
    <row r="1182" spans="22:23" x14ac:dyDescent="0.25">
      <c r="V1182" s="406"/>
      <c r="W1182" s="362"/>
    </row>
    <row r="1183" spans="22:23" x14ac:dyDescent="0.25">
      <c r="V1183" s="406"/>
      <c r="W1183" s="362"/>
    </row>
    <row r="1184" spans="22:23" x14ac:dyDescent="0.25">
      <c r="V1184" s="406"/>
      <c r="W1184" s="362"/>
    </row>
    <row r="1185" spans="22:23" x14ac:dyDescent="0.25">
      <c r="V1185" s="406"/>
      <c r="W1185" s="362"/>
    </row>
    <row r="1186" spans="22:23" x14ac:dyDescent="0.25">
      <c r="V1186" s="406"/>
      <c r="W1186" s="362"/>
    </row>
    <row r="1187" spans="22:23" x14ac:dyDescent="0.25">
      <c r="V1187" s="406"/>
      <c r="W1187" s="362"/>
    </row>
    <row r="1188" spans="22:23" x14ac:dyDescent="0.25">
      <c r="V1188" s="406"/>
      <c r="W1188" s="362"/>
    </row>
    <row r="1189" spans="22:23" x14ac:dyDescent="0.25">
      <c r="W1189" s="362"/>
    </row>
    <row r="1190" spans="22:23" x14ac:dyDescent="0.25">
      <c r="W1190" s="362"/>
    </row>
    <row r="1191" spans="22:23" x14ac:dyDescent="0.25">
      <c r="W1191" s="362"/>
    </row>
    <row r="1192" spans="22:23" x14ac:dyDescent="0.25">
      <c r="W1192" s="362"/>
    </row>
    <row r="1193" spans="22:23" x14ac:dyDescent="0.25">
      <c r="W1193" s="362"/>
    </row>
    <row r="1194" spans="22:23" x14ac:dyDescent="0.25">
      <c r="W1194" s="362"/>
    </row>
    <row r="1195" spans="22:23" x14ac:dyDescent="0.25">
      <c r="W1195" s="362"/>
    </row>
    <row r="1196" spans="22:23" x14ac:dyDescent="0.25">
      <c r="W1196" s="362"/>
    </row>
    <row r="1197" spans="22:23" x14ac:dyDescent="0.25">
      <c r="W1197" s="362"/>
    </row>
    <row r="1198" spans="22:23" x14ac:dyDescent="0.25">
      <c r="W1198" s="362"/>
    </row>
    <row r="1199" spans="22:23" x14ac:dyDescent="0.25">
      <c r="W1199" s="362"/>
    </row>
    <row r="1200" spans="22:23" x14ac:dyDescent="0.25">
      <c r="W1200" s="362"/>
    </row>
    <row r="1201" spans="23:23" x14ac:dyDescent="0.25">
      <c r="W1201" s="362"/>
    </row>
    <row r="1202" spans="23:23" x14ac:dyDescent="0.25">
      <c r="W1202" s="362"/>
    </row>
    <row r="1203" spans="23:23" x14ac:dyDescent="0.25">
      <c r="W1203" s="362"/>
    </row>
    <row r="1204" spans="23:23" x14ac:dyDescent="0.25">
      <c r="W1204" s="362"/>
    </row>
    <row r="1205" spans="23:23" x14ac:dyDescent="0.25">
      <c r="W1205" s="362"/>
    </row>
    <row r="1206" spans="23:23" x14ac:dyDescent="0.25">
      <c r="W1206" s="362"/>
    </row>
    <row r="1207" spans="23:23" x14ac:dyDescent="0.25">
      <c r="W1207" s="362"/>
    </row>
    <row r="1208" spans="23:23" x14ac:dyDescent="0.25">
      <c r="W1208" s="362"/>
    </row>
    <row r="1209" spans="23:23" x14ac:dyDescent="0.25">
      <c r="W1209" s="362"/>
    </row>
    <row r="1210" spans="23:23" x14ac:dyDescent="0.25">
      <c r="W1210" s="362"/>
    </row>
    <row r="1211" spans="23:23" x14ac:dyDescent="0.25">
      <c r="W1211" s="362"/>
    </row>
    <row r="1212" spans="23:23" x14ac:dyDescent="0.25">
      <c r="W1212" s="362"/>
    </row>
    <row r="1213" spans="23:23" x14ac:dyDescent="0.25">
      <c r="W1213" s="362"/>
    </row>
    <row r="1214" spans="23:23" x14ac:dyDescent="0.25">
      <c r="W1214" s="362"/>
    </row>
    <row r="1215" spans="23:23" x14ac:dyDescent="0.25">
      <c r="W1215" s="362"/>
    </row>
    <row r="1216" spans="23:23" x14ac:dyDescent="0.25">
      <c r="W1216" s="362"/>
    </row>
    <row r="1217" spans="23:23" x14ac:dyDescent="0.25">
      <c r="W1217" s="362"/>
    </row>
    <row r="1218" spans="23:23" x14ac:dyDescent="0.25">
      <c r="W1218" s="362"/>
    </row>
    <row r="1219" spans="23:23" x14ac:dyDescent="0.25">
      <c r="W1219" s="362"/>
    </row>
    <row r="1220" spans="23:23" x14ac:dyDescent="0.25">
      <c r="W1220" s="362"/>
    </row>
    <row r="1221" spans="23:23" x14ac:dyDescent="0.25">
      <c r="W1221" s="362"/>
    </row>
    <row r="1222" spans="23:23" x14ac:dyDescent="0.25">
      <c r="W1222" s="362"/>
    </row>
    <row r="1223" spans="23:23" x14ac:dyDescent="0.25">
      <c r="W1223" s="362"/>
    </row>
    <row r="1224" spans="23:23" x14ac:dyDescent="0.25">
      <c r="W1224" s="362"/>
    </row>
    <row r="1225" spans="23:23" x14ac:dyDescent="0.25">
      <c r="W1225" s="362"/>
    </row>
    <row r="1226" spans="23:23" x14ac:dyDescent="0.25">
      <c r="W1226" s="362"/>
    </row>
    <row r="1227" spans="23:23" x14ac:dyDescent="0.25">
      <c r="W1227" s="362"/>
    </row>
    <row r="1228" spans="23:23" x14ac:dyDescent="0.25">
      <c r="W1228" s="362"/>
    </row>
    <row r="1229" spans="23:23" x14ac:dyDescent="0.25">
      <c r="W1229" s="362"/>
    </row>
    <row r="1230" spans="23:23" x14ac:dyDescent="0.25">
      <c r="W1230" s="362"/>
    </row>
    <row r="1231" spans="23:23" x14ac:dyDescent="0.25">
      <c r="W1231" s="362"/>
    </row>
    <row r="1232" spans="23:23" x14ac:dyDescent="0.25">
      <c r="W1232" s="362"/>
    </row>
    <row r="1233" spans="23:23" x14ac:dyDescent="0.25">
      <c r="W1233" s="362"/>
    </row>
    <row r="1234" spans="23:23" x14ac:dyDescent="0.25">
      <c r="W1234" s="362"/>
    </row>
    <row r="1235" spans="23:23" x14ac:dyDescent="0.25">
      <c r="W1235" s="362"/>
    </row>
    <row r="1236" spans="23:23" x14ac:dyDescent="0.25">
      <c r="W1236" s="362"/>
    </row>
    <row r="1237" spans="23:23" x14ac:dyDescent="0.25">
      <c r="W1237" s="362"/>
    </row>
  </sheetData>
  <autoFilter ref="A1:AX669" xr:uid="{00000000-0009-0000-0000-00000B000000}">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5"/>
  <sheetViews>
    <sheetView workbookViewId="0">
      <pane ySplit="1" topLeftCell="A2" activePane="bottomLeft" state="frozen"/>
      <selection pane="bottomLeft" activeCell="G45" sqref="G45"/>
    </sheetView>
  </sheetViews>
  <sheetFormatPr baseColWidth="10" defaultColWidth="11.42578125" defaultRowHeight="12.75" x14ac:dyDescent="0.2"/>
  <cols>
    <col min="1" max="1" width="26.7109375" style="220" customWidth="1"/>
    <col min="2" max="2" width="5" style="220" customWidth="1"/>
    <col min="3" max="3" width="21.85546875" style="220" customWidth="1"/>
    <col min="4" max="4" width="33.7109375" style="220" customWidth="1"/>
    <col min="5" max="5" width="39.5703125" style="220" customWidth="1"/>
    <col min="6" max="11" width="16.7109375" style="232" customWidth="1"/>
    <col min="12" max="12" width="15.85546875" style="220" customWidth="1"/>
    <col min="13" max="13" width="19.140625" style="220" customWidth="1"/>
    <col min="14" max="16384" width="11.42578125" style="220"/>
  </cols>
  <sheetData>
    <row r="1" spans="1:13" ht="26.25" thickBot="1" x14ac:dyDescent="0.25">
      <c r="A1" s="215" t="s">
        <v>4592</v>
      </c>
      <c r="B1" s="1497" t="s">
        <v>4593</v>
      </c>
      <c r="C1" s="1497"/>
      <c r="D1" s="216" t="s">
        <v>4594</v>
      </c>
      <c r="E1" s="216" t="s">
        <v>4595</v>
      </c>
      <c r="F1" s="217" t="s">
        <v>4596</v>
      </c>
      <c r="G1" s="217" t="s">
        <v>4597</v>
      </c>
      <c r="H1" s="217" t="s">
        <v>4598</v>
      </c>
      <c r="I1" s="217" t="s">
        <v>4599</v>
      </c>
      <c r="J1" s="217" t="s">
        <v>2547</v>
      </c>
      <c r="K1" s="217" t="s">
        <v>4600</v>
      </c>
      <c r="L1" s="218" t="s">
        <v>4601</v>
      </c>
      <c r="M1" s="219" t="s">
        <v>4602</v>
      </c>
    </row>
    <row r="2" spans="1:13" x14ac:dyDescent="0.2">
      <c r="A2" s="1476" t="s">
        <v>4603</v>
      </c>
      <c r="B2" s="1498"/>
      <c r="C2" s="1499" t="s">
        <v>4604</v>
      </c>
      <c r="D2" s="1500" t="s">
        <v>4605</v>
      </c>
      <c r="E2" s="221" t="s">
        <v>4606</v>
      </c>
      <c r="F2" s="222">
        <v>414311953</v>
      </c>
      <c r="G2" s="222">
        <v>53640933</v>
      </c>
      <c r="H2" s="222">
        <v>360671020</v>
      </c>
      <c r="I2" s="222">
        <v>25895188</v>
      </c>
      <c r="J2" s="223">
        <v>100169374</v>
      </c>
      <c r="K2" s="223">
        <v>101622895</v>
      </c>
      <c r="L2" s="224">
        <v>227687457</v>
      </c>
      <c r="M2" s="225">
        <v>132983563</v>
      </c>
    </row>
    <row r="3" spans="1:13" x14ac:dyDescent="0.2">
      <c r="A3" s="1479"/>
      <c r="B3" s="1486"/>
      <c r="C3" s="1473"/>
      <c r="D3" s="1478"/>
      <c r="E3" s="226" t="s">
        <v>4607</v>
      </c>
      <c r="F3" s="227">
        <v>33985341</v>
      </c>
      <c r="G3" s="227">
        <v>27855341</v>
      </c>
      <c r="H3" s="227">
        <v>6130000</v>
      </c>
      <c r="I3" s="227">
        <v>0</v>
      </c>
      <c r="J3" s="227">
        <v>6130000</v>
      </c>
      <c r="K3" s="227">
        <v>0</v>
      </c>
      <c r="L3" s="224">
        <v>6130000</v>
      </c>
      <c r="M3" s="228">
        <v>0</v>
      </c>
    </row>
    <row r="4" spans="1:13" x14ac:dyDescent="0.2">
      <c r="A4" s="1479"/>
      <c r="B4" s="1486"/>
      <c r="C4" s="1473"/>
      <c r="D4" s="1478" t="s">
        <v>344</v>
      </c>
      <c r="E4" s="226" t="s">
        <v>4608</v>
      </c>
      <c r="F4" s="227">
        <v>11400000</v>
      </c>
      <c r="G4" s="227">
        <v>0</v>
      </c>
      <c r="H4" s="227">
        <v>11400000</v>
      </c>
      <c r="I4" s="227">
        <v>0</v>
      </c>
      <c r="J4" s="227">
        <v>0</v>
      </c>
      <c r="K4" s="227">
        <v>0</v>
      </c>
      <c r="L4" s="224">
        <v>0</v>
      </c>
      <c r="M4" s="228">
        <v>11400000</v>
      </c>
    </row>
    <row r="5" spans="1:13" x14ac:dyDescent="0.2">
      <c r="A5" s="1479"/>
      <c r="B5" s="1486"/>
      <c r="C5" s="1473"/>
      <c r="D5" s="1478"/>
      <c r="E5" s="226" t="s">
        <v>4609</v>
      </c>
      <c r="F5" s="227">
        <v>39485000</v>
      </c>
      <c r="G5" s="227">
        <v>0</v>
      </c>
      <c r="H5" s="227">
        <v>39485000</v>
      </c>
      <c r="I5" s="227">
        <v>0</v>
      </c>
      <c r="J5" s="227">
        <v>0</v>
      </c>
      <c r="K5" s="227">
        <v>0</v>
      </c>
      <c r="L5" s="224">
        <v>0</v>
      </c>
      <c r="M5" s="228">
        <v>39485000</v>
      </c>
    </row>
    <row r="6" spans="1:13" x14ac:dyDescent="0.2">
      <c r="A6" s="1479"/>
      <c r="B6" s="1486"/>
      <c r="C6" s="1473"/>
      <c r="D6" s="1473" t="s">
        <v>4610</v>
      </c>
      <c r="E6" s="226" t="s">
        <v>4611</v>
      </c>
      <c r="F6" s="227">
        <v>150208706</v>
      </c>
      <c r="G6" s="227">
        <v>0</v>
      </c>
      <c r="H6" s="227">
        <v>150208706</v>
      </c>
      <c r="I6" s="227">
        <v>0</v>
      </c>
      <c r="J6" s="227">
        <v>20526992</v>
      </c>
      <c r="K6" s="227">
        <v>0</v>
      </c>
      <c r="L6" s="224">
        <v>20526992</v>
      </c>
      <c r="M6" s="228">
        <v>129681714</v>
      </c>
    </row>
    <row r="7" spans="1:13" x14ac:dyDescent="0.2">
      <c r="A7" s="1479"/>
      <c r="B7" s="1486"/>
      <c r="C7" s="1473"/>
      <c r="D7" s="1473"/>
      <c r="E7" s="226" t="s">
        <v>4612</v>
      </c>
      <c r="F7" s="227">
        <v>3809271859</v>
      </c>
      <c r="G7" s="227">
        <v>0</v>
      </c>
      <c r="H7" s="227">
        <v>3809271859</v>
      </c>
      <c r="I7" s="227">
        <v>0</v>
      </c>
      <c r="J7" s="227">
        <v>268520631</v>
      </c>
      <c r="K7" s="227">
        <v>190303504</v>
      </c>
      <c r="L7" s="224">
        <v>458824135</v>
      </c>
      <c r="M7" s="228">
        <v>3350447724</v>
      </c>
    </row>
    <row r="8" spans="1:13" ht="13.5" thickBot="1" x14ac:dyDescent="0.25">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3.5" thickBot="1" x14ac:dyDescent="0.25"/>
    <row r="10" spans="1:13" x14ac:dyDescent="0.2">
      <c r="A10" s="1484" t="s">
        <v>4613</v>
      </c>
      <c r="B10" s="1485"/>
      <c r="C10" s="1472" t="s">
        <v>4614</v>
      </c>
      <c r="D10" s="1472" t="s">
        <v>4615</v>
      </c>
      <c r="E10" s="233" t="s">
        <v>4616</v>
      </c>
      <c r="F10" s="234">
        <v>1</v>
      </c>
      <c r="G10" s="234">
        <v>0</v>
      </c>
      <c r="H10" s="234">
        <v>1</v>
      </c>
      <c r="I10" s="234">
        <v>0</v>
      </c>
      <c r="J10" s="234">
        <v>0</v>
      </c>
      <c r="K10" s="234">
        <v>0</v>
      </c>
      <c r="L10" s="235">
        <v>0</v>
      </c>
      <c r="M10" s="236">
        <v>1</v>
      </c>
    </row>
    <row r="11" spans="1:13" x14ac:dyDescent="0.2">
      <c r="A11" s="1479"/>
      <c r="B11" s="1486"/>
      <c r="C11" s="1473"/>
      <c r="D11" s="1473"/>
      <c r="E11" s="226" t="s">
        <v>4617</v>
      </c>
      <c r="F11" s="227">
        <v>31978507</v>
      </c>
      <c r="G11" s="227">
        <v>0</v>
      </c>
      <c r="H11" s="227">
        <v>31978507</v>
      </c>
      <c r="I11" s="227">
        <v>0</v>
      </c>
      <c r="J11" s="227">
        <v>0</v>
      </c>
      <c r="K11" s="227">
        <v>0</v>
      </c>
      <c r="L11" s="237">
        <v>0</v>
      </c>
      <c r="M11" s="228">
        <v>31978507</v>
      </c>
    </row>
    <row r="12" spans="1:13" x14ac:dyDescent="0.2">
      <c r="A12" s="1479"/>
      <c r="B12" s="1486"/>
      <c r="C12" s="1473"/>
      <c r="D12" s="1473"/>
      <c r="E12" s="226" t="s">
        <v>4618</v>
      </c>
      <c r="F12" s="227">
        <v>35536124</v>
      </c>
      <c r="G12" s="227">
        <v>0</v>
      </c>
      <c r="H12" s="227">
        <v>35536124</v>
      </c>
      <c r="I12" s="227">
        <v>0</v>
      </c>
      <c r="J12" s="227">
        <v>0</v>
      </c>
      <c r="K12" s="227">
        <v>0</v>
      </c>
      <c r="L12" s="237">
        <v>0</v>
      </c>
      <c r="M12" s="228">
        <v>35536124</v>
      </c>
    </row>
    <row r="13" spans="1:13" ht="13.5" thickBot="1" x14ac:dyDescent="0.25">
      <c r="A13" s="229"/>
      <c r="B13" s="230"/>
      <c r="C13" s="230"/>
      <c r="D13" s="230"/>
      <c r="E13" s="230"/>
      <c r="F13" s="231">
        <v>67514632</v>
      </c>
      <c r="G13" s="231">
        <v>0</v>
      </c>
      <c r="H13" s="231">
        <v>67514632</v>
      </c>
      <c r="I13" s="231">
        <v>0</v>
      </c>
      <c r="J13" s="231">
        <v>0</v>
      </c>
      <c r="K13" s="231">
        <v>0</v>
      </c>
      <c r="L13" s="231">
        <v>0</v>
      </c>
      <c r="M13" s="231">
        <v>67514632</v>
      </c>
    </row>
    <row r="14" spans="1:13" ht="13.5" thickBot="1" x14ac:dyDescent="0.25"/>
    <row r="15" spans="1:13" x14ac:dyDescent="0.2">
      <c r="A15" s="1484" t="s">
        <v>4619</v>
      </c>
      <c r="B15" s="1492"/>
      <c r="C15" s="1472" t="s">
        <v>4620</v>
      </c>
      <c r="D15" s="1495" t="s">
        <v>4615</v>
      </c>
      <c r="E15" s="1482" t="s">
        <v>4621</v>
      </c>
      <c r="F15" s="234">
        <v>329715062</v>
      </c>
      <c r="G15" s="234">
        <v>0</v>
      </c>
      <c r="H15" s="234">
        <v>329715062</v>
      </c>
      <c r="I15" s="234">
        <v>0</v>
      </c>
      <c r="J15" s="234">
        <v>10145833</v>
      </c>
      <c r="K15" s="234">
        <v>0</v>
      </c>
      <c r="L15" s="235">
        <v>10145833</v>
      </c>
      <c r="M15" s="236">
        <v>319569229</v>
      </c>
    </row>
    <row r="16" spans="1:13" ht="13.5" thickBot="1" x14ac:dyDescent="0.25">
      <c r="A16" s="1491"/>
      <c r="B16" s="1493"/>
      <c r="C16" s="1494"/>
      <c r="D16" s="1496"/>
      <c r="E16" s="1483"/>
      <c r="F16" s="231">
        <v>329715062</v>
      </c>
      <c r="G16" s="231">
        <v>0</v>
      </c>
      <c r="H16" s="231">
        <v>329715062</v>
      </c>
      <c r="I16" s="231">
        <v>0</v>
      </c>
      <c r="J16" s="231">
        <v>10145833</v>
      </c>
      <c r="K16" s="231">
        <v>0</v>
      </c>
      <c r="L16" s="231">
        <v>10145833</v>
      </c>
      <c r="M16" s="231">
        <v>319569229</v>
      </c>
    </row>
    <row r="17" spans="1:13" ht="13.5" thickBot="1" x14ac:dyDescent="0.25"/>
    <row r="18" spans="1:13" x14ac:dyDescent="0.2">
      <c r="A18" s="1484" t="s">
        <v>4622</v>
      </c>
      <c r="B18" s="1485"/>
      <c r="C18" s="1472" t="s">
        <v>4623</v>
      </c>
      <c r="D18" s="238" t="s">
        <v>164</v>
      </c>
      <c r="E18" s="233" t="s">
        <v>4624</v>
      </c>
      <c r="F18" s="234">
        <v>59329710</v>
      </c>
      <c r="G18" s="234">
        <v>0</v>
      </c>
      <c r="H18" s="234">
        <v>59329710</v>
      </c>
      <c r="I18" s="234">
        <v>0</v>
      </c>
      <c r="J18" s="234">
        <v>17124544</v>
      </c>
      <c r="K18" s="234">
        <v>20176125</v>
      </c>
      <c r="L18" s="234">
        <v>37300669</v>
      </c>
      <c r="M18" s="239">
        <v>22029041</v>
      </c>
    </row>
    <row r="19" spans="1:13" x14ac:dyDescent="0.2">
      <c r="A19" s="1479"/>
      <c r="B19" s="1486"/>
      <c r="C19" s="1473"/>
      <c r="D19" s="240" t="s">
        <v>4625</v>
      </c>
      <c r="E19" s="226" t="s">
        <v>4626</v>
      </c>
      <c r="F19" s="227">
        <v>2355567</v>
      </c>
      <c r="G19" s="227">
        <v>0</v>
      </c>
      <c r="H19" s="227">
        <v>2355567</v>
      </c>
      <c r="I19" s="227">
        <v>0</v>
      </c>
      <c r="J19" s="227">
        <v>1931167</v>
      </c>
      <c r="K19" s="227">
        <v>0</v>
      </c>
      <c r="L19" s="227">
        <v>1931167</v>
      </c>
      <c r="M19" s="241">
        <v>424400</v>
      </c>
    </row>
    <row r="20" spans="1:13" x14ac:dyDescent="0.2">
      <c r="A20" s="1479"/>
      <c r="B20" s="1486"/>
      <c r="C20" s="1473"/>
      <c r="D20" s="226" t="s">
        <v>214</v>
      </c>
      <c r="E20" s="226" t="s">
        <v>4627</v>
      </c>
      <c r="F20" s="242">
        <v>140946733</v>
      </c>
      <c r="G20" s="227">
        <v>0</v>
      </c>
      <c r="H20" s="227">
        <v>140946733</v>
      </c>
      <c r="I20" s="227">
        <v>0</v>
      </c>
      <c r="J20" s="226">
        <v>0</v>
      </c>
      <c r="K20" s="226">
        <v>0</v>
      </c>
      <c r="L20" s="226">
        <v>0</v>
      </c>
      <c r="M20" s="241">
        <v>140946733</v>
      </c>
    </row>
    <row r="21" spans="1:13" x14ac:dyDescent="0.2">
      <c r="A21" s="1479"/>
      <c r="B21" s="1486"/>
      <c r="C21" s="1473"/>
      <c r="D21" s="226" t="s">
        <v>184</v>
      </c>
      <c r="E21" s="226" t="s">
        <v>4628</v>
      </c>
      <c r="F21" s="227">
        <v>277204263</v>
      </c>
      <c r="G21" s="227">
        <v>0</v>
      </c>
      <c r="H21" s="227">
        <v>277204263</v>
      </c>
      <c r="I21" s="227">
        <v>0</v>
      </c>
      <c r="J21" s="227">
        <v>23024011</v>
      </c>
      <c r="K21" s="227">
        <v>37521178</v>
      </c>
      <c r="L21" s="227">
        <v>60545189</v>
      </c>
      <c r="M21" s="241">
        <v>216659074</v>
      </c>
    </row>
    <row r="22" spans="1:13" ht="13.5" thickBot="1" x14ac:dyDescent="0.25">
      <c r="A22" s="229"/>
      <c r="B22" s="230"/>
      <c r="C22" s="230"/>
      <c r="D22" s="230"/>
      <c r="E22" s="230"/>
      <c r="F22" s="231">
        <v>479836273</v>
      </c>
      <c r="G22" s="231">
        <v>0</v>
      </c>
      <c r="H22" s="231">
        <v>479836273</v>
      </c>
      <c r="I22" s="231">
        <v>0</v>
      </c>
      <c r="J22" s="231">
        <v>42079722</v>
      </c>
      <c r="K22" s="231">
        <v>57697303</v>
      </c>
      <c r="L22" s="231">
        <v>99777025</v>
      </c>
      <c r="M22" s="231">
        <v>380059248</v>
      </c>
    </row>
    <row r="23" spans="1:13" ht="13.5" thickBot="1" x14ac:dyDescent="0.25">
      <c r="E23" s="285">
        <f>+F22+F16+F13+F8</f>
        <v>5335728826</v>
      </c>
    </row>
    <row r="24" spans="1:13" s="251" customFormat="1" ht="26.25" thickBot="1" x14ac:dyDescent="0.3">
      <c r="A24" s="243" t="s">
        <v>4592</v>
      </c>
      <c r="B24" s="1487" t="s">
        <v>4629</v>
      </c>
      <c r="C24" s="1487"/>
      <c r="D24" s="244" t="s">
        <v>4594</v>
      </c>
      <c r="E24" s="244" t="s">
        <v>4595</v>
      </c>
      <c r="F24" s="245" t="s">
        <v>4596</v>
      </c>
      <c r="G24" s="246"/>
      <c r="H24" s="246"/>
      <c r="I24" s="247" t="s">
        <v>4599</v>
      </c>
      <c r="J24" s="248" t="s">
        <v>2547</v>
      </c>
      <c r="K24" s="249" t="s">
        <v>4600</v>
      </c>
      <c r="L24" s="250" t="s">
        <v>4601</v>
      </c>
      <c r="M24" s="250" t="s">
        <v>4602</v>
      </c>
    </row>
    <row r="25" spans="1:13" x14ac:dyDescent="0.2">
      <c r="A25" s="1476" t="s">
        <v>4630</v>
      </c>
      <c r="B25" s="1480">
        <v>295</v>
      </c>
      <c r="C25" s="1481" t="s">
        <v>4631</v>
      </c>
      <c r="D25" s="1457" t="s">
        <v>344</v>
      </c>
      <c r="E25" s="252" t="s">
        <v>343</v>
      </c>
      <c r="F25" s="253">
        <v>4459721939</v>
      </c>
      <c r="G25" s="254">
        <v>0</v>
      </c>
      <c r="H25" s="254">
        <v>4459721939</v>
      </c>
      <c r="I25" s="254">
        <v>0</v>
      </c>
      <c r="J25" s="254">
        <v>42932000</v>
      </c>
      <c r="K25" s="254">
        <v>0</v>
      </c>
      <c r="L25" s="253">
        <v>42932000</v>
      </c>
      <c r="M25" s="255">
        <v>4416789939</v>
      </c>
    </row>
    <row r="26" spans="1:13" x14ac:dyDescent="0.2">
      <c r="A26" s="1479"/>
      <c r="B26" s="1460"/>
      <c r="C26" s="1456"/>
      <c r="D26" s="1457"/>
      <c r="E26" s="252" t="s">
        <v>4632</v>
      </c>
      <c r="F26" s="256">
        <v>5423958273</v>
      </c>
      <c r="G26" s="256">
        <v>0</v>
      </c>
      <c r="H26" s="256">
        <v>5423958273</v>
      </c>
      <c r="I26" s="256">
        <v>0</v>
      </c>
      <c r="J26" s="256">
        <v>0</v>
      </c>
      <c r="K26" s="256">
        <v>1777877355</v>
      </c>
      <c r="L26" s="256">
        <v>1777877355</v>
      </c>
      <c r="M26" s="257">
        <v>3646080918</v>
      </c>
    </row>
    <row r="27" spans="1:13" ht="15" customHeight="1" x14ac:dyDescent="0.2">
      <c r="A27" s="1479"/>
      <c r="B27" s="1458">
        <v>289</v>
      </c>
      <c r="C27" s="1455" t="s">
        <v>4633</v>
      </c>
      <c r="D27" s="1473" t="s">
        <v>4610</v>
      </c>
      <c r="E27" s="252" t="s">
        <v>4634</v>
      </c>
      <c r="F27" s="256">
        <v>10333334</v>
      </c>
      <c r="G27" s="256">
        <v>0</v>
      </c>
      <c r="H27" s="256">
        <v>10333334</v>
      </c>
      <c r="I27" s="256">
        <v>0</v>
      </c>
      <c r="J27" s="256">
        <v>10000000</v>
      </c>
      <c r="K27" s="256">
        <v>0</v>
      </c>
      <c r="L27" s="256">
        <v>10000000</v>
      </c>
      <c r="M27" s="257">
        <v>333334</v>
      </c>
    </row>
    <row r="28" spans="1:13" x14ac:dyDescent="0.2">
      <c r="A28" s="1479"/>
      <c r="B28" s="1460"/>
      <c r="C28" s="1456"/>
      <c r="D28" s="1473"/>
      <c r="E28" s="252" t="s">
        <v>397</v>
      </c>
      <c r="F28" s="256">
        <v>0</v>
      </c>
      <c r="G28" s="256">
        <v>0</v>
      </c>
      <c r="H28" s="256">
        <v>0</v>
      </c>
      <c r="I28" s="256">
        <v>0</v>
      </c>
      <c r="J28" s="256">
        <v>0</v>
      </c>
      <c r="K28" s="256">
        <v>0</v>
      </c>
      <c r="L28" s="256">
        <v>0</v>
      </c>
      <c r="M28" s="257">
        <v>0</v>
      </c>
    </row>
    <row r="29" spans="1:13" ht="12.75" customHeight="1" x14ac:dyDescent="0.2">
      <c r="A29" s="1479"/>
      <c r="B29" s="252">
        <v>291</v>
      </c>
      <c r="C29" s="252" t="s">
        <v>4635</v>
      </c>
      <c r="D29" s="258" t="s">
        <v>344</v>
      </c>
      <c r="E29" s="252" t="s">
        <v>4636</v>
      </c>
      <c r="F29" s="256">
        <v>0</v>
      </c>
      <c r="G29" s="256">
        <v>0</v>
      </c>
      <c r="H29" s="256">
        <v>0</v>
      </c>
      <c r="I29" s="256">
        <v>0</v>
      </c>
      <c r="J29" s="256">
        <v>0</v>
      </c>
      <c r="K29" s="256">
        <v>0</v>
      </c>
      <c r="L29" s="256">
        <v>0</v>
      </c>
      <c r="M29" s="257">
        <v>0</v>
      </c>
    </row>
    <row r="30" spans="1:13" x14ac:dyDescent="0.2">
      <c r="A30" s="1479"/>
      <c r="B30" s="1458">
        <v>292</v>
      </c>
      <c r="C30" s="1455" t="s">
        <v>4637</v>
      </c>
      <c r="D30" s="1457" t="s">
        <v>4605</v>
      </c>
      <c r="E30" s="252" t="s">
        <v>283</v>
      </c>
      <c r="F30" s="256">
        <v>0</v>
      </c>
      <c r="G30" s="256">
        <v>0</v>
      </c>
      <c r="H30" s="256">
        <v>0</v>
      </c>
      <c r="I30" s="256">
        <v>0</v>
      </c>
      <c r="J30" s="256">
        <v>0</v>
      </c>
      <c r="K30" s="256">
        <v>0</v>
      </c>
      <c r="L30" s="256">
        <v>0</v>
      </c>
      <c r="M30" s="257">
        <v>0</v>
      </c>
    </row>
    <row r="31" spans="1:13" x14ac:dyDescent="0.2">
      <c r="A31" s="1479"/>
      <c r="B31" s="1459"/>
      <c r="C31" s="1461"/>
      <c r="D31" s="1457"/>
      <c r="E31" s="252" t="s">
        <v>4638</v>
      </c>
      <c r="F31" s="256">
        <v>0</v>
      </c>
      <c r="G31" s="256">
        <v>0</v>
      </c>
      <c r="H31" s="256">
        <v>0</v>
      </c>
      <c r="I31" s="256">
        <v>0</v>
      </c>
      <c r="J31" s="256">
        <v>0</v>
      </c>
      <c r="K31" s="256">
        <v>0</v>
      </c>
      <c r="L31" s="256">
        <v>0</v>
      </c>
      <c r="M31" s="257">
        <v>0</v>
      </c>
    </row>
    <row r="32" spans="1:13" x14ac:dyDescent="0.2">
      <c r="A32" s="1479"/>
      <c r="B32" s="1459"/>
      <c r="C32" s="1461"/>
      <c r="D32" s="1457"/>
      <c r="E32" s="252" t="s">
        <v>4639</v>
      </c>
      <c r="F32" s="256">
        <v>450773351</v>
      </c>
      <c r="G32" s="256">
        <v>19190000</v>
      </c>
      <c r="H32" s="256">
        <v>431583351</v>
      </c>
      <c r="I32" s="256">
        <v>0</v>
      </c>
      <c r="J32" s="256">
        <v>135148168</v>
      </c>
      <c r="K32" s="256">
        <v>93969438</v>
      </c>
      <c r="L32" s="256">
        <v>229117606</v>
      </c>
      <c r="M32" s="257">
        <v>202465745</v>
      </c>
    </row>
    <row r="33" spans="1:13" x14ac:dyDescent="0.2">
      <c r="A33" s="1479"/>
      <c r="B33" s="1459"/>
      <c r="C33" s="1461"/>
      <c r="D33" s="1457"/>
      <c r="E33" s="259" t="s">
        <v>269</v>
      </c>
      <c r="F33" s="256">
        <v>905426665</v>
      </c>
      <c r="G33" s="256">
        <v>49570000</v>
      </c>
      <c r="H33" s="256">
        <v>855856665</v>
      </c>
      <c r="I33" s="256">
        <v>0</v>
      </c>
      <c r="J33" s="256">
        <v>232710000</v>
      </c>
      <c r="K33" s="256">
        <v>104213333</v>
      </c>
      <c r="L33" s="260">
        <v>336923333</v>
      </c>
      <c r="M33" s="257">
        <v>518933332</v>
      </c>
    </row>
    <row r="34" spans="1:13" x14ac:dyDescent="0.2">
      <c r="A34" s="1479"/>
      <c r="B34" s="1459"/>
      <c r="C34" s="1461"/>
      <c r="D34" s="1457"/>
      <c r="E34" s="252" t="s">
        <v>4640</v>
      </c>
      <c r="F34" s="256">
        <v>1084564216</v>
      </c>
      <c r="G34" s="256">
        <v>0</v>
      </c>
      <c r="H34" s="256">
        <v>1084564216</v>
      </c>
      <c r="I34" s="256">
        <v>2850293</v>
      </c>
      <c r="J34" s="256">
        <v>166953847</v>
      </c>
      <c r="K34" s="256">
        <v>187497016</v>
      </c>
      <c r="L34" s="256">
        <v>357301156</v>
      </c>
      <c r="M34" s="257">
        <v>727263060</v>
      </c>
    </row>
    <row r="35" spans="1:13" x14ac:dyDescent="0.2">
      <c r="A35" s="1479"/>
      <c r="B35" s="1459"/>
      <c r="C35" s="1461"/>
      <c r="D35" s="1457"/>
      <c r="E35" s="252" t="s">
        <v>254</v>
      </c>
      <c r="F35" s="256">
        <v>0</v>
      </c>
      <c r="G35" s="256">
        <v>0</v>
      </c>
      <c r="H35" s="256">
        <v>0</v>
      </c>
      <c r="I35" s="256">
        <v>0</v>
      </c>
      <c r="J35" s="256">
        <v>0</v>
      </c>
      <c r="K35" s="256">
        <v>0</v>
      </c>
      <c r="L35" s="256">
        <v>0</v>
      </c>
      <c r="M35" s="257">
        <v>0</v>
      </c>
    </row>
    <row r="36" spans="1:13" x14ac:dyDescent="0.2">
      <c r="A36" s="1479"/>
      <c r="B36" s="1460"/>
      <c r="C36" s="1456"/>
      <c r="D36" s="1457"/>
      <c r="E36" s="252" t="s">
        <v>4641</v>
      </c>
      <c r="F36" s="256">
        <v>0</v>
      </c>
      <c r="G36" s="256">
        <v>0</v>
      </c>
      <c r="H36" s="256">
        <v>0</v>
      </c>
      <c r="I36" s="256">
        <v>0</v>
      </c>
      <c r="J36" s="256">
        <v>0</v>
      </c>
      <c r="K36" s="256">
        <v>0</v>
      </c>
      <c r="L36" s="256">
        <v>0</v>
      </c>
      <c r="M36" s="257">
        <v>0</v>
      </c>
    </row>
    <row r="37" spans="1:13" x14ac:dyDescent="0.2">
      <c r="A37" s="1479"/>
      <c r="B37" s="1458">
        <v>293</v>
      </c>
      <c r="C37" s="1455" t="s">
        <v>4642</v>
      </c>
      <c r="D37" s="1488" t="s">
        <v>4610</v>
      </c>
      <c r="E37" s="252" t="s">
        <v>390</v>
      </c>
      <c r="F37" s="260">
        <v>540620734</v>
      </c>
      <c r="G37" s="256">
        <v>0</v>
      </c>
      <c r="H37" s="256">
        <v>540620734</v>
      </c>
      <c r="I37" s="256">
        <v>0</v>
      </c>
      <c r="J37" s="256">
        <v>283109013</v>
      </c>
      <c r="K37" s="256">
        <v>129261322</v>
      </c>
      <c r="L37" s="260">
        <v>412370335</v>
      </c>
      <c r="M37" s="257">
        <v>128250399</v>
      </c>
    </row>
    <row r="38" spans="1:13" x14ac:dyDescent="0.2">
      <c r="A38" s="1479"/>
      <c r="B38" s="1459"/>
      <c r="C38" s="1461"/>
      <c r="D38" s="1489"/>
      <c r="E38" s="252" t="s">
        <v>4643</v>
      </c>
      <c r="F38" s="256">
        <v>3897513995</v>
      </c>
      <c r="G38" s="256">
        <v>0</v>
      </c>
      <c r="H38" s="256">
        <v>3897513995</v>
      </c>
      <c r="I38" s="256">
        <v>0</v>
      </c>
      <c r="J38" s="256">
        <v>0</v>
      </c>
      <c r="K38" s="256">
        <v>429489722</v>
      </c>
      <c r="L38" s="256">
        <v>429489722</v>
      </c>
      <c r="M38" s="257">
        <v>3468024273</v>
      </c>
    </row>
    <row r="39" spans="1:13" ht="12.75" customHeight="1" x14ac:dyDescent="0.2">
      <c r="A39" s="1479"/>
      <c r="B39" s="1460"/>
      <c r="C39" s="1456"/>
      <c r="D39" s="1490"/>
      <c r="E39" s="252" t="s">
        <v>421</v>
      </c>
      <c r="F39" s="256">
        <v>0</v>
      </c>
      <c r="G39" s="256">
        <v>0</v>
      </c>
      <c r="H39" s="256">
        <v>0</v>
      </c>
      <c r="I39" s="256">
        <v>0</v>
      </c>
      <c r="J39" s="256">
        <v>0</v>
      </c>
      <c r="K39" s="256">
        <v>0</v>
      </c>
      <c r="L39" s="256">
        <v>0</v>
      </c>
      <c r="M39" s="257">
        <v>0</v>
      </c>
    </row>
    <row r="40" spans="1:13" x14ac:dyDescent="0.2">
      <c r="A40" s="1479"/>
      <c r="B40" s="261">
        <v>294</v>
      </c>
      <c r="C40" s="258" t="s">
        <v>4644</v>
      </c>
      <c r="D40" s="1473" t="s">
        <v>4610</v>
      </c>
      <c r="E40" s="258" t="s">
        <v>4645</v>
      </c>
      <c r="F40" s="256">
        <v>6636995128</v>
      </c>
      <c r="G40" s="256">
        <v>0</v>
      </c>
      <c r="H40" s="256">
        <v>6636995128</v>
      </c>
      <c r="I40" s="256">
        <v>0</v>
      </c>
      <c r="J40" s="256">
        <v>0</v>
      </c>
      <c r="K40" s="256">
        <v>1580025696</v>
      </c>
      <c r="L40" s="256">
        <v>1580025696</v>
      </c>
      <c r="M40" s="257">
        <v>5056969432</v>
      </c>
    </row>
    <row r="41" spans="1:13" x14ac:dyDescent="0.2">
      <c r="A41" s="1479"/>
      <c r="B41" s="261">
        <v>296</v>
      </c>
      <c r="C41" s="252" t="s">
        <v>4646</v>
      </c>
      <c r="D41" s="1473"/>
      <c r="E41" s="252" t="s">
        <v>4647</v>
      </c>
      <c r="F41" s="256">
        <v>367820828</v>
      </c>
      <c r="G41" s="256">
        <v>13430000</v>
      </c>
      <c r="H41" s="256">
        <v>354390828</v>
      </c>
      <c r="I41" s="256">
        <v>0</v>
      </c>
      <c r="J41" s="256">
        <v>156517902</v>
      </c>
      <c r="K41" s="256">
        <v>86064327</v>
      </c>
      <c r="L41" s="256">
        <v>242582229</v>
      </c>
      <c r="M41" s="257">
        <v>111808599</v>
      </c>
    </row>
    <row r="42" spans="1:13" x14ac:dyDescent="0.2">
      <c r="A42" s="1479"/>
      <c r="B42" s="1458">
        <v>297</v>
      </c>
      <c r="C42" s="1455" t="s">
        <v>4648</v>
      </c>
      <c r="D42" s="1457" t="s">
        <v>4605</v>
      </c>
      <c r="E42" s="252" t="s">
        <v>4649</v>
      </c>
      <c r="F42" s="256">
        <v>748098733</v>
      </c>
      <c r="G42" s="256">
        <v>0</v>
      </c>
      <c r="H42" s="256">
        <v>748098733</v>
      </c>
      <c r="I42" s="256">
        <v>0</v>
      </c>
      <c r="J42" s="256">
        <v>51872067</v>
      </c>
      <c r="K42" s="256">
        <v>33100000</v>
      </c>
      <c r="L42" s="256">
        <v>84972067</v>
      </c>
      <c r="M42" s="257">
        <v>663126666</v>
      </c>
    </row>
    <row r="43" spans="1:13" x14ac:dyDescent="0.2">
      <c r="A43" s="1479"/>
      <c r="B43" s="1460"/>
      <c r="C43" s="1456"/>
      <c r="D43" s="1457"/>
      <c r="E43" s="252" t="s">
        <v>4650</v>
      </c>
      <c r="F43" s="256">
        <v>359222850</v>
      </c>
      <c r="G43" s="256">
        <v>0</v>
      </c>
      <c r="H43" s="256">
        <v>359222850</v>
      </c>
      <c r="I43" s="256">
        <v>28063505</v>
      </c>
      <c r="J43" s="256">
        <v>74571595</v>
      </c>
      <c r="K43" s="256">
        <v>51317550</v>
      </c>
      <c r="L43" s="256">
        <v>153952650</v>
      </c>
      <c r="M43" s="257">
        <v>205270200</v>
      </c>
    </row>
    <row r="44" spans="1:13" ht="13.5" thickBot="1" x14ac:dyDescent="0.25">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3.5" thickBot="1" x14ac:dyDescent="0.25">
      <c r="A45" s="285"/>
      <c r="C45" s="286"/>
      <c r="D45" s="285"/>
      <c r="E45" s="285"/>
      <c r="F45" s="296"/>
      <c r="M45" s="266"/>
    </row>
    <row r="46" spans="1:13" x14ac:dyDescent="0.2">
      <c r="A46" s="1474" t="s">
        <v>4651</v>
      </c>
      <c r="B46" s="1470">
        <v>509</v>
      </c>
      <c r="C46" s="1470" t="s">
        <v>4652</v>
      </c>
      <c r="D46" s="1477"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x14ac:dyDescent="0.2">
      <c r="A47" s="1475"/>
      <c r="B47" s="1471"/>
      <c r="C47" s="1471"/>
      <c r="D47" s="1478"/>
      <c r="E47" s="270" t="s">
        <v>4653</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x14ac:dyDescent="0.2">
      <c r="A48" s="1475"/>
      <c r="B48" s="1471"/>
      <c r="C48" s="1471"/>
      <c r="D48" s="240" t="s">
        <v>184</v>
      </c>
      <c r="E48" s="226" t="s">
        <v>4654</v>
      </c>
      <c r="F48" s="256">
        <v>1348945476</v>
      </c>
      <c r="G48" s="256">
        <v>0</v>
      </c>
      <c r="H48" s="256">
        <f t="shared" si="0"/>
        <v>1348945476</v>
      </c>
      <c r="I48" s="256">
        <v>0</v>
      </c>
      <c r="J48" s="256">
        <v>169247286</v>
      </c>
      <c r="K48" s="256">
        <v>550876160</v>
      </c>
      <c r="L48" s="289">
        <f t="shared" si="1"/>
        <v>720123446</v>
      </c>
      <c r="M48" s="294">
        <f t="shared" si="2"/>
        <v>628822030</v>
      </c>
    </row>
    <row r="49" spans="1:13" x14ac:dyDescent="0.2">
      <c r="A49" s="1475"/>
      <c r="B49" s="1471"/>
      <c r="C49" s="1471"/>
      <c r="D49" s="287" t="s">
        <v>143</v>
      </c>
      <c r="E49" s="270" t="s">
        <v>4653</v>
      </c>
      <c r="F49" s="256">
        <v>779787974</v>
      </c>
      <c r="G49" s="256">
        <v>0</v>
      </c>
      <c r="H49" s="256">
        <f t="shared" si="0"/>
        <v>779787974</v>
      </c>
      <c r="I49" s="256">
        <v>0</v>
      </c>
      <c r="J49" s="256">
        <v>82200000</v>
      </c>
      <c r="K49" s="256">
        <v>51624361</v>
      </c>
      <c r="L49" s="289">
        <f t="shared" si="1"/>
        <v>133824361</v>
      </c>
      <c r="M49" s="294">
        <f t="shared" si="2"/>
        <v>645963613</v>
      </c>
    </row>
    <row r="50" spans="1:13" x14ac:dyDescent="0.2">
      <c r="A50" s="1475"/>
      <c r="B50" s="1471"/>
      <c r="C50" s="1471"/>
      <c r="D50" s="226" t="s">
        <v>210</v>
      </c>
      <c r="E50" s="270" t="s">
        <v>4653</v>
      </c>
      <c r="F50" s="256">
        <v>189354635</v>
      </c>
      <c r="G50" s="256">
        <v>0</v>
      </c>
      <c r="H50" s="256">
        <f t="shared" si="0"/>
        <v>189354635</v>
      </c>
      <c r="I50" s="256">
        <v>0</v>
      </c>
      <c r="J50" s="256">
        <v>69159674</v>
      </c>
      <c r="K50" s="256">
        <v>51351469</v>
      </c>
      <c r="L50" s="289">
        <f t="shared" si="1"/>
        <v>120511143</v>
      </c>
      <c r="M50" s="294">
        <f t="shared" si="2"/>
        <v>68843492</v>
      </c>
    </row>
    <row r="51" spans="1:13" x14ac:dyDescent="0.2">
      <c r="A51" s="1475"/>
      <c r="B51" s="1471"/>
      <c r="C51" s="1471"/>
      <c r="D51" s="226" t="s">
        <v>214</v>
      </c>
      <c r="E51" s="270" t="s">
        <v>4653</v>
      </c>
      <c r="F51" s="256">
        <v>986157067</v>
      </c>
      <c r="G51" s="256">
        <v>0</v>
      </c>
      <c r="H51" s="256">
        <f t="shared" si="0"/>
        <v>986157067</v>
      </c>
      <c r="I51" s="256">
        <v>0</v>
      </c>
      <c r="J51" s="256">
        <v>265945102</v>
      </c>
      <c r="K51" s="256">
        <v>244826741</v>
      </c>
      <c r="L51" s="289">
        <f t="shared" si="1"/>
        <v>510771843</v>
      </c>
      <c r="M51" s="294">
        <f t="shared" si="2"/>
        <v>475385224</v>
      </c>
    </row>
    <row r="52" spans="1:13" x14ac:dyDescent="0.2">
      <c r="A52" s="1476"/>
      <c r="B52" s="1471"/>
      <c r="C52" s="1471"/>
      <c r="D52" s="226" t="s">
        <v>206</v>
      </c>
      <c r="E52" s="270" t="s">
        <v>4653</v>
      </c>
      <c r="F52" s="256">
        <v>38133332</v>
      </c>
      <c r="G52" s="256">
        <v>0</v>
      </c>
      <c r="H52" s="295">
        <f t="shared" si="0"/>
        <v>38133332</v>
      </c>
      <c r="I52" s="256">
        <v>0</v>
      </c>
      <c r="J52" s="256">
        <v>12566666</v>
      </c>
      <c r="K52" s="256">
        <v>19716666</v>
      </c>
      <c r="L52" s="289">
        <f t="shared" si="1"/>
        <v>32283332</v>
      </c>
      <c r="M52" s="294">
        <f t="shared" si="2"/>
        <v>5850000</v>
      </c>
    </row>
    <row r="53" spans="1:13" ht="13.5" thickBot="1" x14ac:dyDescent="0.25">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3.5" thickBot="1" x14ac:dyDescent="0.25">
      <c r="L54" s="272"/>
      <c r="M54" s="273">
        <v>0</v>
      </c>
    </row>
    <row r="55" spans="1:13" x14ac:dyDescent="0.2">
      <c r="A55" s="1468" t="s">
        <v>4655</v>
      </c>
      <c r="B55" s="1470">
        <v>278</v>
      </c>
      <c r="C55" s="1470" t="s">
        <v>4656</v>
      </c>
      <c r="D55" s="1472" t="s">
        <v>4615</v>
      </c>
      <c r="E55" s="267" t="s">
        <v>81</v>
      </c>
      <c r="F55" s="283">
        <v>318199601</v>
      </c>
      <c r="G55" s="268">
        <v>0</v>
      </c>
      <c r="H55" s="268">
        <v>318199601</v>
      </c>
      <c r="I55" s="268">
        <v>0</v>
      </c>
      <c r="J55" s="268">
        <v>0</v>
      </c>
      <c r="K55" s="268">
        <v>14629877</v>
      </c>
      <c r="L55" s="274">
        <v>14629877</v>
      </c>
      <c r="M55" s="269">
        <v>303569724</v>
      </c>
    </row>
    <row r="56" spans="1:13" x14ac:dyDescent="0.2">
      <c r="A56" s="1469"/>
      <c r="B56" s="1471"/>
      <c r="C56" s="1471"/>
      <c r="D56" s="1473"/>
      <c r="E56" s="270" t="s">
        <v>4657</v>
      </c>
      <c r="F56" s="256">
        <v>1231297370</v>
      </c>
      <c r="G56" s="256">
        <v>0</v>
      </c>
      <c r="H56" s="256">
        <v>1231297370</v>
      </c>
      <c r="I56" s="256">
        <v>0</v>
      </c>
      <c r="J56" s="256">
        <v>224383229</v>
      </c>
      <c r="K56" s="256">
        <v>88195896</v>
      </c>
      <c r="L56" s="256">
        <v>312579125</v>
      </c>
      <c r="M56" s="257">
        <v>918718245</v>
      </c>
    </row>
    <row r="57" spans="1:13" ht="12.75" customHeight="1" x14ac:dyDescent="0.2">
      <c r="A57" s="1469"/>
      <c r="B57" s="1471"/>
      <c r="C57" s="1471"/>
      <c r="D57" s="1473"/>
      <c r="E57" s="270" t="s">
        <v>4658</v>
      </c>
      <c r="F57" s="256">
        <v>383916527</v>
      </c>
      <c r="G57" s="256">
        <v>0</v>
      </c>
      <c r="H57" s="256">
        <v>383916527</v>
      </c>
      <c r="I57" s="256">
        <v>0</v>
      </c>
      <c r="J57" s="256">
        <v>190409230</v>
      </c>
      <c r="K57" s="256">
        <v>60903382</v>
      </c>
      <c r="L57" s="256">
        <v>251312612</v>
      </c>
      <c r="M57" s="257">
        <v>132603915</v>
      </c>
    </row>
    <row r="58" spans="1:13" x14ac:dyDescent="0.2">
      <c r="A58" s="1469"/>
      <c r="B58" s="1471"/>
      <c r="C58" s="1471"/>
      <c r="D58" s="1473"/>
      <c r="E58" s="226" t="s">
        <v>4659</v>
      </c>
      <c r="F58" s="256">
        <v>0</v>
      </c>
      <c r="G58" s="256">
        <v>0</v>
      </c>
      <c r="H58" s="256">
        <v>0</v>
      </c>
      <c r="I58" s="256">
        <v>0</v>
      </c>
      <c r="J58" s="256">
        <v>0</v>
      </c>
      <c r="K58" s="256">
        <v>0</v>
      </c>
      <c r="L58" s="256">
        <v>0</v>
      </c>
      <c r="M58" s="257">
        <v>0</v>
      </c>
    </row>
    <row r="59" spans="1:13" ht="13.5" thickBot="1" x14ac:dyDescent="0.25">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3.5" thickBot="1" x14ac:dyDescent="0.25">
      <c r="F60" s="284">
        <f>+F59+F13</f>
        <v>2000928130</v>
      </c>
      <c r="M60" s="273">
        <v>0</v>
      </c>
    </row>
    <row r="61" spans="1:13" x14ac:dyDescent="0.2">
      <c r="A61" s="1468" t="s">
        <v>4660</v>
      </c>
      <c r="B61" s="1470">
        <v>335</v>
      </c>
      <c r="C61" s="1470" t="s">
        <v>4661</v>
      </c>
      <c r="D61" s="1466" t="s">
        <v>4615</v>
      </c>
      <c r="E61" s="233" t="s">
        <v>113</v>
      </c>
      <c r="F61" s="268">
        <v>2475172690</v>
      </c>
      <c r="G61" s="268">
        <v>0</v>
      </c>
      <c r="H61" s="268">
        <v>2475172690</v>
      </c>
      <c r="I61" s="268">
        <v>0</v>
      </c>
      <c r="J61" s="268">
        <v>960000000</v>
      </c>
      <c r="K61" s="268">
        <v>470000000</v>
      </c>
      <c r="L61" s="268">
        <v>1430000000</v>
      </c>
      <c r="M61" s="269">
        <v>1045172690</v>
      </c>
    </row>
    <row r="62" spans="1:13" x14ac:dyDescent="0.2">
      <c r="A62" s="1469"/>
      <c r="B62" s="1471"/>
      <c r="C62" s="1471"/>
      <c r="D62" s="1467"/>
      <c r="E62" s="226" t="s">
        <v>4662</v>
      </c>
      <c r="F62" s="256">
        <v>245315690</v>
      </c>
      <c r="G62" s="256">
        <v>0</v>
      </c>
      <c r="H62" s="256">
        <v>245315690</v>
      </c>
      <c r="I62" s="256">
        <v>0</v>
      </c>
      <c r="J62" s="256">
        <v>117997808</v>
      </c>
      <c r="K62" s="256">
        <v>78520699</v>
      </c>
      <c r="L62" s="256">
        <v>196518507</v>
      </c>
      <c r="M62" s="257">
        <v>48797183</v>
      </c>
    </row>
    <row r="63" spans="1:13" ht="13.5" thickBot="1" x14ac:dyDescent="0.25">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3.5" thickBot="1" x14ac:dyDescent="0.25">
      <c r="F64" s="284">
        <f>+F63+F16</f>
        <v>3050203442</v>
      </c>
      <c r="M64" s="273">
        <v>0</v>
      </c>
    </row>
    <row r="65" spans="1:13" x14ac:dyDescent="0.2">
      <c r="A65" s="1462" t="s">
        <v>4663</v>
      </c>
      <c r="B65" s="1464">
        <v>5</v>
      </c>
      <c r="C65" s="1464" t="s">
        <v>4664</v>
      </c>
      <c r="D65" s="1466" t="s">
        <v>4615</v>
      </c>
      <c r="E65" s="233" t="s">
        <v>4665</v>
      </c>
      <c r="F65" s="268">
        <v>400000000</v>
      </c>
      <c r="G65" s="268">
        <v>0</v>
      </c>
      <c r="H65" s="268">
        <v>400000000</v>
      </c>
      <c r="I65" s="268">
        <v>0</v>
      </c>
      <c r="J65" s="268">
        <v>390632270</v>
      </c>
      <c r="K65" s="268">
        <v>4276920</v>
      </c>
      <c r="L65" s="234">
        <v>394909190</v>
      </c>
      <c r="M65" s="269">
        <v>5090810</v>
      </c>
    </row>
    <row r="66" spans="1:13" x14ac:dyDescent="0.2">
      <c r="A66" s="1463"/>
      <c r="B66" s="1465"/>
      <c r="C66" s="1465"/>
      <c r="D66" s="1467"/>
      <c r="E66" s="226" t="s">
        <v>4666</v>
      </c>
      <c r="F66" s="256">
        <v>0</v>
      </c>
      <c r="G66" s="256">
        <v>0</v>
      </c>
      <c r="H66" s="256">
        <v>0</v>
      </c>
      <c r="I66" s="256">
        <v>0</v>
      </c>
      <c r="J66" s="256">
        <v>0</v>
      </c>
      <c r="K66" s="256">
        <v>0</v>
      </c>
      <c r="L66" s="226">
        <v>0</v>
      </c>
      <c r="M66" s="257">
        <v>0</v>
      </c>
    </row>
    <row r="67" spans="1:13" ht="13.5" thickBot="1" x14ac:dyDescent="0.25">
      <c r="A67" s="229"/>
      <c r="B67" s="230"/>
      <c r="C67" s="230"/>
      <c r="D67" s="230"/>
      <c r="E67" s="230"/>
      <c r="F67" s="231">
        <v>400000000</v>
      </c>
      <c r="G67" s="231">
        <v>0</v>
      </c>
      <c r="H67" s="231">
        <v>400000000</v>
      </c>
      <c r="I67" s="231">
        <v>0</v>
      </c>
      <c r="J67" s="231">
        <v>390632270</v>
      </c>
      <c r="K67" s="231">
        <v>4276920</v>
      </c>
      <c r="L67" s="231">
        <v>394909190</v>
      </c>
      <c r="M67" s="231">
        <v>5090810</v>
      </c>
    </row>
    <row r="69" spans="1:13" ht="15" x14ac:dyDescent="0.25">
      <c r="E69" s="276" t="s">
        <v>4667</v>
      </c>
      <c r="F69" s="277">
        <v>41653138944</v>
      </c>
      <c r="G69" s="277">
        <v>163686274</v>
      </c>
      <c r="H69" s="277">
        <v>41489452670</v>
      </c>
      <c r="I69" s="277">
        <v>56808986</v>
      </c>
      <c r="J69" s="277">
        <v>4529413967</v>
      </c>
      <c r="K69" s="277">
        <v>7139501548</v>
      </c>
      <c r="L69" s="277">
        <v>11725724501</v>
      </c>
      <c r="M69" s="277">
        <v>29763728169</v>
      </c>
    </row>
    <row r="70" spans="1:13" ht="3" customHeight="1" x14ac:dyDescent="0.2">
      <c r="E70" s="278"/>
      <c r="F70" s="279"/>
      <c r="G70" s="279"/>
      <c r="H70" s="279"/>
      <c r="I70" s="279"/>
      <c r="J70" s="279"/>
      <c r="K70" s="279"/>
      <c r="L70" s="279"/>
      <c r="M70" s="279"/>
    </row>
    <row r="71" spans="1:13" x14ac:dyDescent="0.2">
      <c r="E71" s="280" t="s">
        <v>4668</v>
      </c>
      <c r="F71" s="281">
        <v>3102982477</v>
      </c>
      <c r="G71" s="281"/>
      <c r="H71" s="281">
        <v>3102982477</v>
      </c>
      <c r="I71" s="281">
        <v>56808986</v>
      </c>
      <c r="J71" s="281">
        <v>391172201</v>
      </c>
      <c r="K71" s="281">
        <v>150919843</v>
      </c>
      <c r="L71" s="281">
        <v>1398284235</v>
      </c>
      <c r="M71" s="281">
        <v>1704698242</v>
      </c>
    </row>
    <row r="72" spans="1:13" ht="3" customHeight="1" x14ac:dyDescent="0.2">
      <c r="E72" s="278"/>
    </row>
    <row r="73" spans="1:13" ht="15" x14ac:dyDescent="0.25">
      <c r="E73" s="276" t="s">
        <v>4669</v>
      </c>
      <c r="F73" s="277">
        <v>44756121421</v>
      </c>
      <c r="G73" s="277">
        <v>163686274</v>
      </c>
      <c r="H73" s="277">
        <v>44592435147</v>
      </c>
      <c r="I73" s="277">
        <v>113617972</v>
      </c>
      <c r="J73" s="277">
        <v>4920586168</v>
      </c>
      <c r="K73" s="277">
        <v>7290421391</v>
      </c>
      <c r="L73" s="277">
        <v>13124008736</v>
      </c>
      <c r="M73" s="277">
        <v>31468426411</v>
      </c>
    </row>
    <row r="75" spans="1:13" x14ac:dyDescent="0.2">
      <c r="E75" s="282" t="s">
        <v>4670</v>
      </c>
    </row>
  </sheetData>
  <mergeCells count="53">
    <mergeCell ref="B1:C1"/>
    <mergeCell ref="A2:A7"/>
    <mergeCell ref="B2:B7"/>
    <mergeCell ref="C2:C7"/>
    <mergeCell ref="D2:D3"/>
    <mergeCell ref="D4:D5"/>
    <mergeCell ref="D6:D7"/>
    <mergeCell ref="D37:D39"/>
    <mergeCell ref="A10:A12"/>
    <mergeCell ref="B10:B12"/>
    <mergeCell ref="C10:C12"/>
    <mergeCell ref="D10:D12"/>
    <mergeCell ref="A15:A16"/>
    <mergeCell ref="B15:B16"/>
    <mergeCell ref="C15:C16"/>
    <mergeCell ref="D15:D16"/>
    <mergeCell ref="E15:E16"/>
    <mergeCell ref="A18:A21"/>
    <mergeCell ref="B18:B21"/>
    <mergeCell ref="C18:C21"/>
    <mergeCell ref="B24:C24"/>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3"/>
  <sheetViews>
    <sheetView zoomScale="136" zoomScaleNormal="136" workbookViewId="0">
      <selection activeCell="G13" sqref="G13"/>
    </sheetView>
  </sheetViews>
  <sheetFormatPr baseColWidth="10" defaultColWidth="11.5703125" defaultRowHeight="15" x14ac:dyDescent="0.25"/>
  <cols>
    <col min="2" max="2" width="27.85546875" customWidth="1"/>
    <col min="3" max="3" width="18.5703125" customWidth="1"/>
    <col min="4" max="4" width="20.5703125" customWidth="1"/>
    <col min="5" max="5" width="15.140625" customWidth="1"/>
    <col min="6" max="6" width="16.42578125" customWidth="1"/>
    <col min="7" max="7" width="15.85546875" customWidth="1"/>
    <col min="8" max="8" width="20.85546875" customWidth="1"/>
    <col min="9" max="9" width="24.5703125" customWidth="1"/>
    <col min="10" max="10" width="108.85546875" customWidth="1"/>
    <col min="11" max="11" width="87.7109375" customWidth="1"/>
  </cols>
  <sheetData>
    <row r="1" spans="1:31" s="1" customFormat="1" ht="23.25" x14ac:dyDescent="0.35">
      <c r="A1" s="1501" t="s">
        <v>4671</v>
      </c>
      <c r="B1" s="1502"/>
      <c r="C1" s="1502"/>
      <c r="D1" s="1502"/>
      <c r="E1" s="1502"/>
      <c r="F1" s="1502"/>
      <c r="G1" s="1502"/>
      <c r="H1" s="1502"/>
      <c r="I1" s="1502"/>
      <c r="J1" s="1502"/>
      <c r="K1" s="1502"/>
      <c r="L1" s="1502"/>
      <c r="M1" s="1502"/>
      <c r="N1" s="1502"/>
      <c r="O1" s="1502"/>
      <c r="P1" s="1502"/>
      <c r="Q1" s="1502"/>
      <c r="R1" s="1502"/>
      <c r="S1" s="1502"/>
      <c r="T1" s="1502"/>
      <c r="U1" s="1502"/>
      <c r="V1" s="1502"/>
      <c r="W1" s="1502"/>
      <c r="X1" s="1502"/>
      <c r="Y1" s="1502"/>
      <c r="Z1" s="1502"/>
      <c r="AA1" s="1502"/>
      <c r="AB1" s="1502"/>
      <c r="AC1" s="1502"/>
      <c r="AD1" s="1502"/>
      <c r="AE1" s="1502"/>
    </row>
    <row r="2" spans="1:31" s="1" customFormat="1" ht="23.25" x14ac:dyDescent="0.35">
      <c r="A2" s="1501" t="s">
        <v>4672</v>
      </c>
      <c r="B2" s="1502"/>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row>
    <row r="3" spans="1:31" s="1" customFormat="1" ht="23.25" x14ac:dyDescent="0.35">
      <c r="A3" s="1501" t="s">
        <v>4673</v>
      </c>
      <c r="B3" s="1502"/>
      <c r="C3" s="1502"/>
      <c r="D3" s="1502"/>
      <c r="E3" s="1502"/>
      <c r="F3" s="1502"/>
      <c r="G3" s="1502"/>
      <c r="H3" s="1502"/>
      <c r="I3" s="1502"/>
      <c r="J3" s="1502"/>
      <c r="K3" s="1502"/>
      <c r="L3" s="1502"/>
      <c r="M3" s="1502"/>
      <c r="N3" s="1502"/>
      <c r="O3" s="1502"/>
      <c r="P3" s="1502"/>
      <c r="Q3" s="1502"/>
      <c r="R3" s="1502"/>
      <c r="S3" s="1502"/>
      <c r="T3" s="1502"/>
      <c r="U3" s="1502"/>
      <c r="V3" s="1502"/>
      <c r="W3" s="1502"/>
      <c r="X3" s="1502"/>
      <c r="Y3" s="1502"/>
      <c r="Z3" s="1502"/>
      <c r="AA3" s="1502"/>
      <c r="AB3" s="1502"/>
      <c r="AC3" s="1502"/>
      <c r="AD3" s="1502"/>
      <c r="AE3" s="1502"/>
    </row>
    <row r="4" spans="1:31" s="1" customFormat="1" ht="23.25" x14ac:dyDescent="0.35">
      <c r="A4" s="188" t="s">
        <v>4674</v>
      </c>
      <c r="B4" s="189" t="s">
        <v>4675</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x14ac:dyDescent="0.25"/>
    <row r="6" spans="1:31" s="1" customFormat="1" ht="15.75" thickBot="1" x14ac:dyDescent="0.3"/>
    <row r="7" spans="1:31" ht="63.75" thickBot="1" x14ac:dyDescent="0.3">
      <c r="A7" s="190" t="s">
        <v>4592</v>
      </c>
      <c r="B7" s="191" t="s">
        <v>4676</v>
      </c>
      <c r="C7" s="191" t="s">
        <v>4677</v>
      </c>
      <c r="D7" s="191" t="s">
        <v>4678</v>
      </c>
      <c r="E7" s="191" t="s">
        <v>4679</v>
      </c>
      <c r="F7" s="191" t="s">
        <v>4680</v>
      </c>
      <c r="G7" s="191" t="s">
        <v>4681</v>
      </c>
      <c r="H7" s="191" t="s">
        <v>4682</v>
      </c>
      <c r="I7" s="192" t="s">
        <v>4683</v>
      </c>
      <c r="J7" s="193" t="s">
        <v>4684</v>
      </c>
      <c r="K7" s="193" t="s">
        <v>4685</v>
      </c>
    </row>
    <row r="8" spans="1:31" ht="93" customHeight="1" x14ac:dyDescent="0.25">
      <c r="A8" s="194">
        <v>7628</v>
      </c>
      <c r="B8" s="195" t="s">
        <v>4686</v>
      </c>
      <c r="C8" s="196">
        <v>12591966000</v>
      </c>
      <c r="D8" s="196">
        <v>458448851</v>
      </c>
      <c r="E8" s="197">
        <f t="shared" ref="E8:E20" si="0">D8/C8</f>
        <v>3.6408043906725925E-2</v>
      </c>
      <c r="F8" s="197">
        <v>1</v>
      </c>
      <c r="G8" s="197">
        <v>1.2E-2</v>
      </c>
      <c r="H8" s="197">
        <f>G8/F8</f>
        <v>1.2E-2</v>
      </c>
      <c r="I8" s="198">
        <v>0.2024</v>
      </c>
      <c r="J8" s="199" t="s">
        <v>4687</v>
      </c>
      <c r="K8" s="199"/>
    </row>
    <row r="9" spans="1:31" ht="75" customHeight="1" x14ac:dyDescent="0.25">
      <c r="A9" s="148">
        <v>7660</v>
      </c>
      <c r="B9" s="199" t="s">
        <v>4688</v>
      </c>
      <c r="C9" s="200">
        <v>100000000</v>
      </c>
      <c r="D9" s="200">
        <v>0</v>
      </c>
      <c r="E9" s="201">
        <f t="shared" si="0"/>
        <v>0</v>
      </c>
      <c r="F9" s="202">
        <v>3396</v>
      </c>
      <c r="G9" s="202">
        <v>163</v>
      </c>
      <c r="H9" s="201">
        <f>G9/F9</f>
        <v>4.7997644287396939E-2</v>
      </c>
      <c r="I9" s="203">
        <v>0.1242</v>
      </c>
      <c r="J9" s="199" t="s">
        <v>4689</v>
      </c>
      <c r="K9" s="199"/>
    </row>
    <row r="10" spans="1:31" ht="106.5" customHeight="1" x14ac:dyDescent="0.25">
      <c r="A10" s="148">
        <v>7644</v>
      </c>
      <c r="B10" s="199" t="s">
        <v>37</v>
      </c>
      <c r="C10" s="200">
        <v>6894681000</v>
      </c>
      <c r="D10" s="200">
        <v>0</v>
      </c>
      <c r="E10" s="204">
        <f t="shared" si="0"/>
        <v>0</v>
      </c>
      <c r="F10" s="202">
        <v>475</v>
      </c>
      <c r="G10" s="202">
        <v>0</v>
      </c>
      <c r="H10" s="201">
        <v>0</v>
      </c>
      <c r="I10" s="198">
        <v>0</v>
      </c>
      <c r="J10" s="199" t="s">
        <v>4690</v>
      </c>
      <c r="K10" s="199" t="s">
        <v>4691</v>
      </c>
    </row>
    <row r="11" spans="1:31" ht="102.95" customHeight="1" x14ac:dyDescent="0.25">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4692</v>
      </c>
      <c r="K11" s="199"/>
    </row>
    <row r="12" spans="1:31" ht="75" customHeight="1" x14ac:dyDescent="0.25">
      <c r="A12" s="148">
        <v>7569</v>
      </c>
      <c r="B12" s="199" t="s">
        <v>4693</v>
      </c>
      <c r="C12" s="200">
        <v>294780000</v>
      </c>
      <c r="D12" s="200">
        <v>0</v>
      </c>
      <c r="E12" s="201">
        <f t="shared" si="0"/>
        <v>0</v>
      </c>
      <c r="F12" s="202">
        <v>1</v>
      </c>
      <c r="G12" s="202">
        <v>0</v>
      </c>
      <c r="H12" s="201">
        <f t="shared" si="1"/>
        <v>0</v>
      </c>
      <c r="I12" s="203">
        <v>0.2</v>
      </c>
      <c r="J12" s="199" t="s">
        <v>4694</v>
      </c>
      <c r="K12" s="199"/>
    </row>
    <row r="13" spans="1:31" ht="75" customHeight="1" x14ac:dyDescent="0.25">
      <c r="A13" s="148">
        <v>7569</v>
      </c>
      <c r="B13" s="199" t="s">
        <v>378</v>
      </c>
      <c r="C13" s="200">
        <v>300000000</v>
      </c>
      <c r="D13" s="200">
        <v>108350</v>
      </c>
      <c r="E13" s="201">
        <f t="shared" si="0"/>
        <v>3.6116666666666665E-4</v>
      </c>
      <c r="F13" s="206">
        <v>0.76</v>
      </c>
      <c r="G13" s="206">
        <v>0</v>
      </c>
      <c r="H13" s="201">
        <f t="shared" si="1"/>
        <v>0</v>
      </c>
      <c r="I13" s="203">
        <v>0.24</v>
      </c>
      <c r="J13" s="199" t="s">
        <v>4695</v>
      </c>
      <c r="K13" s="199"/>
    </row>
    <row r="14" spans="1:31" ht="75" customHeight="1" x14ac:dyDescent="0.25">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4696</v>
      </c>
      <c r="K14" s="199"/>
    </row>
    <row r="15" spans="1:31" ht="135" customHeight="1" x14ac:dyDescent="0.25">
      <c r="A15" s="148">
        <v>7569</v>
      </c>
      <c r="B15" s="199" t="s">
        <v>389</v>
      </c>
      <c r="C15" s="200">
        <v>42861454668</v>
      </c>
      <c r="D15" s="200">
        <v>0</v>
      </c>
      <c r="E15" s="201">
        <f t="shared" si="0"/>
        <v>0</v>
      </c>
      <c r="F15" s="204">
        <v>1</v>
      </c>
      <c r="G15" s="201">
        <v>8.3299999999999999E-2</v>
      </c>
      <c r="H15" s="201">
        <f t="shared" si="1"/>
        <v>8.3299999999999999E-2</v>
      </c>
      <c r="I15" s="203">
        <v>0.2167</v>
      </c>
      <c r="J15" s="199" t="s">
        <v>4697</v>
      </c>
      <c r="K15" s="199"/>
    </row>
    <row r="16" spans="1:31" ht="75" customHeight="1" x14ac:dyDescent="0.25">
      <c r="A16" s="148">
        <v>7569</v>
      </c>
      <c r="B16" s="199" t="s">
        <v>426</v>
      </c>
      <c r="C16" s="200">
        <v>19330561332</v>
      </c>
      <c r="D16" s="200">
        <v>0</v>
      </c>
      <c r="E16" s="201">
        <f t="shared" si="0"/>
        <v>0</v>
      </c>
      <c r="F16" s="204">
        <v>1</v>
      </c>
      <c r="G16" s="201">
        <v>8.3299999999999999E-2</v>
      </c>
      <c r="H16" s="201">
        <f t="shared" si="1"/>
        <v>8.3299999999999999E-2</v>
      </c>
      <c r="I16" s="203">
        <v>0.2167</v>
      </c>
      <c r="J16" s="199" t="s">
        <v>4698</v>
      </c>
      <c r="K16" s="199"/>
    </row>
    <row r="17" spans="1:11" ht="75" customHeight="1" x14ac:dyDescent="0.25">
      <c r="A17" s="148">
        <v>7569</v>
      </c>
      <c r="B17" s="199" t="s">
        <v>358</v>
      </c>
      <c r="C17" s="200">
        <v>1711170350</v>
      </c>
      <c r="D17" s="200">
        <v>57000000</v>
      </c>
      <c r="E17" s="201">
        <f t="shared" si="0"/>
        <v>3.3310535096637221E-2</v>
      </c>
      <c r="F17" s="202">
        <v>1</v>
      </c>
      <c r="G17" s="206">
        <v>0</v>
      </c>
      <c r="H17" s="201">
        <v>0</v>
      </c>
      <c r="I17" s="203">
        <v>0</v>
      </c>
      <c r="J17" s="199" t="s">
        <v>4695</v>
      </c>
      <c r="K17" s="199" t="s">
        <v>4699</v>
      </c>
    </row>
    <row r="18" spans="1:11" ht="75" customHeight="1" x14ac:dyDescent="0.25">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4700</v>
      </c>
      <c r="K18" s="199"/>
    </row>
    <row r="19" spans="1:11" ht="75" customHeight="1" x14ac:dyDescent="0.25">
      <c r="A19" s="148">
        <v>7652</v>
      </c>
      <c r="B19" s="199" t="s">
        <v>4701</v>
      </c>
      <c r="C19" s="200">
        <v>7926512000</v>
      </c>
      <c r="D19" s="200">
        <v>96984000</v>
      </c>
      <c r="E19" s="201">
        <f t="shared" si="0"/>
        <v>1.2235394332336846E-2</v>
      </c>
      <c r="F19" s="202">
        <v>23258</v>
      </c>
      <c r="G19" s="202">
        <v>1390</v>
      </c>
      <c r="H19" s="201">
        <f>G19/F19</f>
        <v>5.9764382148078082E-2</v>
      </c>
      <c r="I19" s="203">
        <v>0.10639999999999999</v>
      </c>
      <c r="J19" s="199" t="s">
        <v>4702</v>
      </c>
      <c r="K19" s="199"/>
    </row>
    <row r="20" spans="1:11" x14ac:dyDescent="0.25">
      <c r="B20" s="207" t="s">
        <v>4703</v>
      </c>
      <c r="C20" s="208">
        <f>SUM(C8:C19)</f>
        <v>147117947000</v>
      </c>
      <c r="D20" s="208">
        <f>SUM(D8:D19)</f>
        <v>2091294033</v>
      </c>
      <c r="E20" s="209">
        <f t="shared" si="0"/>
        <v>1.4215084397554841E-2</v>
      </c>
    </row>
    <row r="21" spans="1:11" s="1" customFormat="1" x14ac:dyDescent="0.25">
      <c r="A21" s="131" t="s">
        <v>4704</v>
      </c>
      <c r="B21" s="131"/>
    </row>
    <row r="22" spans="1:11" s="1" customFormat="1" x14ac:dyDescent="0.25"/>
    <row r="23" spans="1:11" s="1" customFormat="1" x14ac:dyDescent="0.25"/>
    <row r="24" spans="1:11" s="1" customFormat="1" x14ac:dyDescent="0.25"/>
    <row r="25" spans="1:11" s="1" customFormat="1" x14ac:dyDescent="0.25"/>
    <row r="26" spans="1:11" s="1" customFormat="1" x14ac:dyDescent="0.25"/>
    <row r="27" spans="1:11" s="1" customFormat="1" x14ac:dyDescent="0.25"/>
    <row r="28" spans="1:11" s="1" customFormat="1" x14ac:dyDescent="0.25"/>
    <row r="29" spans="1:11" s="1" customFormat="1" x14ac:dyDescent="0.25"/>
    <row r="30" spans="1:11" s="1" customFormat="1" x14ac:dyDescent="0.25"/>
    <row r="31" spans="1:11" s="1" customFormat="1" x14ac:dyDescent="0.25"/>
    <row r="32" spans="1:11" s="1" customFormat="1" x14ac:dyDescent="0.25"/>
    <row r="33" s="1" customFormat="1" x14ac:dyDescent="0.25"/>
  </sheetData>
  <autoFilter ref="A7:AE21" xr:uid="{00000000-0009-0000-0000-00000D000000}"/>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
  <sheetViews>
    <sheetView workbookViewId="0">
      <selection activeCell="B10" sqref="B10"/>
    </sheetView>
  </sheetViews>
  <sheetFormatPr baseColWidth="10" defaultColWidth="11.42578125" defaultRowHeight="12.75" x14ac:dyDescent="0.2"/>
  <cols>
    <col min="1" max="1" width="19.7109375" style="888" bestFit="1" customWidth="1"/>
    <col min="2" max="2" width="17.85546875" style="888" bestFit="1" customWidth="1"/>
    <col min="3" max="3" width="75.28515625" style="989" customWidth="1"/>
    <col min="4" max="4" width="13.85546875" style="888" bestFit="1" customWidth="1"/>
    <col min="5" max="5" width="13.85546875" style="990" customWidth="1"/>
    <col min="6" max="6" width="55.85546875" style="989" customWidth="1"/>
    <col min="7" max="7" width="11.42578125" style="972"/>
    <col min="8" max="16384" width="11.42578125" style="888"/>
  </cols>
  <sheetData>
    <row r="1" spans="1:7" x14ac:dyDescent="0.2">
      <c r="A1" s="1448" t="s">
        <v>444</v>
      </c>
      <c r="B1" s="1448"/>
      <c r="C1" s="1448"/>
      <c r="D1" s="1448"/>
      <c r="E1" s="1448"/>
      <c r="F1" s="1448"/>
    </row>
    <row r="2" spans="1:7" x14ac:dyDescent="0.2">
      <c r="A2" s="973" t="s">
        <v>445</v>
      </c>
      <c r="B2" s="973" t="s">
        <v>446</v>
      </c>
      <c r="C2" s="974" t="s">
        <v>447</v>
      </c>
      <c r="D2" s="973" t="s">
        <v>448</v>
      </c>
      <c r="E2" s="975" t="s">
        <v>449</v>
      </c>
      <c r="F2" s="974" t="s">
        <v>450</v>
      </c>
    </row>
    <row r="3" spans="1:7" ht="38.25" x14ac:dyDescent="0.2">
      <c r="A3" s="976" t="s">
        <v>451</v>
      </c>
      <c r="B3" s="976" t="s">
        <v>452</v>
      </c>
      <c r="C3" s="977" t="s">
        <v>453</v>
      </c>
      <c r="D3" s="976" t="s">
        <v>184</v>
      </c>
      <c r="E3" s="978">
        <v>4000000</v>
      </c>
      <c r="F3" s="977" t="s">
        <v>454</v>
      </c>
      <c r="G3" s="972" t="s">
        <v>455</v>
      </c>
    </row>
    <row r="4" spans="1:7" ht="38.25" x14ac:dyDescent="0.2">
      <c r="A4" s="976" t="s">
        <v>451</v>
      </c>
      <c r="B4" s="976" t="s">
        <v>456</v>
      </c>
      <c r="C4" s="977" t="s">
        <v>457</v>
      </c>
      <c r="D4" s="976" t="s">
        <v>458</v>
      </c>
      <c r="E4" s="978">
        <v>20000000</v>
      </c>
      <c r="F4" s="977" t="s">
        <v>454</v>
      </c>
      <c r="G4" s="972" t="s">
        <v>459</v>
      </c>
    </row>
    <row r="5" spans="1:7" ht="51" x14ac:dyDescent="0.2">
      <c r="A5" s="976" t="s">
        <v>451</v>
      </c>
      <c r="B5" s="976" t="s">
        <v>460</v>
      </c>
      <c r="C5" s="977" t="s">
        <v>461</v>
      </c>
      <c r="D5" s="976" t="s">
        <v>458</v>
      </c>
      <c r="E5" s="978">
        <v>23500000</v>
      </c>
      <c r="F5" s="977" t="s">
        <v>462</v>
      </c>
      <c r="G5" s="972" t="s">
        <v>459</v>
      </c>
    </row>
    <row r="6" spans="1:7" ht="63.75" x14ac:dyDescent="0.2">
      <c r="A6" s="976" t="s">
        <v>463</v>
      </c>
      <c r="B6" s="976" t="s">
        <v>464</v>
      </c>
      <c r="C6" s="977" t="s">
        <v>465</v>
      </c>
      <c r="D6" s="976" t="s">
        <v>466</v>
      </c>
      <c r="E6" s="978">
        <v>574189853</v>
      </c>
      <c r="F6" s="977" t="s">
        <v>467</v>
      </c>
      <c r="G6" s="972" t="s">
        <v>455</v>
      </c>
    </row>
    <row r="7" spans="1:7" ht="51" x14ac:dyDescent="0.2">
      <c r="A7" s="976" t="s">
        <v>463</v>
      </c>
      <c r="B7" s="976" t="s">
        <v>468</v>
      </c>
      <c r="C7" s="979" t="s">
        <v>469</v>
      </c>
      <c r="D7" s="976" t="s">
        <v>470</v>
      </c>
      <c r="E7" s="978">
        <v>171538714</v>
      </c>
      <c r="F7" s="977" t="s">
        <v>471</v>
      </c>
      <c r="G7" s="972" t="s">
        <v>455</v>
      </c>
    </row>
    <row r="8" spans="1:7" ht="89.25" x14ac:dyDescent="0.2">
      <c r="A8" s="976" t="s">
        <v>463</v>
      </c>
      <c r="B8" s="976" t="s">
        <v>472</v>
      </c>
      <c r="C8" s="979" t="s">
        <v>473</v>
      </c>
      <c r="D8" s="976" t="s">
        <v>474</v>
      </c>
      <c r="E8" s="978">
        <v>275000000</v>
      </c>
      <c r="F8" s="977" t="s">
        <v>475</v>
      </c>
      <c r="G8" s="972" t="s">
        <v>455</v>
      </c>
    </row>
    <row r="9" spans="1:7" s="985" customFormat="1" ht="24" x14ac:dyDescent="0.2">
      <c r="A9" s="980" t="s">
        <v>476</v>
      </c>
      <c r="B9" s="980" t="s">
        <v>477</v>
      </c>
      <c r="C9" s="981" t="s">
        <v>478</v>
      </c>
      <c r="D9" s="980" t="s">
        <v>479</v>
      </c>
      <c r="E9" s="982">
        <v>1800000000</v>
      </c>
      <c r="F9" s="983" t="s">
        <v>475</v>
      </c>
      <c r="G9" s="984" t="s">
        <v>455</v>
      </c>
    </row>
    <row r="10" spans="1:7" ht="36" x14ac:dyDescent="0.2">
      <c r="A10" s="986" t="s">
        <v>480</v>
      </c>
      <c r="B10" s="986" t="s">
        <v>481</v>
      </c>
      <c r="C10" s="987" t="s">
        <v>482</v>
      </c>
      <c r="D10" s="986" t="s">
        <v>479</v>
      </c>
      <c r="E10" s="988">
        <v>400000000</v>
      </c>
      <c r="F10" s="977" t="s">
        <v>483</v>
      </c>
      <c r="G10" s="972" t="s">
        <v>455</v>
      </c>
    </row>
    <row r="11" spans="1:7" ht="48" x14ac:dyDescent="0.2">
      <c r="A11" s="986" t="s">
        <v>480</v>
      </c>
      <c r="B11" s="986" t="s">
        <v>484</v>
      </c>
      <c r="C11" s="987" t="s">
        <v>485</v>
      </c>
      <c r="D11" s="986" t="s">
        <v>184</v>
      </c>
      <c r="E11" s="988">
        <v>250000000</v>
      </c>
      <c r="F11" s="977" t="s">
        <v>475</v>
      </c>
      <c r="G11" s="972" t="s">
        <v>486</v>
      </c>
    </row>
    <row r="12" spans="1:7" s="985" customFormat="1" ht="36" x14ac:dyDescent="0.2">
      <c r="A12" s="980" t="s">
        <v>480</v>
      </c>
      <c r="B12" s="980" t="s">
        <v>487</v>
      </c>
      <c r="C12" s="981" t="s">
        <v>488</v>
      </c>
      <c r="D12" s="980" t="s">
        <v>479</v>
      </c>
      <c r="E12" s="982">
        <v>6113277404</v>
      </c>
      <c r="F12" s="983" t="s">
        <v>489</v>
      </c>
      <c r="G12" s="984" t="s">
        <v>455</v>
      </c>
    </row>
    <row r="13" spans="1:7" x14ac:dyDescent="0.2">
      <c r="E13" s="990">
        <f>SUM(E3:E12)</f>
        <v>9631505971</v>
      </c>
    </row>
  </sheetData>
  <autoFilter ref="A2:F12" xr:uid="{00000000-0009-0000-0000-000001000000}"/>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I7"/>
  <sheetViews>
    <sheetView workbookViewId="0">
      <selection activeCell="F5" sqref="F5"/>
    </sheetView>
  </sheetViews>
  <sheetFormatPr baseColWidth="10" defaultColWidth="11.42578125" defaultRowHeight="11.25" x14ac:dyDescent="0.2"/>
  <cols>
    <col min="1" max="1" width="8" style="908" bestFit="1" customWidth="1"/>
    <col min="2" max="3" width="34.42578125" style="908" customWidth="1"/>
    <col min="4" max="4" width="11.42578125" style="908"/>
    <col min="5" max="6" width="12" style="908" bestFit="1" customWidth="1"/>
    <col min="7" max="7" width="11.42578125" style="910"/>
    <col min="8" max="8" width="11.42578125" style="908"/>
    <col min="9" max="9" width="11.42578125" style="911"/>
    <col min="10" max="16384" width="11.42578125" style="908"/>
  </cols>
  <sheetData>
    <row r="2" spans="1:9" s="888" customFormat="1" ht="12.75" x14ac:dyDescent="0.2">
      <c r="B2" s="915" t="s">
        <v>490</v>
      </c>
      <c r="C2" s="915" t="s">
        <v>491</v>
      </c>
      <c r="G2" s="916"/>
      <c r="I2" s="917"/>
    </row>
    <row r="3" spans="1:9" s="888" customFormat="1" ht="13.5" thickBot="1" x14ac:dyDescent="0.25">
      <c r="B3" s="918"/>
      <c r="G3" s="916"/>
      <c r="I3" s="917"/>
    </row>
    <row r="4" spans="1:9" ht="23.25" thickBot="1" x14ac:dyDescent="0.25">
      <c r="A4" s="947" t="s">
        <v>12</v>
      </c>
      <c r="B4" s="947" t="s">
        <v>492</v>
      </c>
      <c r="C4" s="948" t="s">
        <v>493</v>
      </c>
      <c r="D4" s="948" t="s">
        <v>494</v>
      </c>
      <c r="E4" s="948" t="s">
        <v>495</v>
      </c>
      <c r="F4" s="949" t="s">
        <v>496</v>
      </c>
      <c r="G4" s="912" t="s">
        <v>497</v>
      </c>
      <c r="H4" s="913" t="s">
        <v>498</v>
      </c>
      <c r="I4" s="914" t="s">
        <v>499</v>
      </c>
    </row>
    <row r="5" spans="1:9" s="940" customFormat="1" ht="45" x14ac:dyDescent="0.2">
      <c r="A5" s="919">
        <v>292</v>
      </c>
      <c r="B5" s="950" t="s">
        <v>254</v>
      </c>
      <c r="C5" s="951" t="s">
        <v>500</v>
      </c>
      <c r="D5" s="951" t="s">
        <v>43</v>
      </c>
      <c r="E5" s="952">
        <v>58000000</v>
      </c>
      <c r="F5" s="953"/>
      <c r="G5" s="944">
        <v>58000000</v>
      </c>
      <c r="H5" s="920" t="s">
        <v>256</v>
      </c>
      <c r="I5" s="921">
        <f>G5-E5</f>
        <v>0</v>
      </c>
    </row>
    <row r="6" spans="1:9" s="940" customFormat="1" ht="78.75" x14ac:dyDescent="0.2">
      <c r="A6" s="925">
        <v>292</v>
      </c>
      <c r="B6" s="909" t="s">
        <v>269</v>
      </c>
      <c r="C6" s="922" t="s">
        <v>500</v>
      </c>
      <c r="D6" s="922" t="s">
        <v>43</v>
      </c>
      <c r="E6" s="923">
        <v>238595000</v>
      </c>
      <c r="F6" s="954"/>
      <c r="G6" s="945">
        <v>238595000</v>
      </c>
      <c r="H6" s="926" t="s">
        <v>334</v>
      </c>
      <c r="I6" s="927">
        <f>G6-E6</f>
        <v>0</v>
      </c>
    </row>
    <row r="7" spans="1:9" ht="57" thickBot="1" x14ac:dyDescent="0.25">
      <c r="A7" s="930">
        <v>292</v>
      </c>
      <c r="B7" s="955" t="s">
        <v>224</v>
      </c>
      <c r="C7" s="928" t="s">
        <v>501</v>
      </c>
      <c r="D7" s="928" t="s">
        <v>43</v>
      </c>
      <c r="E7" s="929"/>
      <c r="F7" s="936">
        <f>+E5+E6</f>
        <v>296595000</v>
      </c>
      <c r="G7" s="946">
        <f>144893578</f>
        <v>144893578</v>
      </c>
      <c r="H7" s="931" t="s">
        <v>229</v>
      </c>
      <c r="I7" s="932">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6"/>
  <sheetViews>
    <sheetView workbookViewId="0">
      <selection activeCell="G5" sqref="G5"/>
    </sheetView>
  </sheetViews>
  <sheetFormatPr baseColWidth="10" defaultColWidth="11.42578125" defaultRowHeight="11.25" x14ac:dyDescent="0.2"/>
  <cols>
    <col min="1" max="1" width="11.42578125" style="908"/>
    <col min="2" max="3" width="34.42578125" style="908" customWidth="1"/>
    <col min="4" max="4" width="11.42578125" style="908"/>
    <col min="5" max="6" width="12" style="908" bestFit="1" customWidth="1"/>
    <col min="7" max="7" width="12.5703125" style="910" bestFit="1" customWidth="1"/>
    <col min="8" max="8" width="26.7109375" style="908" customWidth="1"/>
    <col min="9" max="9" width="11.42578125" style="911"/>
    <col min="10" max="16384" width="11.42578125" style="908"/>
  </cols>
  <sheetData>
    <row r="2" spans="1:10" ht="12.75" x14ac:dyDescent="0.2">
      <c r="B2" s="915" t="s">
        <v>490</v>
      </c>
      <c r="C2" s="915" t="s">
        <v>502</v>
      </c>
    </row>
    <row r="3" spans="1:10" ht="13.5" thickBot="1" x14ac:dyDescent="0.25">
      <c r="B3" s="918"/>
      <c r="C3" s="888"/>
    </row>
    <row r="4" spans="1:10" ht="23.25" thickBot="1" x14ac:dyDescent="0.25">
      <c r="A4" s="947" t="s">
        <v>12</v>
      </c>
      <c r="B4" s="947" t="s">
        <v>492</v>
      </c>
      <c r="C4" s="948" t="s">
        <v>493</v>
      </c>
      <c r="D4" s="948" t="s">
        <v>494</v>
      </c>
      <c r="E4" s="948" t="s">
        <v>495</v>
      </c>
      <c r="F4" s="949" t="s">
        <v>496</v>
      </c>
      <c r="G4" s="933" t="s">
        <v>497</v>
      </c>
      <c r="H4" s="934" t="s">
        <v>498</v>
      </c>
      <c r="I4" s="935" t="s">
        <v>499</v>
      </c>
    </row>
    <row r="5" spans="1:10" s="942" customFormat="1" ht="112.5" x14ac:dyDescent="0.2">
      <c r="A5" s="919">
        <v>292</v>
      </c>
      <c r="B5" s="951" t="s">
        <v>257</v>
      </c>
      <c r="C5" s="951" t="s">
        <v>503</v>
      </c>
      <c r="D5" s="951" t="s">
        <v>43</v>
      </c>
      <c r="E5" s="952">
        <v>220188240</v>
      </c>
      <c r="F5" s="953"/>
      <c r="G5" s="944">
        <v>220211840</v>
      </c>
      <c r="H5" s="920" t="s">
        <v>504</v>
      </c>
      <c r="I5" s="921">
        <f>G5-E5</f>
        <v>23600</v>
      </c>
      <c r="J5" s="920" t="s">
        <v>505</v>
      </c>
    </row>
    <row r="6" spans="1:10" s="943" customFormat="1" ht="57" thickBot="1" x14ac:dyDescent="0.25">
      <c r="A6" s="930">
        <v>292</v>
      </c>
      <c r="B6" s="928" t="s">
        <v>224</v>
      </c>
      <c r="C6" s="928" t="s">
        <v>501</v>
      </c>
      <c r="D6" s="928" t="s">
        <v>43</v>
      </c>
      <c r="E6" s="956"/>
      <c r="F6" s="936">
        <f>+E5</f>
        <v>220188240</v>
      </c>
      <c r="G6" s="946">
        <v>450408276</v>
      </c>
      <c r="H6" s="931" t="s">
        <v>229</v>
      </c>
      <c r="I6" s="932">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14"/>
  <sheetViews>
    <sheetView topLeftCell="A9" workbookViewId="0">
      <selection activeCell="E15" sqref="E15"/>
    </sheetView>
  </sheetViews>
  <sheetFormatPr baseColWidth="10" defaultColWidth="11.42578125" defaultRowHeight="11.25" x14ac:dyDescent="0.2"/>
  <cols>
    <col min="1" max="1" width="11.42578125" style="910"/>
    <col min="2" max="2" width="34.42578125" style="957" customWidth="1"/>
    <col min="3" max="3" width="34.42578125" style="908" customWidth="1"/>
    <col min="4" max="4" width="11.42578125" style="908"/>
    <col min="5" max="6" width="12" style="908" bestFit="1" customWidth="1"/>
    <col min="7" max="7" width="12.5703125" style="910" bestFit="1" customWidth="1"/>
    <col min="8" max="8" width="26.7109375" style="908" customWidth="1"/>
    <col min="9" max="9" width="12.5703125" style="911" bestFit="1" customWidth="1"/>
    <col min="10" max="16384" width="11.42578125" style="908"/>
  </cols>
  <sheetData>
    <row r="2" spans="1:11" ht="12.75" x14ac:dyDescent="0.2">
      <c r="B2" s="958" t="s">
        <v>490</v>
      </c>
      <c r="C2" s="915" t="s">
        <v>506</v>
      </c>
    </row>
    <row r="3" spans="1:11" ht="13.5" thickBot="1" x14ac:dyDescent="0.25">
      <c r="B3" s="959"/>
      <c r="C3" s="888"/>
    </row>
    <row r="4" spans="1:11" ht="23.25" thickBot="1" x14ac:dyDescent="0.25">
      <c r="A4" s="960" t="s">
        <v>12</v>
      </c>
      <c r="B4" s="961" t="s">
        <v>492</v>
      </c>
      <c r="C4" s="948" t="s">
        <v>493</v>
      </c>
      <c r="D4" s="948" t="s">
        <v>494</v>
      </c>
      <c r="E4" s="948" t="s">
        <v>495</v>
      </c>
      <c r="F4" s="949" t="s">
        <v>496</v>
      </c>
      <c r="G4" s="933" t="s">
        <v>497</v>
      </c>
      <c r="H4" s="934" t="s">
        <v>498</v>
      </c>
      <c r="I4" s="935" t="s">
        <v>499</v>
      </c>
    </row>
    <row r="5" spans="1:11" s="942" customFormat="1" ht="45" x14ac:dyDescent="0.2">
      <c r="A5" s="919">
        <v>292</v>
      </c>
      <c r="B5" s="950" t="s">
        <v>283</v>
      </c>
      <c r="C5" s="951" t="s">
        <v>507</v>
      </c>
      <c r="D5" s="951" t="s">
        <v>43</v>
      </c>
      <c r="E5" s="962">
        <v>8155333</v>
      </c>
      <c r="F5" s="963"/>
      <c r="G5" s="937">
        <v>8155333</v>
      </c>
      <c r="H5" s="920" t="s">
        <v>284</v>
      </c>
      <c r="I5" s="967">
        <f>G5-E5</f>
        <v>0</v>
      </c>
    </row>
    <row r="6" spans="1:11" s="942" customFormat="1" ht="56.25" x14ac:dyDescent="0.2">
      <c r="A6" s="925">
        <v>292</v>
      </c>
      <c r="B6" s="909" t="s">
        <v>236</v>
      </c>
      <c r="C6" s="922" t="s">
        <v>508</v>
      </c>
      <c r="D6" s="922" t="s">
        <v>43</v>
      </c>
      <c r="E6" s="964">
        <v>248323333</v>
      </c>
      <c r="F6" s="965"/>
      <c r="G6" s="939">
        <v>207914739</v>
      </c>
      <c r="H6" s="926" t="s">
        <v>509</v>
      </c>
      <c r="I6" s="968">
        <f>G6-E6</f>
        <v>-40408594</v>
      </c>
      <c r="J6" s="970" t="s">
        <v>505</v>
      </c>
      <c r="K6" s="971"/>
    </row>
    <row r="7" spans="1:11" s="942" customFormat="1" ht="67.5" x14ac:dyDescent="0.2">
      <c r="A7" s="925">
        <v>292</v>
      </c>
      <c r="B7" s="909" t="s">
        <v>269</v>
      </c>
      <c r="C7" s="922" t="s">
        <v>510</v>
      </c>
      <c r="D7" s="922" t="s">
        <v>43</v>
      </c>
      <c r="E7" s="964">
        <v>13558000</v>
      </c>
      <c r="F7" s="965"/>
      <c r="G7" s="939">
        <v>62891334</v>
      </c>
      <c r="H7" s="926" t="s">
        <v>271</v>
      </c>
      <c r="I7" s="968">
        <f>G7-E7</f>
        <v>49333334</v>
      </c>
      <c r="J7" s="970" t="s">
        <v>505</v>
      </c>
      <c r="K7" s="971"/>
    </row>
    <row r="8" spans="1:11" s="942" customFormat="1" ht="45" x14ac:dyDescent="0.2">
      <c r="A8" s="925">
        <v>292</v>
      </c>
      <c r="B8" s="909" t="s">
        <v>254</v>
      </c>
      <c r="C8" s="922" t="s">
        <v>511</v>
      </c>
      <c r="D8" s="922" t="s">
        <v>43</v>
      </c>
      <c r="E8" s="964">
        <v>21233333</v>
      </c>
      <c r="F8" s="924"/>
      <c r="G8" s="939">
        <v>21233333</v>
      </c>
      <c r="H8" s="926" t="s">
        <v>275</v>
      </c>
      <c r="I8" s="968">
        <f>E8-G8</f>
        <v>0</v>
      </c>
    </row>
    <row r="9" spans="1:11" s="942" customFormat="1" ht="67.5" x14ac:dyDescent="0.2">
      <c r="A9" s="925">
        <v>297</v>
      </c>
      <c r="B9" s="909" t="s">
        <v>289</v>
      </c>
      <c r="C9" s="922" t="s">
        <v>507</v>
      </c>
      <c r="D9" s="922" t="s">
        <v>43</v>
      </c>
      <c r="E9" s="964">
        <v>264926666</v>
      </c>
      <c r="F9" s="924"/>
      <c r="G9" s="939">
        <v>264926666</v>
      </c>
      <c r="H9" s="926" t="s">
        <v>290</v>
      </c>
      <c r="I9" s="968">
        <f>G9-E9</f>
        <v>0</v>
      </c>
    </row>
    <row r="10" spans="1:11" s="942" customFormat="1" ht="56.25" x14ac:dyDescent="0.2">
      <c r="A10" s="925">
        <v>297</v>
      </c>
      <c r="B10" s="909" t="s">
        <v>294</v>
      </c>
      <c r="C10" s="922" t="s">
        <v>507</v>
      </c>
      <c r="D10" s="922" t="s">
        <v>43</v>
      </c>
      <c r="E10" s="964">
        <v>7730000</v>
      </c>
      <c r="F10" s="924"/>
      <c r="G10" s="939">
        <v>31580000</v>
      </c>
      <c r="H10" s="926" t="s">
        <v>295</v>
      </c>
      <c r="I10" s="968">
        <f>G10-E10</f>
        <v>23850000</v>
      </c>
      <c r="J10" s="970" t="s">
        <v>505</v>
      </c>
      <c r="K10" s="971"/>
    </row>
    <row r="11" spans="1:11" s="942" customFormat="1" ht="45" x14ac:dyDescent="0.2">
      <c r="A11" s="925">
        <v>292</v>
      </c>
      <c r="B11" s="909" t="s">
        <v>257</v>
      </c>
      <c r="C11" s="922" t="s">
        <v>507</v>
      </c>
      <c r="D11" s="922" t="s">
        <v>43</v>
      </c>
      <c r="E11" s="964">
        <v>30000000</v>
      </c>
      <c r="F11" s="924"/>
      <c r="G11" s="939">
        <v>30000000</v>
      </c>
      <c r="H11" s="926" t="s">
        <v>260</v>
      </c>
      <c r="I11" s="968">
        <f>G11-E11</f>
        <v>0</v>
      </c>
    </row>
    <row r="12" spans="1:11" s="942" customFormat="1" ht="45" x14ac:dyDescent="0.2">
      <c r="A12" s="925">
        <v>292</v>
      </c>
      <c r="B12" s="909" t="s">
        <v>233</v>
      </c>
      <c r="C12" s="922" t="s">
        <v>507</v>
      </c>
      <c r="D12" s="922" t="s">
        <v>43</v>
      </c>
      <c r="E12" s="964">
        <v>44163256</v>
      </c>
      <c r="F12" s="924"/>
      <c r="G12" s="939">
        <v>61863256</v>
      </c>
      <c r="H12" s="926" t="s">
        <v>279</v>
      </c>
      <c r="I12" s="968">
        <f>G12-E12</f>
        <v>17700000</v>
      </c>
      <c r="J12" s="970" t="s">
        <v>505</v>
      </c>
    </row>
    <row r="13" spans="1:11" s="941" customFormat="1" ht="57" thickBot="1" x14ac:dyDescent="0.25">
      <c r="A13" s="930">
        <v>292</v>
      </c>
      <c r="B13" s="955" t="s">
        <v>224</v>
      </c>
      <c r="C13" s="928" t="s">
        <v>507</v>
      </c>
      <c r="D13" s="928" t="s">
        <v>43</v>
      </c>
      <c r="E13" s="956"/>
      <c r="F13" s="966">
        <f>SUM(E5:E12)</f>
        <v>638089921</v>
      </c>
      <c r="G13" s="938">
        <v>682841016</v>
      </c>
      <c r="H13" s="931" t="s">
        <v>229</v>
      </c>
      <c r="I13" s="969">
        <f>G13+F13</f>
        <v>1320930937</v>
      </c>
      <c r="J13" s="970" t="s">
        <v>505</v>
      </c>
    </row>
    <row r="14" spans="1:11" ht="22.5" x14ac:dyDescent="0.2">
      <c r="F14" s="970" t="s">
        <v>505</v>
      </c>
      <c r="G14" s="9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703125" defaultRowHeight="15" x14ac:dyDescent="0.25"/>
  <cols>
    <col min="1" max="1" width="30.42578125" bestFit="1" customWidth="1"/>
    <col min="2" max="2" width="27.7109375" bestFit="1" customWidth="1"/>
    <col min="3" max="3" width="20.7109375" bestFit="1" customWidth="1"/>
    <col min="4" max="4" width="39.140625" style="330" customWidth="1"/>
    <col min="5" max="5" width="44.42578125" style="330"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7" width="59.85546875" style="888" customWidth="1"/>
    <col min="18" max="19" width="42.42578125" style="888" customWidth="1"/>
    <col min="20" max="20" width="30.42578125" customWidth="1"/>
    <col min="21" max="21" width="21.7109375" customWidth="1"/>
    <col min="22" max="22" width="22.28515625" customWidth="1"/>
    <col min="23" max="23" width="21.140625" customWidth="1"/>
    <col min="24" max="24" width="23" style="127" customWidth="1"/>
    <col min="25" max="25" width="27.140625" style="127" customWidth="1"/>
    <col min="26" max="26" width="24.140625" style="129" customWidth="1"/>
    <col min="27" max="27" width="11.5703125" style="128"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x14ac:dyDescent="0.3">
      <c r="A1" s="305" t="s">
        <v>512</v>
      </c>
      <c r="D1" s="855"/>
      <c r="E1" s="855"/>
      <c r="F1" s="6"/>
      <c r="G1" s="6"/>
      <c r="H1" s="6"/>
      <c r="I1" s="6"/>
      <c r="J1" s="7"/>
      <c r="K1" s="8"/>
      <c r="L1" s="9"/>
      <c r="M1" s="9"/>
      <c r="N1" s="9"/>
      <c r="O1" s="10"/>
      <c r="P1" s="11"/>
      <c r="Q1" s="866"/>
      <c r="R1" s="866"/>
      <c r="S1" s="866"/>
      <c r="T1" s="10"/>
      <c r="X1" s="12"/>
      <c r="Y1" s="12">
        <f>+X1-X2</f>
        <v>0</v>
      </c>
      <c r="Z1" s="12"/>
      <c r="AA1" s="13"/>
    </row>
    <row r="2" spans="1:29" s="1" customFormat="1" ht="27.75" customHeight="1" x14ac:dyDescent="0.25">
      <c r="D2" s="855"/>
      <c r="E2" s="855"/>
      <c r="F2" s="8"/>
      <c r="G2" s="8"/>
      <c r="H2" s="8"/>
      <c r="I2" s="8"/>
      <c r="J2" s="14"/>
      <c r="K2" s="8"/>
      <c r="L2" s="9"/>
      <c r="M2" s="9"/>
      <c r="N2" s="9"/>
      <c r="O2" s="10"/>
      <c r="P2" s="11"/>
      <c r="Q2" s="866"/>
      <c r="R2" s="866"/>
      <c r="S2" s="866"/>
      <c r="T2" s="10"/>
      <c r="X2" s="12"/>
      <c r="Y2" s="12"/>
      <c r="Z2" s="12"/>
      <c r="AA2" s="13"/>
    </row>
    <row r="3" spans="1:29" s="1" customFormat="1" ht="20.25" customHeight="1" x14ac:dyDescent="0.25">
      <c r="D3" s="855"/>
      <c r="E3" s="855"/>
      <c r="F3" s="15"/>
      <c r="G3" s="1447" t="s">
        <v>3</v>
      </c>
      <c r="H3" s="1447"/>
      <c r="I3" s="1447"/>
      <c r="J3" s="16"/>
      <c r="K3" s="16"/>
      <c r="L3" s="1447" t="s">
        <v>4</v>
      </c>
      <c r="M3" s="1447"/>
      <c r="N3" s="1447"/>
      <c r="O3" s="17"/>
      <c r="P3" s="778" t="s">
        <v>5</v>
      </c>
      <c r="Q3" s="867"/>
      <c r="R3" s="867"/>
      <c r="S3" s="867"/>
      <c r="T3" s="19" t="s">
        <v>7</v>
      </c>
      <c r="X3" s="12"/>
      <c r="Y3" s="12"/>
      <c r="Z3" s="12"/>
      <c r="AA3" s="13"/>
    </row>
    <row r="4" spans="1:29" s="1" customFormat="1" ht="15.75" thickBot="1" x14ac:dyDescent="0.3">
      <c r="D4" s="855"/>
      <c r="E4" s="855"/>
      <c r="F4" s="739"/>
      <c r="G4" s="740"/>
      <c r="H4" s="740"/>
      <c r="I4" s="740"/>
      <c r="J4" s="739"/>
      <c r="K4" s="739"/>
      <c r="L4" s="740"/>
      <c r="M4" s="740"/>
      <c r="N4" s="740"/>
      <c r="O4" s="303"/>
      <c r="P4" s="304"/>
      <c r="Q4" s="867"/>
      <c r="R4" s="867"/>
      <c r="S4" s="867"/>
      <c r="T4" s="19"/>
      <c r="X4" s="12"/>
      <c r="Y4" s="12"/>
      <c r="Z4" s="12"/>
      <c r="AA4" s="13"/>
    </row>
    <row r="5" spans="1:29" s="29" customFormat="1" ht="45" customHeight="1" thickBot="1" x14ac:dyDescent="0.3">
      <c r="A5" s="741" t="s">
        <v>9</v>
      </c>
      <c r="B5" s="742" t="s">
        <v>10</v>
      </c>
      <c r="C5" s="742" t="s">
        <v>11</v>
      </c>
      <c r="D5" s="743" t="s">
        <v>12</v>
      </c>
      <c r="E5" s="744" t="s">
        <v>13</v>
      </c>
      <c r="F5" s="742" t="s">
        <v>14</v>
      </c>
      <c r="G5" s="745" t="s">
        <v>15</v>
      </c>
      <c r="H5" s="804" t="s">
        <v>16</v>
      </c>
      <c r="I5" s="745" t="s">
        <v>17</v>
      </c>
      <c r="J5" s="746" t="s">
        <v>18</v>
      </c>
      <c r="K5" s="746" t="s">
        <v>19</v>
      </c>
      <c r="L5" s="747" t="s">
        <v>15</v>
      </c>
      <c r="M5" s="747" t="s">
        <v>16</v>
      </c>
      <c r="N5" s="747" t="s">
        <v>17</v>
      </c>
      <c r="O5" s="748" t="s">
        <v>20</v>
      </c>
      <c r="P5" s="749" t="s">
        <v>21</v>
      </c>
      <c r="Q5" s="868" t="s">
        <v>22</v>
      </c>
      <c r="R5" s="868" t="s">
        <v>23</v>
      </c>
      <c r="S5" s="868"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x14ac:dyDescent="0.25">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1" t="s">
        <v>513</v>
      </c>
      <c r="R6" s="832"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x14ac:dyDescent="0.2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x14ac:dyDescent="0.2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7" t="s">
        <v>514</v>
      </c>
      <c r="R8" s="828"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x14ac:dyDescent="0.2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x14ac:dyDescent="0.2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4" t="s">
        <v>73</v>
      </c>
      <c r="R10" s="835" t="s">
        <v>74</v>
      </c>
      <c r="S10" s="899"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x14ac:dyDescent="0.2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6" t="s">
        <v>73</v>
      </c>
      <c r="R11" s="837" t="s">
        <v>518</v>
      </c>
      <c r="S11" s="900"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x14ac:dyDescent="0.2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x14ac:dyDescent="0.2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x14ac:dyDescent="0.2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8" t="s">
        <v>520</v>
      </c>
      <c r="R15" s="839"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x14ac:dyDescent="0.2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29" t="s">
        <v>522</v>
      </c>
      <c r="R16" s="830" t="s">
        <v>523</v>
      </c>
      <c r="S16" s="181"/>
      <c r="T16" s="338"/>
      <c r="U16" s="554"/>
      <c r="V16" s="736">
        <v>376139123</v>
      </c>
      <c r="W16" s="430">
        <f>+V16</f>
        <v>376139123</v>
      </c>
      <c r="X16" s="430">
        <v>1601093</v>
      </c>
      <c r="Y16" s="430"/>
      <c r="Z16" s="430"/>
      <c r="AA16" s="429"/>
      <c r="AB16" s="703"/>
      <c r="AC16" s="335"/>
    </row>
    <row r="17" spans="1:45" s="39" customFormat="1" ht="113.25" hidden="1" customHeight="1" x14ac:dyDescent="0.2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3" t="s">
        <v>524</v>
      </c>
      <c r="R17" s="844"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2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0" t="s">
        <v>97</v>
      </c>
      <c r="R18" s="840"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0" t="s">
        <v>97</v>
      </c>
      <c r="R19" s="84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2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0" t="s">
        <v>97</v>
      </c>
      <c r="R20" s="84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x14ac:dyDescent="0.25">
      <c r="A21" s="845" t="s">
        <v>100</v>
      </c>
      <c r="B21" s="845" t="s">
        <v>101</v>
      </c>
      <c r="C21" s="846">
        <v>2020110010195</v>
      </c>
      <c r="D21" s="845" t="s">
        <v>102</v>
      </c>
      <c r="E21" s="845" t="s">
        <v>103</v>
      </c>
      <c r="F21" s="60" t="s">
        <v>104</v>
      </c>
      <c r="G21" s="177" t="s">
        <v>53</v>
      </c>
      <c r="H21" s="176" t="s">
        <v>54</v>
      </c>
      <c r="I21" s="175" t="s">
        <v>105</v>
      </c>
      <c r="J21" s="174" t="s">
        <v>43</v>
      </c>
      <c r="K21" s="819" t="s">
        <v>43</v>
      </c>
      <c r="L21" s="55" t="s">
        <v>106</v>
      </c>
      <c r="M21" s="55" t="s">
        <v>107</v>
      </c>
      <c r="N21" s="60" t="s">
        <v>108</v>
      </c>
      <c r="O21" s="20" t="s">
        <v>47</v>
      </c>
      <c r="P21" s="847" t="s">
        <v>109</v>
      </c>
      <c r="Q21" s="897" t="s">
        <v>526</v>
      </c>
      <c r="R21" s="898">
        <v>100000000</v>
      </c>
      <c r="S21" s="847"/>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x14ac:dyDescent="0.2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1" t="s">
        <v>119</v>
      </c>
      <c r="R22" s="842"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x14ac:dyDescent="0.2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3"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x14ac:dyDescent="0.2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x14ac:dyDescent="0.2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x14ac:dyDescent="0.3">
      <c r="A26" s="55" t="s">
        <v>136</v>
      </c>
      <c r="B26" s="55" t="s">
        <v>137</v>
      </c>
      <c r="C26" s="78">
        <v>2020110010168</v>
      </c>
      <c r="D26" s="856" t="s">
        <v>138</v>
      </c>
      <c r="E26" s="857" t="s">
        <v>139</v>
      </c>
      <c r="F26" s="164" t="s">
        <v>140</v>
      </c>
      <c r="G26" s="163" t="s">
        <v>60</v>
      </c>
      <c r="H26" s="162" t="s">
        <v>61</v>
      </c>
      <c r="I26" s="161" t="s">
        <v>141</v>
      </c>
      <c r="J26" s="160" t="s">
        <v>116</v>
      </c>
      <c r="K26" s="65" t="s">
        <v>43</v>
      </c>
      <c r="L26" s="159" t="s">
        <v>44</v>
      </c>
      <c r="M26" s="158" t="s">
        <v>45</v>
      </c>
      <c r="N26" s="157" t="s">
        <v>142</v>
      </c>
      <c r="O26" s="156" t="s">
        <v>143</v>
      </c>
      <c r="P26" s="155" t="s">
        <v>144</v>
      </c>
      <c r="Q26" s="798" t="s">
        <v>532</v>
      </c>
      <c r="R26" s="799" t="s">
        <v>533</v>
      </c>
      <c r="S26" s="577"/>
      <c r="T26" s="342">
        <v>800000000</v>
      </c>
      <c r="U26" s="578">
        <v>800000000</v>
      </c>
      <c r="V26" s="579"/>
      <c r="W26" s="433">
        <v>800000000</v>
      </c>
      <c r="X26" s="433">
        <v>720783333</v>
      </c>
      <c r="Y26" s="433">
        <f t="shared" si="3"/>
        <v>79216667</v>
      </c>
      <c r="Z26" s="802">
        <v>670316666</v>
      </c>
      <c r="AA26" s="435">
        <f t="shared" si="4"/>
        <v>0.83789583249999999</v>
      </c>
      <c r="AB26" s="796">
        <f>7366666+29983332+59645513+62178846+78616667+77577030</f>
        <v>315368054</v>
      </c>
      <c r="AC26" s="428" t="s">
        <v>67</v>
      </c>
    </row>
    <row r="27" spans="1:45" s="39" customFormat="1" ht="122.25" hidden="1" customHeight="1" thickBot="1" x14ac:dyDescent="0.3">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0" t="s">
        <v>534</v>
      </c>
      <c r="R27" s="797"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x14ac:dyDescent="0.3">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349999999999994" hidden="1" customHeight="1" thickBot="1" x14ac:dyDescent="0.3">
      <c r="A29" s="55" t="s">
        <v>136</v>
      </c>
      <c r="B29" s="55" t="s">
        <v>137</v>
      </c>
      <c r="C29" s="78">
        <v>2020110010168</v>
      </c>
      <c r="D29" s="55" t="s">
        <v>138</v>
      </c>
      <c r="E29" s="55" t="s">
        <v>160</v>
      </c>
      <c r="F29" s="63" t="s">
        <v>140</v>
      </c>
      <c r="G29" s="154" t="s">
        <v>68</v>
      </c>
      <c r="H29" s="153" t="s">
        <v>161</v>
      </c>
      <c r="I29" s="152" t="s">
        <v>162</v>
      </c>
      <c r="J29" s="151" t="s">
        <v>116</v>
      </c>
      <c r="K29" s="825" t="s">
        <v>43</v>
      </c>
      <c r="L29" s="149" t="s">
        <v>44</v>
      </c>
      <c r="M29" s="148" t="s">
        <v>45</v>
      </c>
      <c r="N29" s="147" t="s">
        <v>163</v>
      </c>
      <c r="O29" s="146" t="s">
        <v>164</v>
      </c>
      <c r="P29" s="145" t="s">
        <v>165</v>
      </c>
      <c r="Q29" s="791" t="s">
        <v>536</v>
      </c>
      <c r="R29" s="792" t="s">
        <v>537</v>
      </c>
      <c r="S29" s="901"/>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349999999999994" hidden="1" customHeight="1" thickBot="1" x14ac:dyDescent="0.3">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x14ac:dyDescent="0.3">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x14ac:dyDescent="0.3">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1" t="s">
        <v>175</v>
      </c>
      <c r="R32" s="862"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x14ac:dyDescent="0.3">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x14ac:dyDescent="0.3">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59">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x14ac:dyDescent="0.3">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x14ac:dyDescent="0.3">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0">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x14ac:dyDescent="0.3">
      <c r="A37" s="55" t="s">
        <v>136</v>
      </c>
      <c r="B37" s="55" t="s">
        <v>137</v>
      </c>
      <c r="C37" s="78">
        <v>2020110010168</v>
      </c>
      <c r="D37" s="55" t="s">
        <v>138</v>
      </c>
      <c r="E37" s="143" t="s">
        <v>181</v>
      </c>
      <c r="F37" s="63" t="s">
        <v>140</v>
      </c>
      <c r="G37" s="81" t="s">
        <v>60</v>
      </c>
      <c r="H37" s="82" t="s">
        <v>61</v>
      </c>
      <c r="I37" s="83" t="s">
        <v>141</v>
      </c>
      <c r="J37" s="69" t="s">
        <v>116</v>
      </c>
      <c r="K37" s="826" t="s">
        <v>43</v>
      </c>
      <c r="L37" s="35" t="s">
        <v>44</v>
      </c>
      <c r="M37" s="48" t="s">
        <v>45</v>
      </c>
      <c r="N37" s="66" t="s">
        <v>142</v>
      </c>
      <c r="O37" s="72" t="s">
        <v>184</v>
      </c>
      <c r="P37" s="79" t="s">
        <v>199</v>
      </c>
      <c r="Q37" s="767" t="s">
        <v>551</v>
      </c>
      <c r="R37" s="768" t="s">
        <v>552</v>
      </c>
      <c r="S37" s="588"/>
      <c r="T37" s="332">
        <v>800000000</v>
      </c>
      <c r="U37" s="332">
        <v>800000000</v>
      </c>
      <c r="V37" s="859">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349999999999994" hidden="1" customHeight="1" thickBot="1" x14ac:dyDescent="0.3">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7"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349999999999994" hidden="1" customHeight="1" thickBot="1" x14ac:dyDescent="0.3">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0" t="s">
        <v>555</v>
      </c>
      <c r="R39" s="801" t="s">
        <v>556</v>
      </c>
      <c r="S39" s="588"/>
      <c r="T39" s="332">
        <v>125000000</v>
      </c>
      <c r="U39" s="554">
        <v>125000000</v>
      </c>
      <c r="V39" s="333"/>
      <c r="W39" s="430">
        <v>125000000</v>
      </c>
      <c r="X39" s="430">
        <v>114500000</v>
      </c>
      <c r="Y39" s="430">
        <f t="shared" si="3"/>
        <v>10500000</v>
      </c>
      <c r="Z39" s="430">
        <f>60000000+32500000</f>
        <v>92500000</v>
      </c>
      <c r="AA39" s="429">
        <f t="shared" si="4"/>
        <v>0.74</v>
      </c>
      <c r="AB39" s="803">
        <f>18216667+18500000+18500000</f>
        <v>55216667</v>
      </c>
      <c r="AC39" s="333"/>
    </row>
    <row r="40" spans="1:29" s="39" customFormat="1" ht="150" hidden="1" customHeight="1" thickBot="1" x14ac:dyDescent="0.3">
      <c r="A40" s="55" t="s">
        <v>136</v>
      </c>
      <c r="B40" s="55" t="s">
        <v>137</v>
      </c>
      <c r="C40" s="78">
        <v>2020110010168</v>
      </c>
      <c r="D40" s="61" t="s">
        <v>138</v>
      </c>
      <c r="E40" s="61" t="s">
        <v>139</v>
      </c>
      <c r="F40" s="63" t="s">
        <v>140</v>
      </c>
      <c r="G40" s="56" t="s">
        <v>60</v>
      </c>
      <c r="H40" s="88" t="s">
        <v>61</v>
      </c>
      <c r="I40" s="89" t="s">
        <v>141</v>
      </c>
      <c r="J40" s="858"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x14ac:dyDescent="0.3">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2">
        <f>212150000+836311070+345235986+54250000+169330000+117200000</f>
        <v>1734477056</v>
      </c>
      <c r="AA41" s="429">
        <f t="shared" si="4"/>
        <v>0.75412045913043479</v>
      </c>
      <c r="AB41" s="796">
        <f>4646667+29933334+40945457+140408710+165239211+173537988</f>
        <v>554711367</v>
      </c>
      <c r="AC41" s="431" t="s">
        <v>67</v>
      </c>
    </row>
    <row r="42" spans="1:29" s="39" customFormat="1" ht="70.349999999999994" hidden="1" customHeight="1" thickBot="1" x14ac:dyDescent="0.3">
      <c r="A42" s="55" t="s">
        <v>136</v>
      </c>
      <c r="B42" s="55" t="s">
        <v>137</v>
      </c>
      <c r="C42" s="78">
        <v>2020110010168</v>
      </c>
      <c r="D42" s="61" t="s">
        <v>138</v>
      </c>
      <c r="E42" s="61" t="s">
        <v>202</v>
      </c>
      <c r="F42" s="63" t="s">
        <v>140</v>
      </c>
      <c r="G42" s="64" t="s">
        <v>53</v>
      </c>
      <c r="H42" s="94" t="s">
        <v>54</v>
      </c>
      <c r="I42" s="95" t="s">
        <v>218</v>
      </c>
      <c r="J42" s="96" t="s">
        <v>116</v>
      </c>
      <c r="K42" s="826" t="s">
        <v>43</v>
      </c>
      <c r="L42" s="35" t="s">
        <v>44</v>
      </c>
      <c r="M42" s="48" t="s">
        <v>45</v>
      </c>
      <c r="N42" s="141" t="s">
        <v>219</v>
      </c>
      <c r="O42" s="97" t="s">
        <v>164</v>
      </c>
      <c r="P42" s="98" t="s">
        <v>220</v>
      </c>
      <c r="Q42" s="824" t="s">
        <v>97</v>
      </c>
      <c r="R42" s="824" t="s">
        <v>97</v>
      </c>
      <c r="S42" s="824"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x14ac:dyDescent="0.2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2"/>
      <c r="T43" s="332">
        <v>684000000</v>
      </c>
      <c r="U43" s="554">
        <v>684000000</v>
      </c>
      <c r="V43" s="613">
        <f>695695200+817106046+13400000</f>
        <v>1526201246</v>
      </c>
      <c r="W43" s="430">
        <f>+U43+V43</f>
        <v>2210201246</v>
      </c>
      <c r="X43" s="889">
        <f>1763532150</f>
        <v>1763532150</v>
      </c>
      <c r="Y43" s="430">
        <f>+W43-X43</f>
        <v>446669096</v>
      </c>
      <c r="Z43" s="430">
        <v>1284327668</v>
      </c>
      <c r="AA43" s="429">
        <f t="shared" si="4"/>
        <v>0.58109082615185537</v>
      </c>
      <c r="AB43" s="430">
        <v>117269914</v>
      </c>
      <c r="AC43" s="357" t="s">
        <v>232</v>
      </c>
    </row>
    <row r="44" spans="1:29" s="39" customFormat="1" ht="122.25" hidden="1" customHeight="1" x14ac:dyDescent="0.2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69"/>
      <c r="T44" s="332"/>
      <c r="U44" s="554"/>
      <c r="V44" s="613">
        <v>60460372</v>
      </c>
      <c r="W44" s="711">
        <f>+V44</f>
        <v>60460372</v>
      </c>
      <c r="X44" s="347"/>
      <c r="Y44" s="430">
        <f>+W44-X44</f>
        <v>60460372</v>
      </c>
      <c r="Z44" s="430"/>
      <c r="AA44" s="429"/>
      <c r="AB44" s="430"/>
      <c r="AC44" s="357"/>
    </row>
    <row r="45" spans="1:29" s="39" customFormat="1" ht="126" hidden="1" customHeight="1" x14ac:dyDescent="0.2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2"/>
      <c r="T45" s="332">
        <v>756000000</v>
      </c>
      <c r="U45" s="554">
        <v>756000000</v>
      </c>
      <c r="V45" s="617"/>
      <c r="W45" s="430">
        <v>756000000</v>
      </c>
      <c r="X45" s="889">
        <f>234240000</f>
        <v>234240000</v>
      </c>
      <c r="Y45" s="430">
        <f t="shared" si="3"/>
        <v>521760000</v>
      </c>
      <c r="Z45" s="430">
        <v>114240000</v>
      </c>
      <c r="AA45" s="429">
        <f t="shared" si="4"/>
        <v>0.15111111111111111</v>
      </c>
      <c r="AB45" s="333"/>
      <c r="AC45" s="344" t="s">
        <v>240</v>
      </c>
    </row>
    <row r="46" spans="1:29" s="39" customFormat="1" ht="161.25" hidden="1" customHeight="1" x14ac:dyDescent="0.2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0" t="s">
        <v>565</v>
      </c>
      <c r="R46" s="871" t="s">
        <v>566</v>
      </c>
      <c r="S46" s="869"/>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hidden="1" customHeight="1" x14ac:dyDescent="0.2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69"/>
      <c r="R47" s="869"/>
      <c r="S47" s="869"/>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hidden="1" customHeight="1" x14ac:dyDescent="0.2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2"/>
      <c r="R48" s="872"/>
      <c r="S48" s="902"/>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349999999999994" hidden="1" customHeight="1" x14ac:dyDescent="0.2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3" t="s">
        <v>97</v>
      </c>
      <c r="R49" s="873" t="s">
        <v>97</v>
      </c>
      <c r="S49" s="902"/>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349999999999994" hidden="1" customHeight="1" x14ac:dyDescent="0.2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x14ac:dyDescent="0.2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4" t="s">
        <v>567</v>
      </c>
      <c r="R51" s="875" t="s">
        <v>568</v>
      </c>
      <c r="S51" s="87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x14ac:dyDescent="0.2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2"/>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349999999999994" hidden="1" customHeight="1" x14ac:dyDescent="0.2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6"/>
      <c r="R53" s="876"/>
      <c r="S53" s="87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x14ac:dyDescent="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x14ac:dyDescent="0.2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x14ac:dyDescent="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x14ac:dyDescent="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x14ac:dyDescent="0.2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3"/>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x14ac:dyDescent="0.2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349999999999994" hidden="1" customHeight="1" x14ac:dyDescent="0.2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3" t="s">
        <v>579</v>
      </c>
      <c r="R60" s="894" t="s">
        <v>580</v>
      </c>
      <c r="S60" s="904"/>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x14ac:dyDescent="0.2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7" t="s">
        <v>303</v>
      </c>
      <c r="R61" s="878" t="s">
        <v>304</v>
      </c>
      <c r="S61" s="869"/>
      <c r="T61" s="332">
        <v>300000000</v>
      </c>
      <c r="U61" s="554">
        <v>300000000</v>
      </c>
      <c r="V61" s="617"/>
      <c r="W61" s="711">
        <v>300000000</v>
      </c>
      <c r="X61" s="430"/>
      <c r="Y61" s="430">
        <f t="shared" si="6"/>
        <v>300000000</v>
      </c>
      <c r="Z61" s="333"/>
      <c r="AA61" s="429">
        <f t="shared" si="5"/>
        <v>0</v>
      </c>
      <c r="AB61" s="333"/>
      <c r="AC61" s="333"/>
    </row>
    <row r="62" spans="1:29" s="39" customFormat="1" ht="70.349999999999994" hidden="1" customHeight="1" x14ac:dyDescent="0.2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0" t="s">
        <v>581</v>
      </c>
      <c r="R62" s="891" t="s">
        <v>580</v>
      </c>
      <c r="S62" s="876"/>
      <c r="T62" s="332">
        <v>1500000000</v>
      </c>
      <c r="U62" s="554">
        <v>1500000000</v>
      </c>
      <c r="V62" s="617"/>
      <c r="W62" s="711">
        <v>1500000000</v>
      </c>
      <c r="X62" s="430"/>
      <c r="Y62" s="430">
        <f t="shared" si="6"/>
        <v>1500000000</v>
      </c>
      <c r="Z62" s="333"/>
      <c r="AA62" s="429">
        <f t="shared" si="5"/>
        <v>0</v>
      </c>
      <c r="AB62" s="333"/>
      <c r="AC62" s="333"/>
    </row>
    <row r="63" spans="1:29" s="39" customFormat="1" ht="70.349999999999994" hidden="1" customHeight="1" x14ac:dyDescent="0.2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3" t="s">
        <v>97</v>
      </c>
      <c r="R63" s="873" t="s">
        <v>97</v>
      </c>
      <c r="S63" s="869"/>
      <c r="T63" s="332"/>
      <c r="U63" s="554"/>
      <c r="V63" s="554">
        <v>292893954</v>
      </c>
      <c r="W63" s="711">
        <f>+V63</f>
        <v>292893954</v>
      </c>
      <c r="X63" s="430">
        <v>292893954</v>
      </c>
      <c r="Y63" s="430"/>
      <c r="Z63" s="333"/>
      <c r="AA63" s="429"/>
      <c r="AB63" s="333"/>
      <c r="AC63" s="333"/>
    </row>
    <row r="64" spans="1:29" s="39" customFormat="1" ht="98.25" hidden="1" customHeight="1" x14ac:dyDescent="0.2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79" t="s">
        <v>582</v>
      </c>
      <c r="R64" s="880" t="s">
        <v>583</v>
      </c>
      <c r="S64" s="902"/>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349999999999994" hidden="1" customHeight="1" x14ac:dyDescent="0.2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1" t="s">
        <v>319</v>
      </c>
      <c r="R65" s="882" t="s">
        <v>320</v>
      </c>
      <c r="S65" s="869"/>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x14ac:dyDescent="0.2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2"/>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x14ac:dyDescent="0.2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x14ac:dyDescent="0.2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3" t="s">
        <v>588</v>
      </c>
      <c r="R68" s="884" t="s">
        <v>589</v>
      </c>
      <c r="S68" s="902"/>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349999999999994" hidden="1" customHeight="1" x14ac:dyDescent="0.2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2" t="s">
        <v>590</v>
      </c>
      <c r="R69" s="885" t="s">
        <v>591</v>
      </c>
      <c r="S69" s="902"/>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hidden="1" customHeight="1" x14ac:dyDescent="0.2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6"/>
      <c r="R70" s="887"/>
      <c r="S70" s="902"/>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x14ac:dyDescent="0.2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5"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349999999999994" hidden="1" customHeight="1" x14ac:dyDescent="0.2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x14ac:dyDescent="0.2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6" t="s">
        <v>595</v>
      </c>
      <c r="S73" s="852"/>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x14ac:dyDescent="0.2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349999999999994" hidden="1" customHeight="1" x14ac:dyDescent="0.2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1" t="s">
        <v>360</v>
      </c>
      <c r="Q75" s="822" t="s">
        <v>361</v>
      </c>
      <c r="R75" s="823" t="s">
        <v>362</v>
      </c>
      <c r="S75" s="906"/>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349999999999994" hidden="1" customHeight="1" x14ac:dyDescent="0.2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4"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hidden="1" customHeight="1" x14ac:dyDescent="0.2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349999999999994" hidden="1" customHeight="1" x14ac:dyDescent="0.25">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x14ac:dyDescent="0.2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x14ac:dyDescent="0.2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349999999999994" hidden="1" customHeight="1" x14ac:dyDescent="0.2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5" t="s">
        <v>607</v>
      </c>
      <c r="R81" s="896" t="s">
        <v>382</v>
      </c>
      <c r="S81" s="55"/>
      <c r="T81" s="332">
        <v>300000000</v>
      </c>
      <c r="U81" s="554">
        <v>300000000</v>
      </c>
      <c r="V81" s="617"/>
      <c r="W81" s="711">
        <v>300000000</v>
      </c>
      <c r="X81" s="430"/>
      <c r="Y81" s="430">
        <f t="shared" si="6"/>
        <v>300000000</v>
      </c>
      <c r="Z81" s="333"/>
      <c r="AA81" s="429">
        <f t="shared" si="5"/>
        <v>0</v>
      </c>
      <c r="AB81" s="333"/>
      <c r="AC81" s="333"/>
    </row>
    <row r="82" spans="1:45" s="39" customFormat="1" ht="70.349999999999994" hidden="1" customHeight="1" x14ac:dyDescent="0.25">
      <c r="A82" s="60" t="s">
        <v>221</v>
      </c>
      <c r="B82" s="55" t="s">
        <v>222</v>
      </c>
      <c r="C82" s="848">
        <v>2020110010206</v>
      </c>
      <c r="D82" s="849" t="s">
        <v>342</v>
      </c>
      <c r="E82" s="849" t="s">
        <v>351</v>
      </c>
      <c r="F82" s="30" t="s">
        <v>225</v>
      </c>
      <c r="G82" s="719" t="s">
        <v>68</v>
      </c>
      <c r="H82" s="720" t="s">
        <v>69</v>
      </c>
      <c r="I82" s="721" t="s">
        <v>309</v>
      </c>
      <c r="J82" s="720" t="s">
        <v>43</v>
      </c>
      <c r="K82" s="35" t="s">
        <v>43</v>
      </c>
      <c r="L82" s="35" t="s">
        <v>44</v>
      </c>
      <c r="M82" s="36" t="s">
        <v>45</v>
      </c>
      <c r="N82" s="31" t="s">
        <v>310</v>
      </c>
      <c r="O82" s="35" t="s">
        <v>344</v>
      </c>
      <c r="P82" s="108" t="s">
        <v>383</v>
      </c>
      <c r="Q82" s="850" t="s">
        <v>384</v>
      </c>
      <c r="R82" s="851" t="s">
        <v>385</v>
      </c>
      <c r="S82" s="852"/>
      <c r="T82" s="332">
        <v>8000000000</v>
      </c>
      <c r="U82" s="554">
        <v>8000000000</v>
      </c>
      <c r="V82" s="620">
        <v>-8000000000</v>
      </c>
      <c r="W82" s="430">
        <f>+U82+V82</f>
        <v>0</v>
      </c>
      <c r="X82" s="333"/>
      <c r="Y82" s="333">
        <f t="shared" si="6"/>
        <v>0</v>
      </c>
      <c r="Z82" s="333"/>
      <c r="AA82" s="333" t="e">
        <f t="shared" si="5"/>
        <v>#DIV/0!</v>
      </c>
      <c r="AB82" s="333"/>
      <c r="AC82" s="333"/>
    </row>
    <row r="83" spans="1:45" s="39" customFormat="1" ht="70.349999999999994" hidden="1" customHeight="1" x14ac:dyDescent="0.2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1" t="s">
        <v>387</v>
      </c>
      <c r="Q83" s="853" t="s">
        <v>388</v>
      </c>
      <c r="R83" s="854" t="s">
        <v>304</v>
      </c>
      <c r="S83" s="852"/>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x14ac:dyDescent="0.2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349999999999994" hidden="1" customHeight="1" x14ac:dyDescent="0.2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x14ac:dyDescent="0.2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x14ac:dyDescent="0.2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7" t="s">
        <v>97</v>
      </c>
      <c r="R87" s="817" t="s">
        <v>97</v>
      </c>
      <c r="S87" s="907" t="s">
        <v>97</v>
      </c>
      <c r="T87" s="354"/>
      <c r="U87" s="333"/>
      <c r="V87" s="554">
        <v>2000000000</v>
      </c>
      <c r="W87" s="430">
        <f>+V87</f>
        <v>2000000000</v>
      </c>
      <c r="X87" s="430">
        <v>2000000000</v>
      </c>
      <c r="Y87" s="430"/>
      <c r="Z87" s="333"/>
      <c r="AA87" s="429"/>
      <c r="AB87" s="333"/>
      <c r="AC87" s="333"/>
    </row>
    <row r="88" spans="1:45" s="39" customFormat="1" ht="70.349999999999994" hidden="1" customHeight="1" x14ac:dyDescent="0.2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x14ac:dyDescent="0.2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5"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349999999999994" hidden="1" customHeight="1" x14ac:dyDescent="0.2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4"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349999999999994" hidden="1" customHeight="1" x14ac:dyDescent="0.2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4" t="s">
        <v>97</v>
      </c>
      <c r="T91" s="332">
        <v>4000000000</v>
      </c>
      <c r="U91" s="554">
        <v>4000000000</v>
      </c>
      <c r="V91" s="617"/>
      <c r="W91" s="430">
        <v>4000000000</v>
      </c>
      <c r="X91" s="430"/>
      <c r="Y91" s="430">
        <f t="shared" si="7"/>
        <v>4000000000</v>
      </c>
      <c r="Z91" s="333"/>
      <c r="AA91" s="429">
        <f t="shared" si="5"/>
        <v>0</v>
      </c>
      <c r="AB91" s="333"/>
      <c r="AC91" s="333"/>
    </row>
    <row r="92" spans="1:45" s="39" customFormat="1" ht="70.349999999999994" hidden="1" customHeight="1" x14ac:dyDescent="0.2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4" t="s">
        <v>97</v>
      </c>
      <c r="T92" s="332">
        <v>500000000</v>
      </c>
      <c r="U92" s="554">
        <v>500000000</v>
      </c>
      <c r="V92" s="617"/>
      <c r="W92" s="430">
        <v>500000000</v>
      </c>
      <c r="X92" s="430"/>
      <c r="Y92" s="430">
        <f t="shared" si="7"/>
        <v>500000000</v>
      </c>
      <c r="Z92" s="333"/>
      <c r="AA92" s="429">
        <f t="shared" si="5"/>
        <v>0</v>
      </c>
      <c r="AB92" s="333"/>
      <c r="AC92" s="333"/>
    </row>
    <row r="93" spans="1:45" s="39" customFormat="1" ht="70.349999999999994" hidden="1" customHeight="1" x14ac:dyDescent="0.2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4"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349999999999994" hidden="1" customHeight="1" x14ac:dyDescent="0.2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3" t="s">
        <v>615</v>
      </c>
      <c r="R94" s="864">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x14ac:dyDescent="0.2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4"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349999999999994" customHeight="1" x14ac:dyDescent="0.2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4"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x14ac:dyDescent="0.2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4"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25">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4"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x14ac:dyDescent="0.25">
      <c r="A99" s="99" t="s">
        <v>221</v>
      </c>
      <c r="B99" s="20" t="s">
        <v>222</v>
      </c>
      <c r="C99" s="102">
        <v>2020110010206</v>
      </c>
      <c r="D99" s="99" t="s">
        <v>389</v>
      </c>
      <c r="E99" s="99" t="s">
        <v>410</v>
      </c>
      <c r="F99" s="99" t="s">
        <v>225</v>
      </c>
      <c r="G99" s="121"/>
      <c r="H99" s="121"/>
      <c r="I99" s="122"/>
      <c r="J99" s="123" t="s">
        <v>439</v>
      </c>
      <c r="K99" s="818" t="s">
        <v>440</v>
      </c>
      <c r="L99" s="819" t="s">
        <v>44</v>
      </c>
      <c r="M99" s="52" t="s">
        <v>131</v>
      </c>
      <c r="N99" s="820" t="s">
        <v>416</v>
      </c>
      <c r="O99" s="820" t="s">
        <v>391</v>
      </c>
      <c r="P99" s="114" t="s">
        <v>96</v>
      </c>
      <c r="Q99" s="788" t="s">
        <v>97</v>
      </c>
      <c r="R99" s="788" t="s">
        <v>97</v>
      </c>
      <c r="S99" s="824" t="s">
        <v>97</v>
      </c>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x14ac:dyDescent="0.25">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4" t="s">
        <v>97</v>
      </c>
      <c r="T100" s="332">
        <v>25838000</v>
      </c>
      <c r="U100" s="554">
        <v>25838000</v>
      </c>
      <c r="V100" s="617"/>
      <c r="W100" s="711">
        <v>25838000</v>
      </c>
      <c r="X100" s="430"/>
      <c r="Y100" s="430">
        <f t="shared" si="7"/>
        <v>25838000</v>
      </c>
      <c r="Z100" s="333"/>
      <c r="AA100" s="429">
        <f t="shared" si="5"/>
        <v>0</v>
      </c>
      <c r="AB100" s="430"/>
      <c r="AC100" s="333"/>
    </row>
    <row r="101" spans="1:45" s="39" customFormat="1" ht="70.349999999999994" customHeight="1" x14ac:dyDescent="0.2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4"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x14ac:dyDescent="0.25">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349999999999994" customHeight="1" x14ac:dyDescent="0.25">
      <c r="A103"/>
      <c r="B103"/>
      <c r="C103"/>
      <c r="D103" s="330"/>
      <c r="E103" s="330"/>
      <c r="F103"/>
      <c r="G103"/>
      <c r="H103"/>
      <c r="I103"/>
      <c r="J103"/>
      <c r="K103"/>
      <c r="L103"/>
      <c r="M103"/>
      <c r="N103"/>
      <c r="O103"/>
      <c r="P103"/>
      <c r="Q103" s="888"/>
      <c r="R103" s="888"/>
      <c r="S103" s="888"/>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x14ac:dyDescent="0.25">
      <c r="A104"/>
      <c r="B104"/>
      <c r="C104"/>
      <c r="D104" s="330"/>
      <c r="E104" s="330"/>
      <c r="F104"/>
      <c r="G104"/>
      <c r="H104"/>
      <c r="I104"/>
      <c r="J104"/>
      <c r="K104"/>
      <c r="L104"/>
      <c r="M104"/>
      <c r="N104"/>
      <c r="O104"/>
      <c r="P104"/>
      <c r="Q104" s="888"/>
      <c r="R104" s="888"/>
      <c r="S104" s="888"/>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x14ac:dyDescent="0.25">
      <c r="A105"/>
      <c r="B105"/>
      <c r="C105"/>
      <c r="D105" s="330"/>
      <c r="E105" s="330"/>
      <c r="F105"/>
      <c r="G105"/>
      <c r="H105"/>
      <c r="I105"/>
      <c r="J105"/>
      <c r="K105"/>
      <c r="L105"/>
      <c r="M105"/>
      <c r="N105"/>
      <c r="O105"/>
      <c r="P105"/>
      <c r="Q105" s="888"/>
      <c r="R105" s="888"/>
      <c r="S105" s="888"/>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x14ac:dyDescent="0.25">
      <c r="A106"/>
      <c r="B106"/>
      <c r="C106"/>
      <c r="D106" s="330"/>
      <c r="E106" s="330"/>
      <c r="F106"/>
      <c r="G106"/>
      <c r="H106"/>
      <c r="I106"/>
      <c r="J106"/>
      <c r="K106"/>
      <c r="L106"/>
      <c r="M106"/>
      <c r="N106"/>
      <c r="O106"/>
      <c r="P106"/>
      <c r="Q106" s="888"/>
      <c r="R106" s="888"/>
      <c r="S106" s="888"/>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25">
      <c r="A107"/>
      <c r="B107"/>
      <c r="C107"/>
      <c r="D107" s="330"/>
      <c r="E107" s="330"/>
      <c r="F107"/>
      <c r="G107"/>
      <c r="H107"/>
      <c r="I107"/>
      <c r="J107"/>
      <c r="K107"/>
      <c r="L107"/>
      <c r="M107"/>
      <c r="N107"/>
      <c r="O107"/>
      <c r="P107"/>
      <c r="Q107" s="888"/>
      <c r="R107" s="888"/>
      <c r="S107" s="888"/>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25">
      <c r="A108"/>
      <c r="B108"/>
      <c r="C108"/>
      <c r="D108" s="330"/>
      <c r="E108" s="330"/>
      <c r="F108"/>
      <c r="G108"/>
      <c r="H108"/>
      <c r="I108"/>
      <c r="J108"/>
      <c r="K108"/>
      <c r="L108"/>
      <c r="M108"/>
      <c r="N108"/>
      <c r="O108"/>
      <c r="P108"/>
      <c r="Q108" s="888"/>
      <c r="R108" s="888"/>
      <c r="S108" s="888"/>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x14ac:dyDescent="0.25">
      <c r="A109"/>
      <c r="B109"/>
      <c r="C109"/>
      <c r="D109" s="330"/>
      <c r="E109" s="330"/>
      <c r="F109"/>
      <c r="G109"/>
      <c r="H109"/>
      <c r="I109"/>
      <c r="J109"/>
      <c r="K109"/>
      <c r="L109"/>
      <c r="M109"/>
      <c r="N109"/>
      <c r="O109"/>
      <c r="P109"/>
      <c r="Q109" s="888"/>
      <c r="R109" s="888"/>
      <c r="S109" s="888"/>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25">
      <c r="A110"/>
      <c r="B110"/>
      <c r="C110"/>
      <c r="D110" s="330"/>
      <c r="E110" s="330"/>
      <c r="F110"/>
      <c r="G110"/>
      <c r="H110"/>
      <c r="I110"/>
      <c r="J110"/>
      <c r="K110"/>
      <c r="L110"/>
      <c r="M110"/>
      <c r="N110"/>
      <c r="O110"/>
      <c r="P110"/>
      <c r="Q110" s="888"/>
      <c r="R110" s="888"/>
      <c r="S110" s="888"/>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25">
      <c r="O111"/>
      <c r="X111" s="442"/>
      <c r="Z111" s="443"/>
      <c r="AB111" s="3"/>
    </row>
    <row r="112" spans="1:45" x14ac:dyDescent="0.25">
      <c r="O112"/>
      <c r="X112" s="442"/>
      <c r="Z112" s="443"/>
      <c r="AB112" s="3"/>
    </row>
    <row r="113" spans="1:45" s="127" customFormat="1" x14ac:dyDescent="0.25">
      <c r="A113"/>
      <c r="B113"/>
      <c r="C113"/>
      <c r="D113" s="330"/>
      <c r="E113" s="330"/>
      <c r="F113"/>
      <c r="G113"/>
      <c r="H113"/>
      <c r="I113"/>
      <c r="J113"/>
      <c r="K113"/>
      <c r="L113"/>
      <c r="M113"/>
      <c r="N113"/>
      <c r="O113"/>
      <c r="P113"/>
      <c r="Q113" s="888"/>
      <c r="R113" s="888"/>
      <c r="S113" s="888"/>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25">
      <c r="O114"/>
      <c r="X114" s="442"/>
      <c r="Z114" s="443"/>
    </row>
    <row r="115" spans="1:45" x14ac:dyDescent="0.25">
      <c r="O115"/>
      <c r="X115" s="442"/>
      <c r="Z115" s="443"/>
    </row>
    <row r="116" spans="1:45" x14ac:dyDescent="0.25">
      <c r="O116"/>
      <c r="X116" s="442"/>
      <c r="Z116" s="443"/>
    </row>
    <row r="117" spans="1:45" x14ac:dyDescent="0.25">
      <c r="O117"/>
      <c r="X117" s="442"/>
      <c r="Z117" s="443"/>
    </row>
    <row r="118" spans="1:45" x14ac:dyDescent="0.25">
      <c r="O118"/>
      <c r="X118" s="442"/>
      <c r="Z118" s="443"/>
    </row>
    <row r="119" spans="1:45" x14ac:dyDescent="0.25">
      <c r="O119"/>
      <c r="X119" s="442"/>
      <c r="Z119" s="443"/>
    </row>
    <row r="120" spans="1:45" x14ac:dyDescent="0.25">
      <c r="O120"/>
      <c r="X120" s="442"/>
      <c r="Z120" s="443"/>
    </row>
    <row r="121" spans="1:45" x14ac:dyDescent="0.25">
      <c r="O121"/>
      <c r="X121" s="442"/>
      <c r="Z121" s="443"/>
    </row>
    <row r="122" spans="1:45" x14ac:dyDescent="0.25">
      <c r="O122"/>
      <c r="X122" s="442"/>
      <c r="Z122" s="443"/>
    </row>
    <row r="123" spans="1:45" x14ac:dyDescent="0.25">
      <c r="O123"/>
      <c r="X123" s="442"/>
      <c r="Z123" s="443"/>
    </row>
    <row r="124" spans="1:45" x14ac:dyDescent="0.25">
      <c r="O124"/>
      <c r="X124" s="442"/>
    </row>
    <row r="125" spans="1:45" x14ac:dyDescent="0.25">
      <c r="O125"/>
      <c r="X125" s="442"/>
    </row>
    <row r="126" spans="1:45" x14ac:dyDescent="0.25">
      <c r="O126"/>
      <c r="X126" s="442"/>
    </row>
    <row r="127" spans="1:45" x14ac:dyDescent="0.25">
      <c r="O127"/>
      <c r="X127" s="442"/>
    </row>
    <row r="128" spans="1:45" x14ac:dyDescent="0.25">
      <c r="O128"/>
      <c r="X128" s="442"/>
    </row>
    <row r="129" spans="15:24" x14ac:dyDescent="0.25">
      <c r="O129"/>
      <c r="X129" s="442"/>
    </row>
    <row r="130" spans="15:24" x14ac:dyDescent="0.25">
      <c r="O130"/>
      <c r="X130" s="442"/>
    </row>
    <row r="131" spans="15:24" x14ac:dyDescent="0.25">
      <c r="O131"/>
      <c r="X131" s="442"/>
    </row>
    <row r="132" spans="15:24" x14ac:dyDescent="0.25">
      <c r="O132"/>
      <c r="X132" s="442"/>
    </row>
    <row r="133" spans="15:24" x14ac:dyDescent="0.25">
      <c r="O133"/>
      <c r="X133" s="442"/>
    </row>
    <row r="134" spans="15:24" x14ac:dyDescent="0.25">
      <c r="O134"/>
      <c r="X134" s="442"/>
    </row>
    <row r="135" spans="15:24" x14ac:dyDescent="0.25">
      <c r="O135"/>
      <c r="X135" s="442"/>
    </row>
    <row r="136" spans="15:24" x14ac:dyDescent="0.25">
      <c r="O136"/>
      <c r="X136" s="442"/>
    </row>
    <row r="137" spans="15:24" x14ac:dyDescent="0.25">
      <c r="O137"/>
      <c r="X137" s="442"/>
    </row>
    <row r="138" spans="15:24" x14ac:dyDescent="0.25">
      <c r="O138"/>
      <c r="X138" s="442"/>
    </row>
    <row r="139" spans="15:24" x14ac:dyDescent="0.25">
      <c r="O139"/>
      <c r="X139" s="442"/>
    </row>
    <row r="140" spans="15:24" x14ac:dyDescent="0.25">
      <c r="O140"/>
      <c r="X140" s="442"/>
    </row>
    <row r="141" spans="15:24" x14ac:dyDescent="0.25">
      <c r="O141"/>
      <c r="X141" s="442"/>
    </row>
    <row r="142" spans="15:24" x14ac:dyDescent="0.25">
      <c r="O142"/>
      <c r="X142" s="442"/>
    </row>
    <row r="143" spans="15:24" x14ac:dyDescent="0.25">
      <c r="O143"/>
      <c r="X143" s="442"/>
    </row>
    <row r="144" spans="15:24" x14ac:dyDescent="0.25">
      <c r="O144"/>
      <c r="X144" s="442"/>
    </row>
    <row r="145" spans="15:24" x14ac:dyDescent="0.25">
      <c r="O145"/>
      <c r="X145" s="442"/>
    </row>
    <row r="146" spans="15:24" x14ac:dyDescent="0.25">
      <c r="O146"/>
      <c r="X146" s="442"/>
    </row>
    <row r="147" spans="15:24" x14ac:dyDescent="0.25">
      <c r="O147"/>
      <c r="X147" s="442"/>
    </row>
    <row r="148" spans="15:24" x14ac:dyDescent="0.25">
      <c r="O148"/>
      <c r="X148" s="442"/>
    </row>
    <row r="149" spans="15:24" x14ac:dyDescent="0.25">
      <c r="O149"/>
      <c r="X149" s="442"/>
    </row>
    <row r="150" spans="15:24" x14ac:dyDescent="0.25">
      <c r="O150"/>
      <c r="X150" s="442"/>
    </row>
    <row r="151" spans="15:24" x14ac:dyDescent="0.25">
      <c r="O151"/>
      <c r="X151" s="442"/>
    </row>
    <row r="152" spans="15:24" x14ac:dyDescent="0.25">
      <c r="O152"/>
      <c r="X152" s="442"/>
    </row>
    <row r="153" spans="15:24" x14ac:dyDescent="0.25">
      <c r="O153"/>
      <c r="X153" s="442"/>
    </row>
    <row r="154" spans="15:24" x14ac:dyDescent="0.25">
      <c r="O154"/>
      <c r="X154" s="442"/>
    </row>
    <row r="155" spans="15:24" x14ac:dyDescent="0.25">
      <c r="O155"/>
      <c r="X155" s="442"/>
    </row>
    <row r="156" spans="15:24" x14ac:dyDescent="0.25">
      <c r="O156"/>
      <c r="X156" s="442"/>
    </row>
    <row r="157" spans="15:24" x14ac:dyDescent="0.25">
      <c r="O157"/>
      <c r="X157" s="442"/>
    </row>
    <row r="158" spans="15:24" x14ac:dyDescent="0.25">
      <c r="O158"/>
      <c r="X158" s="442"/>
    </row>
    <row r="159" spans="15:24" x14ac:dyDescent="0.25">
      <c r="O159"/>
      <c r="X159" s="442"/>
    </row>
    <row r="160" spans="15:24" x14ac:dyDescent="0.25">
      <c r="O160"/>
      <c r="X160" s="442"/>
    </row>
    <row r="161" spans="15:24" x14ac:dyDescent="0.25">
      <c r="O161"/>
      <c r="X161" s="442"/>
    </row>
    <row r="162" spans="15:24" x14ac:dyDescent="0.25">
      <c r="O162"/>
      <c r="X162" s="442"/>
    </row>
    <row r="163" spans="15:24" x14ac:dyDescent="0.25">
      <c r="O163"/>
      <c r="X163" s="442"/>
    </row>
    <row r="164" spans="15:24" x14ac:dyDescent="0.25">
      <c r="O164"/>
      <c r="X164" s="442"/>
    </row>
    <row r="165" spans="15:24" x14ac:dyDescent="0.25">
      <c r="O165"/>
      <c r="X165" s="442"/>
    </row>
    <row r="166" spans="15:24" x14ac:dyDescent="0.25">
      <c r="O166"/>
      <c r="X166" s="442"/>
    </row>
    <row r="167" spans="15:24" x14ac:dyDescent="0.25">
      <c r="O167"/>
      <c r="X167" s="442"/>
    </row>
    <row r="168" spans="15:24" x14ac:dyDescent="0.25">
      <c r="O168"/>
      <c r="X168" s="442"/>
    </row>
    <row r="169" spans="15:24" x14ac:dyDescent="0.25">
      <c r="O169"/>
      <c r="X169" s="442"/>
    </row>
    <row r="170" spans="15:24" x14ac:dyDescent="0.25">
      <c r="O170"/>
      <c r="X170" s="442"/>
    </row>
    <row r="171" spans="15:24" x14ac:dyDescent="0.25">
      <c r="O171"/>
      <c r="X171" s="442"/>
    </row>
    <row r="172" spans="15:24" x14ac:dyDescent="0.25">
      <c r="O172"/>
      <c r="X172" s="442"/>
    </row>
    <row r="173" spans="15:24" x14ac:dyDescent="0.25">
      <c r="O173"/>
      <c r="X173" s="442"/>
    </row>
    <row r="174" spans="15:24" x14ac:dyDescent="0.25">
      <c r="O174"/>
      <c r="X174" s="442"/>
    </row>
    <row r="175" spans="15:24" x14ac:dyDescent="0.25">
      <c r="O175"/>
      <c r="X175" s="442"/>
    </row>
    <row r="176" spans="15:24" x14ac:dyDescent="0.25">
      <c r="O176"/>
      <c r="X176" s="442"/>
    </row>
    <row r="177" spans="15:24" x14ac:dyDescent="0.25">
      <c r="O177"/>
      <c r="X177" s="442"/>
    </row>
    <row r="178" spans="15:24" x14ac:dyDescent="0.25">
      <c r="O178"/>
      <c r="X178" s="442"/>
    </row>
    <row r="179" spans="15:24" x14ac:dyDescent="0.25">
      <c r="O179"/>
      <c r="X179" s="442"/>
    </row>
    <row r="180" spans="15:24" x14ac:dyDescent="0.25">
      <c r="O180"/>
      <c r="X180" s="442"/>
    </row>
    <row r="181" spans="15:24" x14ac:dyDescent="0.25">
      <c r="O181"/>
      <c r="X181" s="442"/>
    </row>
    <row r="182" spans="15:24" x14ac:dyDescent="0.25">
      <c r="O182"/>
      <c r="X182" s="442"/>
    </row>
    <row r="183" spans="15:24" x14ac:dyDescent="0.25">
      <c r="O183"/>
      <c r="X183" s="442"/>
    </row>
    <row r="184" spans="15:24" x14ac:dyDescent="0.25">
      <c r="O184"/>
      <c r="X184" s="442"/>
    </row>
    <row r="185" spans="15:24" x14ac:dyDescent="0.25">
      <c r="O185"/>
      <c r="X185" s="442"/>
    </row>
    <row r="186" spans="15:24" x14ac:dyDescent="0.25">
      <c r="O186"/>
      <c r="X186" s="442"/>
    </row>
    <row r="187" spans="15:24" x14ac:dyDescent="0.25">
      <c r="O187"/>
      <c r="X187" s="442"/>
    </row>
    <row r="188" spans="15:24" x14ac:dyDescent="0.25">
      <c r="O188"/>
      <c r="X188" s="442"/>
    </row>
    <row r="189" spans="15:24" x14ac:dyDescent="0.25">
      <c r="O189"/>
      <c r="X189" s="442"/>
    </row>
    <row r="190" spans="15:24" x14ac:dyDescent="0.25">
      <c r="O190"/>
      <c r="X190" s="442"/>
    </row>
    <row r="191" spans="15:24" x14ac:dyDescent="0.25">
      <c r="O191"/>
      <c r="X191" s="442"/>
    </row>
    <row r="192" spans="15:24" x14ac:dyDescent="0.25">
      <c r="O192"/>
      <c r="X192" s="442"/>
    </row>
    <row r="193" spans="15:24" x14ac:dyDescent="0.25">
      <c r="O193"/>
      <c r="X193" s="442"/>
    </row>
    <row r="194" spans="15:24" x14ac:dyDescent="0.25">
      <c r="O194"/>
      <c r="X194" s="442"/>
    </row>
    <row r="195" spans="15:24" x14ac:dyDescent="0.25">
      <c r="O195"/>
      <c r="X195" s="442"/>
    </row>
    <row r="196" spans="15:24" x14ac:dyDescent="0.25">
      <c r="O196"/>
      <c r="X196" s="442"/>
    </row>
    <row r="197" spans="15:24" x14ac:dyDescent="0.25">
      <c r="O197"/>
      <c r="X197" s="442"/>
    </row>
    <row r="198" spans="15:24" x14ac:dyDescent="0.25">
      <c r="O198"/>
      <c r="X198" s="442"/>
    </row>
    <row r="199" spans="15:24" x14ac:dyDescent="0.25">
      <c r="O199"/>
      <c r="X199" s="442"/>
    </row>
    <row r="200" spans="15:24" x14ac:dyDescent="0.25">
      <c r="O200"/>
      <c r="X200" s="442"/>
    </row>
    <row r="201" spans="15:24" x14ac:dyDescent="0.25">
      <c r="O201"/>
      <c r="X201" s="442"/>
    </row>
    <row r="202" spans="15:24" x14ac:dyDescent="0.25">
      <c r="O202"/>
      <c r="X202" s="442"/>
    </row>
    <row r="203" spans="15:24" x14ac:dyDescent="0.25">
      <c r="O203"/>
      <c r="X203" s="442"/>
    </row>
    <row r="204" spans="15:24" x14ac:dyDescent="0.25">
      <c r="O204"/>
      <c r="X204" s="442"/>
    </row>
    <row r="205" spans="15:24" x14ac:dyDescent="0.25">
      <c r="O205"/>
      <c r="X205" s="442"/>
    </row>
    <row r="206" spans="15:24" x14ac:dyDescent="0.25">
      <c r="O206"/>
      <c r="X206" s="442"/>
    </row>
    <row r="207" spans="15:24" x14ac:dyDescent="0.25">
      <c r="O207"/>
      <c r="X207" s="442"/>
    </row>
    <row r="208" spans="15:24" x14ac:dyDescent="0.25">
      <c r="O208"/>
      <c r="X208" s="442"/>
    </row>
    <row r="209" spans="15:24" x14ac:dyDescent="0.25">
      <c r="O209"/>
      <c r="X209" s="442"/>
    </row>
    <row r="210" spans="15:24" x14ac:dyDescent="0.25">
      <c r="O210"/>
      <c r="X210" s="442"/>
    </row>
    <row r="211" spans="15:24" x14ac:dyDescent="0.25">
      <c r="O211"/>
      <c r="X211" s="442"/>
    </row>
    <row r="212" spans="15:24" x14ac:dyDescent="0.25">
      <c r="O212"/>
      <c r="X212" s="442"/>
    </row>
    <row r="213" spans="15:24" x14ac:dyDescent="0.25">
      <c r="O213"/>
    </row>
    <row r="214" spans="15:24" x14ac:dyDescent="0.25">
      <c r="O214"/>
    </row>
    <row r="215" spans="15:24" x14ac:dyDescent="0.25">
      <c r="O215"/>
    </row>
    <row r="216" spans="15:24" x14ac:dyDescent="0.25">
      <c r="O216"/>
    </row>
    <row r="217" spans="15:24" x14ac:dyDescent="0.25">
      <c r="O217"/>
    </row>
    <row r="218" spans="15:24" x14ac:dyDescent="0.25">
      <c r="O218"/>
    </row>
    <row r="219" spans="15:24" x14ac:dyDescent="0.25">
      <c r="O219"/>
    </row>
    <row r="220" spans="15:24" x14ac:dyDescent="0.25">
      <c r="O220"/>
    </row>
    <row r="221" spans="15:24" x14ac:dyDescent="0.25">
      <c r="O221"/>
    </row>
    <row r="222" spans="15:24" x14ac:dyDescent="0.25">
      <c r="O222"/>
    </row>
    <row r="223" spans="15:24" x14ac:dyDescent="0.25">
      <c r="O223"/>
    </row>
    <row r="224" spans="15:24" x14ac:dyDescent="0.25">
      <c r="O224"/>
    </row>
    <row r="225" spans="15:15" x14ac:dyDescent="0.25">
      <c r="O225"/>
    </row>
    <row r="226" spans="15:15" x14ac:dyDescent="0.25">
      <c r="O226"/>
    </row>
    <row r="227" spans="15:15" x14ac:dyDescent="0.25">
      <c r="O227"/>
    </row>
    <row r="228" spans="15:15" x14ac:dyDescent="0.25">
      <c r="O228"/>
    </row>
    <row r="229" spans="15:15" x14ac:dyDescent="0.25">
      <c r="O229"/>
    </row>
    <row r="230" spans="15:15" x14ac:dyDescent="0.25">
      <c r="O230"/>
    </row>
    <row r="231" spans="15:15" x14ac:dyDescent="0.25">
      <c r="O231"/>
    </row>
    <row r="232" spans="15:15" x14ac:dyDescent="0.25">
      <c r="O232"/>
    </row>
    <row r="233" spans="15:15" x14ac:dyDescent="0.25">
      <c r="O233"/>
    </row>
    <row r="234" spans="15:15" x14ac:dyDescent="0.25">
      <c r="O234"/>
    </row>
    <row r="235" spans="15:15" x14ac:dyDescent="0.25">
      <c r="O235"/>
    </row>
    <row r="236" spans="15:15" x14ac:dyDescent="0.25">
      <c r="O236"/>
    </row>
    <row r="237" spans="15:15" x14ac:dyDescent="0.25">
      <c r="O237"/>
    </row>
    <row r="238" spans="15:15" x14ac:dyDescent="0.25">
      <c r="O238"/>
    </row>
    <row r="239" spans="15:15" x14ac:dyDescent="0.25">
      <c r="O239"/>
    </row>
    <row r="240" spans="15:15" x14ac:dyDescent="0.25">
      <c r="O240"/>
    </row>
    <row r="241" spans="15:15" x14ac:dyDescent="0.25">
      <c r="O241"/>
    </row>
    <row r="242" spans="15:15" x14ac:dyDescent="0.25">
      <c r="O242"/>
    </row>
    <row r="243" spans="15:15" x14ac:dyDescent="0.25">
      <c r="O243"/>
    </row>
    <row r="244" spans="15:15" x14ac:dyDescent="0.25">
      <c r="O244"/>
    </row>
    <row r="245" spans="15:15" x14ac:dyDescent="0.25">
      <c r="O245"/>
    </row>
    <row r="246" spans="15:15" x14ac:dyDescent="0.25">
      <c r="O246"/>
    </row>
    <row r="247" spans="15:15" x14ac:dyDescent="0.25">
      <c r="O247"/>
    </row>
    <row r="248" spans="15:15" x14ac:dyDescent="0.25">
      <c r="O248"/>
    </row>
    <row r="249" spans="15:15" x14ac:dyDescent="0.25">
      <c r="O249"/>
    </row>
    <row r="250" spans="15:15" x14ac:dyDescent="0.25">
      <c r="O250"/>
    </row>
    <row r="251" spans="15:15" x14ac:dyDescent="0.25">
      <c r="O251"/>
    </row>
    <row r="252" spans="15:15" x14ac:dyDescent="0.25">
      <c r="O252"/>
    </row>
    <row r="253" spans="15:15" x14ac:dyDescent="0.25">
      <c r="O253"/>
    </row>
    <row r="254" spans="15:15" x14ac:dyDescent="0.25">
      <c r="O254"/>
    </row>
    <row r="255" spans="15:15" x14ac:dyDescent="0.25">
      <c r="O255"/>
    </row>
    <row r="256" spans="15: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row r="264" spans="15:15" x14ac:dyDescent="0.25">
      <c r="O264"/>
    </row>
    <row r="265" spans="15:15" x14ac:dyDescent="0.25">
      <c r="O265"/>
    </row>
    <row r="266" spans="15:15" x14ac:dyDescent="0.25">
      <c r="O266"/>
    </row>
    <row r="267" spans="15:15" x14ac:dyDescent="0.25">
      <c r="O267"/>
    </row>
    <row r="268" spans="15:15" x14ac:dyDescent="0.25">
      <c r="O268"/>
    </row>
    <row r="269" spans="15:15" x14ac:dyDescent="0.25">
      <c r="O269"/>
    </row>
    <row r="270" spans="15:15" x14ac:dyDescent="0.25">
      <c r="O270"/>
    </row>
    <row r="271" spans="15:15" x14ac:dyDescent="0.25">
      <c r="O271"/>
    </row>
    <row r="272" spans="15:15" x14ac:dyDescent="0.25">
      <c r="O272"/>
    </row>
    <row r="273" spans="15:15" x14ac:dyDescent="0.25">
      <c r="O273"/>
    </row>
    <row r="274" spans="15:15" x14ac:dyDescent="0.25">
      <c r="O274"/>
    </row>
    <row r="275" spans="15:15" x14ac:dyDescent="0.25">
      <c r="O275"/>
    </row>
    <row r="276" spans="15:15" x14ac:dyDescent="0.25">
      <c r="O276"/>
    </row>
    <row r="277" spans="15:15" x14ac:dyDescent="0.25">
      <c r="O277"/>
    </row>
    <row r="278" spans="15:15" x14ac:dyDescent="0.25">
      <c r="O278"/>
    </row>
    <row r="279" spans="15:15" x14ac:dyDescent="0.25">
      <c r="O279"/>
    </row>
    <row r="280" spans="15:15" x14ac:dyDescent="0.25">
      <c r="O280"/>
    </row>
    <row r="281" spans="15:15" x14ac:dyDescent="0.25">
      <c r="O281"/>
    </row>
    <row r="282" spans="15:15" x14ac:dyDescent="0.25">
      <c r="O282"/>
    </row>
    <row r="283" spans="15:15" x14ac:dyDescent="0.25">
      <c r="O283"/>
    </row>
    <row r="284" spans="15:15" x14ac:dyDescent="0.25">
      <c r="O284"/>
    </row>
    <row r="285" spans="15:15" x14ac:dyDescent="0.25">
      <c r="O285"/>
    </row>
    <row r="286" spans="15:15" x14ac:dyDescent="0.25">
      <c r="O286"/>
    </row>
    <row r="287" spans="15:15" x14ac:dyDescent="0.25">
      <c r="O287"/>
    </row>
    <row r="288" spans="15:15" x14ac:dyDescent="0.25">
      <c r="O288"/>
    </row>
    <row r="289" spans="15:15" x14ac:dyDescent="0.25">
      <c r="O289"/>
    </row>
    <row r="290" spans="15:15" x14ac:dyDescent="0.25">
      <c r="O290"/>
    </row>
    <row r="291" spans="15:15" x14ac:dyDescent="0.25">
      <c r="O291"/>
    </row>
    <row r="292" spans="15:15" x14ac:dyDescent="0.25">
      <c r="O292"/>
    </row>
    <row r="293" spans="15:15" x14ac:dyDescent="0.25">
      <c r="O293"/>
    </row>
    <row r="294" spans="15:15" x14ac:dyDescent="0.25">
      <c r="O294"/>
    </row>
    <row r="295" spans="15:15" x14ac:dyDescent="0.25">
      <c r="O295"/>
    </row>
    <row r="296" spans="15:15" x14ac:dyDescent="0.25">
      <c r="O296"/>
    </row>
    <row r="297" spans="15:15" x14ac:dyDescent="0.25">
      <c r="O297"/>
    </row>
    <row r="298" spans="15:15" x14ac:dyDescent="0.25">
      <c r="O298"/>
    </row>
    <row r="299" spans="15:15" x14ac:dyDescent="0.25">
      <c r="O299"/>
    </row>
    <row r="300" spans="15:15" x14ac:dyDescent="0.25">
      <c r="O300"/>
    </row>
    <row r="301" spans="15:15" x14ac:dyDescent="0.25">
      <c r="O301"/>
    </row>
    <row r="302" spans="15:15" x14ac:dyDescent="0.25">
      <c r="O302"/>
    </row>
    <row r="303" spans="15:15" x14ac:dyDescent="0.25">
      <c r="O303"/>
    </row>
    <row r="304" spans="15:15" x14ac:dyDescent="0.25">
      <c r="O304"/>
    </row>
    <row r="305" spans="15:15" x14ac:dyDescent="0.25">
      <c r="O305"/>
    </row>
    <row r="306" spans="15:15" x14ac:dyDescent="0.25">
      <c r="O306"/>
    </row>
    <row r="307" spans="15:15" x14ac:dyDescent="0.25">
      <c r="O307"/>
    </row>
    <row r="308" spans="15:15" x14ac:dyDescent="0.25">
      <c r="O308"/>
    </row>
    <row r="309" spans="15:15" x14ac:dyDescent="0.25">
      <c r="O309"/>
    </row>
    <row r="310" spans="15:15" x14ac:dyDescent="0.25">
      <c r="O310"/>
    </row>
    <row r="311" spans="15:15" x14ac:dyDescent="0.25">
      <c r="O311"/>
    </row>
    <row r="312" spans="15:15" x14ac:dyDescent="0.25">
      <c r="O312"/>
    </row>
    <row r="313" spans="15:15" x14ac:dyDescent="0.25">
      <c r="O313"/>
    </row>
    <row r="314" spans="15:15" x14ac:dyDescent="0.25">
      <c r="O314"/>
    </row>
    <row r="315" spans="15:15" x14ac:dyDescent="0.25">
      <c r="O315"/>
    </row>
    <row r="316" spans="15:15" x14ac:dyDescent="0.25">
      <c r="O316"/>
    </row>
    <row r="317" spans="15:15" x14ac:dyDescent="0.25">
      <c r="O317"/>
    </row>
    <row r="318" spans="15:15" x14ac:dyDescent="0.25">
      <c r="O318"/>
    </row>
    <row r="319" spans="15:15" x14ac:dyDescent="0.25">
      <c r="O319"/>
    </row>
    <row r="320" spans="15:15" x14ac:dyDescent="0.25">
      <c r="O320"/>
    </row>
    <row r="321" spans="15:15" x14ac:dyDescent="0.25">
      <c r="O321"/>
    </row>
    <row r="322" spans="15:15" x14ac:dyDescent="0.25">
      <c r="O322"/>
    </row>
    <row r="323" spans="15:15" x14ac:dyDescent="0.25">
      <c r="O323"/>
    </row>
    <row r="324" spans="15:15" x14ac:dyDescent="0.25">
      <c r="O324"/>
    </row>
    <row r="325" spans="15:15" x14ac:dyDescent="0.25">
      <c r="O325"/>
    </row>
    <row r="326" spans="15:15" x14ac:dyDescent="0.25">
      <c r="O326"/>
    </row>
    <row r="327" spans="15:15" x14ac:dyDescent="0.25">
      <c r="O327"/>
    </row>
    <row r="328" spans="15:15" x14ac:dyDescent="0.25">
      <c r="O328"/>
    </row>
    <row r="329" spans="15:15" x14ac:dyDescent="0.25">
      <c r="O329"/>
    </row>
    <row r="330" spans="15:15" x14ac:dyDescent="0.25">
      <c r="O330"/>
    </row>
    <row r="331" spans="15:15" x14ac:dyDescent="0.25">
      <c r="O331"/>
    </row>
    <row r="332" spans="15:15" x14ac:dyDescent="0.25">
      <c r="O332"/>
    </row>
    <row r="333" spans="15:15" x14ac:dyDescent="0.25">
      <c r="O333"/>
    </row>
    <row r="334" spans="15:15" x14ac:dyDescent="0.25">
      <c r="O334"/>
    </row>
    <row r="335" spans="15:15" x14ac:dyDescent="0.25">
      <c r="O335"/>
    </row>
    <row r="336" spans="15:15" x14ac:dyDescent="0.25">
      <c r="O336"/>
    </row>
  </sheetData>
  <autoFilter ref="A5:AC102" xr:uid="{00000000-0009-0000-0000-000005000000}">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xr:uid="{00000000-0002-0000-0500-000000000000}">
      <formula1>$E$381:$E$392</formula1>
    </dataValidation>
    <dataValidation type="list" allowBlank="1" showInputMessage="1" showErrorMessage="1" sqref="C87" xr:uid="{00000000-0002-0000-0500-000001000000}">
      <formula1>$C$346:$C$350</formula1>
    </dataValidation>
    <dataValidation type="list" allowBlank="1" showInputMessage="1" showErrorMessage="1" sqref="B87" xr:uid="{00000000-0002-0000-0500-000002000000}">
      <formula1>$B$346:$B$350</formula1>
    </dataValidation>
    <dataValidation type="list" allowBlank="1" showInputMessage="1" showErrorMessage="1" sqref="A87" xr:uid="{00000000-0002-0000-0500-000003000000}">
      <formula1>$A$346:$A$349</formula1>
    </dataValidation>
    <dataValidation type="list" allowBlank="1" showInputMessage="1" showErrorMessage="1" sqref="C63" xr:uid="{00000000-0002-0000-0500-000004000000}">
      <formula1>$C$347:$C$351</formula1>
    </dataValidation>
    <dataValidation type="list" allowBlank="1" showInputMessage="1" showErrorMessage="1" sqref="B63" xr:uid="{00000000-0002-0000-0500-000005000000}">
      <formula1>$B$347:$B$351</formula1>
    </dataValidation>
    <dataValidation type="list" allowBlank="1" showInputMessage="1" showErrorMessage="1" sqref="A63" xr:uid="{00000000-0002-0000-0500-000006000000}">
      <formula1>$A$347:$A$350</formula1>
    </dataValidation>
    <dataValidation type="list" allowBlank="1" showInputMessage="1" showErrorMessage="1" sqref="C44" xr:uid="{00000000-0002-0000-0500-000007000000}">
      <formula1>$C$348:$C$352</formula1>
    </dataValidation>
    <dataValidation type="list" allowBlank="1" showInputMessage="1" showErrorMessage="1" sqref="B44" xr:uid="{00000000-0002-0000-0500-000008000000}">
      <formula1>$B$348:$B$352</formula1>
    </dataValidation>
    <dataValidation type="list" allowBlank="1" showInputMessage="1" showErrorMessage="1" sqref="A44" xr:uid="{00000000-0002-0000-0500-000009000000}">
      <formula1>$A$348:$A$351</formula1>
    </dataValidation>
    <dataValidation type="list" allowBlank="1" showInputMessage="1" showErrorMessage="1" sqref="D84 D90:D93" xr:uid="{00000000-0002-0000-0500-00000A000000}">
      <formula1>$E$365:$E$376</formula1>
    </dataValidation>
    <dataValidation type="list" allowBlank="1" showInputMessage="1" showErrorMessage="1" sqref="D94 D98:D99" xr:uid="{00000000-0002-0000-0500-00000B000000}">
      <formula1>$E$374:$E$385</formula1>
    </dataValidation>
    <dataValidation type="list" allowBlank="1" showInputMessage="1" showErrorMessage="1" sqref="D101 D71:D78 D86 D81:D83 D96:D97 D88:D89" xr:uid="{00000000-0002-0000-0500-00000C000000}">
      <formula1>$E$379:$E$390</formula1>
    </dataValidation>
    <dataValidation showDropDown="1" showInputMessage="1" showErrorMessage="1" sqref="D85" xr:uid="{00000000-0002-0000-0500-00000D000000}"/>
    <dataValidation showInputMessage="1" showErrorMessage="1" sqref="D79:D80" xr:uid="{00000000-0002-0000-0500-00000E000000}"/>
    <dataValidation type="list" allowBlank="1" showInputMessage="1" showErrorMessage="1" sqref="C43 C64:C86 C45:C62 C88:C101" xr:uid="{00000000-0002-0000-0500-00000F000000}">
      <formula1>$C$344:$C$348</formula1>
    </dataValidation>
    <dataValidation type="list" allowBlank="1" showInputMessage="1" showErrorMessage="1" sqref="B43 B64:B86 B45:B62 B88:B101" xr:uid="{00000000-0002-0000-0500-000010000000}">
      <formula1>$B$344:$B$348</formula1>
    </dataValidation>
    <dataValidation type="list" allowBlank="1" showInputMessage="1" showErrorMessage="1" sqref="A43 A64:A86 A45:A62 A88:A101" xr:uid="{00000000-0002-0000-0500-000011000000}">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703125" defaultRowHeight="15" x14ac:dyDescent="0.2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9" width="42.42578125" hidden="1" customWidth="1"/>
    <col min="20" max="20" width="30.42578125" customWidth="1"/>
    <col min="21" max="21" width="21.7109375" customWidth="1"/>
    <col min="22" max="22" width="22.28515625" bestFit="1" customWidth="1"/>
    <col min="23" max="23" width="21.1406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x14ac:dyDescent="0.3">
      <c r="A1" s="305" t="s">
        <v>616</v>
      </c>
      <c r="F1" s="6"/>
      <c r="G1" s="6"/>
      <c r="H1" s="6"/>
      <c r="I1" s="6"/>
      <c r="J1" s="7"/>
      <c r="K1" s="8"/>
      <c r="L1" s="9"/>
      <c r="M1" s="9"/>
      <c r="N1" s="9"/>
      <c r="O1" s="10"/>
      <c r="P1" s="11"/>
      <c r="Q1" s="11"/>
      <c r="R1" s="11"/>
      <c r="S1" s="11"/>
      <c r="T1" s="10"/>
      <c r="X1" s="12"/>
      <c r="Y1" s="12">
        <f>+X1-X2</f>
        <v>0</v>
      </c>
      <c r="Z1" s="12"/>
      <c r="AA1" s="13"/>
    </row>
    <row r="2" spans="1:29" s="1" customFormat="1" ht="27.75" customHeight="1" x14ac:dyDescent="0.25">
      <c r="F2" s="8"/>
      <c r="G2" s="8"/>
      <c r="H2" s="8"/>
      <c r="I2" s="8"/>
      <c r="J2" s="14"/>
      <c r="K2" s="8"/>
      <c r="L2" s="9"/>
      <c r="M2" s="9"/>
      <c r="N2" s="9"/>
      <c r="O2" s="10"/>
      <c r="P2" s="11"/>
      <c r="Q2" s="11"/>
      <c r="R2" s="11"/>
      <c r="S2" s="11"/>
      <c r="T2" s="10"/>
      <c r="X2" s="12"/>
      <c r="Y2" s="12"/>
      <c r="Z2" s="12"/>
      <c r="AA2" s="13"/>
    </row>
    <row r="3" spans="1:29" s="1" customFormat="1" ht="20.25" customHeight="1" x14ac:dyDescent="0.25">
      <c r="F3" s="15"/>
      <c r="G3" s="1447" t="s">
        <v>3</v>
      </c>
      <c r="H3" s="1447"/>
      <c r="I3" s="1447"/>
      <c r="J3" s="16"/>
      <c r="K3" s="16"/>
      <c r="L3" s="1447" t="s">
        <v>4</v>
      </c>
      <c r="M3" s="1447"/>
      <c r="N3" s="1447"/>
      <c r="O3" s="17"/>
      <c r="P3" s="18" t="s">
        <v>5</v>
      </c>
      <c r="Q3" s="548"/>
      <c r="R3" s="548"/>
      <c r="S3" s="548"/>
      <c r="T3" s="19" t="s">
        <v>7</v>
      </c>
      <c r="X3" s="12"/>
      <c r="Y3" s="12"/>
      <c r="Z3" s="12"/>
      <c r="AA3" s="13"/>
    </row>
    <row r="4" spans="1:29" s="1" customFormat="1" x14ac:dyDescent="0.25">
      <c r="F4" s="15"/>
      <c r="G4" s="436"/>
      <c r="H4" s="436"/>
      <c r="I4" s="436"/>
      <c r="J4" s="15"/>
      <c r="K4" s="15"/>
      <c r="L4" s="436"/>
      <c r="M4" s="436"/>
      <c r="N4" s="436"/>
      <c r="O4" s="303"/>
      <c r="P4" s="304"/>
      <c r="Q4" s="548"/>
      <c r="R4" s="548"/>
      <c r="S4" s="548"/>
      <c r="T4" s="19"/>
      <c r="X4" s="12"/>
      <c r="Y4" s="12"/>
      <c r="Z4" s="12"/>
      <c r="AA4" s="13"/>
    </row>
    <row r="5" spans="1:29" s="29" customFormat="1" ht="45" customHeight="1" x14ac:dyDescent="0.25">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x14ac:dyDescent="0.25">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x14ac:dyDescent="0.2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x14ac:dyDescent="0.2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x14ac:dyDescent="0.2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x14ac:dyDescent="0.2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x14ac:dyDescent="0.2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x14ac:dyDescent="0.2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x14ac:dyDescent="0.2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x14ac:dyDescent="0.2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x14ac:dyDescent="0.2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x14ac:dyDescent="0.2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2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2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x14ac:dyDescent="0.25">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x14ac:dyDescent="0.2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x14ac:dyDescent="0.2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x14ac:dyDescent="0.2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x14ac:dyDescent="0.2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349999999999994" customHeight="1" thickBot="1" x14ac:dyDescent="0.3">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349999999999994" customHeight="1" thickBot="1" x14ac:dyDescent="0.3">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349999999999994" customHeight="1" thickBot="1" x14ac:dyDescent="0.3">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349999999999994" customHeight="1" thickBot="1" x14ac:dyDescent="0.3">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349999999999994" customHeight="1" thickBot="1" x14ac:dyDescent="0.3">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349999999999994" customHeight="1" thickBot="1" x14ac:dyDescent="0.3">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x14ac:dyDescent="0.3">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x14ac:dyDescent="0.3">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x14ac:dyDescent="0.3">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x14ac:dyDescent="0.3">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x14ac:dyDescent="0.3">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x14ac:dyDescent="0.3">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349999999999994" customHeight="1" thickBot="1" x14ac:dyDescent="0.3">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349999999999994" customHeight="1" thickBot="1" x14ac:dyDescent="0.3">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349999999999994" customHeight="1" thickBot="1" x14ac:dyDescent="0.3">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x14ac:dyDescent="0.3">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349999999999994" customHeight="1" thickBot="1" x14ac:dyDescent="0.3">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x14ac:dyDescent="0.2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x14ac:dyDescent="0.2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x14ac:dyDescent="0.2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x14ac:dyDescent="0.2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customHeight="1" x14ac:dyDescent="0.2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customHeight="1" x14ac:dyDescent="0.2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349999999999994" customHeight="1" x14ac:dyDescent="0.2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349999999999994" customHeight="1" x14ac:dyDescent="0.2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x14ac:dyDescent="0.2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x14ac:dyDescent="0.2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349999999999994" customHeight="1" x14ac:dyDescent="0.2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x14ac:dyDescent="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14.75" x14ac:dyDescent="0.2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10.25" x14ac:dyDescent="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10.25" x14ac:dyDescent="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6" x14ac:dyDescent="0.2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6" x14ac:dyDescent="0.2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349999999999994" customHeight="1" x14ac:dyDescent="0.2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349999999999994" customHeight="1" x14ac:dyDescent="0.2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349999999999994" customHeight="1" x14ac:dyDescent="0.2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349999999999994" customHeight="1" x14ac:dyDescent="0.2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349999999999994" customHeight="1" x14ac:dyDescent="0.2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349999999999994" customHeight="1" x14ac:dyDescent="0.2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x14ac:dyDescent="0.2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x14ac:dyDescent="0.2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349999999999994" customHeight="1" x14ac:dyDescent="0.2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349999999999994" customHeight="1" x14ac:dyDescent="0.2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customHeight="1" x14ac:dyDescent="0.2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349999999999994" customHeight="1" x14ac:dyDescent="0.2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349999999999994" customHeight="1" x14ac:dyDescent="0.2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x14ac:dyDescent="0.2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349999999999994" customHeight="1" x14ac:dyDescent="0.2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349999999999994" customHeight="1" x14ac:dyDescent="0.2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349999999999994" customHeight="1" x14ac:dyDescent="0.2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customHeight="1" x14ac:dyDescent="0.2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349999999999994" customHeight="1" x14ac:dyDescent="0.25">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349999999999994" customHeight="1" x14ac:dyDescent="0.2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349999999999994" customHeight="1" x14ac:dyDescent="0.2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349999999999994" customHeight="1" x14ac:dyDescent="0.2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349999999999994" customHeight="1" x14ac:dyDescent="0.25">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349999999999994" customHeight="1" x14ac:dyDescent="0.2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x14ac:dyDescent="0.2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349999999999994" customHeight="1" x14ac:dyDescent="0.2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349999999999994" customHeight="1" x14ac:dyDescent="0.2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349999999999994" customHeight="1" x14ac:dyDescent="0.2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349999999999994" customHeight="1" x14ac:dyDescent="0.2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349999999999994" customHeight="1" x14ac:dyDescent="0.2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349999999999994" customHeight="1" x14ac:dyDescent="0.2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349999999999994" customHeight="1" x14ac:dyDescent="0.2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349999999999994" customHeight="1" x14ac:dyDescent="0.2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349999999999994" customHeight="1" x14ac:dyDescent="0.2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349999999999994" customHeight="1" x14ac:dyDescent="0.2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349999999999994" customHeight="1" x14ac:dyDescent="0.2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349999999999994" customHeight="1" x14ac:dyDescent="0.2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x14ac:dyDescent="0.2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25">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x14ac:dyDescent="0.25">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x14ac:dyDescent="0.25">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349999999999994" customHeight="1" x14ac:dyDescent="0.2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x14ac:dyDescent="0.25">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349999999999994" customHeight="1" x14ac:dyDescent="0.25">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x14ac:dyDescent="0.25">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x14ac:dyDescent="0.25">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x14ac:dyDescent="0.25">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25">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25">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x14ac:dyDescent="0.25">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25">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25">
      <c r="O111"/>
      <c r="X111" s="442"/>
      <c r="Z111" s="443"/>
      <c r="AB111" s="3"/>
    </row>
    <row r="112" spans="1:45" x14ac:dyDescent="0.25">
      <c r="O112"/>
      <c r="X112" s="442"/>
      <c r="Z112" s="443"/>
      <c r="AB112" s="3"/>
    </row>
    <row r="113" spans="1:45" s="127" customFormat="1" x14ac:dyDescent="0.25">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25">
      <c r="O114"/>
      <c r="X114" s="442"/>
      <c r="Z114" s="443"/>
    </row>
    <row r="115" spans="1:45" x14ac:dyDescent="0.25">
      <c r="O115"/>
      <c r="X115" s="442"/>
      <c r="Z115" s="443"/>
    </row>
    <row r="116" spans="1:45" x14ac:dyDescent="0.25">
      <c r="O116"/>
      <c r="X116" s="442"/>
      <c r="Z116" s="443"/>
    </row>
    <row r="117" spans="1:45" x14ac:dyDescent="0.25">
      <c r="O117"/>
      <c r="X117" s="442"/>
      <c r="Z117" s="443"/>
    </row>
    <row r="118" spans="1:45" x14ac:dyDescent="0.25">
      <c r="O118"/>
      <c r="X118" s="442"/>
      <c r="Z118" s="443"/>
    </row>
    <row r="119" spans="1:45" x14ac:dyDescent="0.25">
      <c r="O119"/>
      <c r="X119" s="442"/>
      <c r="Z119" s="443"/>
    </row>
    <row r="120" spans="1:45" x14ac:dyDescent="0.25">
      <c r="O120"/>
      <c r="X120" s="442"/>
      <c r="Z120" s="443"/>
    </row>
    <row r="121" spans="1:45" x14ac:dyDescent="0.25">
      <c r="O121"/>
      <c r="X121" s="442"/>
      <c r="Z121" s="443"/>
    </row>
    <row r="122" spans="1:45" x14ac:dyDescent="0.25">
      <c r="O122"/>
      <c r="X122" s="442"/>
      <c r="Z122" s="443"/>
    </row>
    <row r="123" spans="1:45" x14ac:dyDescent="0.25">
      <c r="O123"/>
      <c r="X123" s="442"/>
      <c r="Z123" s="443"/>
    </row>
    <row r="124" spans="1:45" x14ac:dyDescent="0.25">
      <c r="O124"/>
      <c r="X124" s="442"/>
    </row>
    <row r="125" spans="1:45" x14ac:dyDescent="0.25">
      <c r="O125"/>
      <c r="X125" s="442"/>
    </row>
    <row r="126" spans="1:45" x14ac:dyDescent="0.25">
      <c r="O126"/>
      <c r="X126" s="442"/>
    </row>
    <row r="127" spans="1:45" x14ac:dyDescent="0.25">
      <c r="O127"/>
      <c r="X127" s="442"/>
    </row>
    <row r="128" spans="1:45" x14ac:dyDescent="0.25">
      <c r="O128"/>
      <c r="X128" s="442"/>
    </row>
    <row r="129" spans="15:24" x14ac:dyDescent="0.25">
      <c r="O129"/>
      <c r="X129" s="442"/>
    </row>
    <row r="130" spans="15:24" x14ac:dyDescent="0.25">
      <c r="O130"/>
      <c r="X130" s="442"/>
    </row>
    <row r="131" spans="15:24" x14ac:dyDescent="0.25">
      <c r="O131"/>
      <c r="X131" s="442"/>
    </row>
    <row r="132" spans="15:24" x14ac:dyDescent="0.25">
      <c r="O132"/>
      <c r="X132" s="442"/>
    </row>
    <row r="133" spans="15:24" x14ac:dyDescent="0.25">
      <c r="O133"/>
      <c r="X133" s="442"/>
    </row>
    <row r="134" spans="15:24" x14ac:dyDescent="0.25">
      <c r="O134"/>
      <c r="X134" s="442"/>
    </row>
    <row r="135" spans="15:24" x14ac:dyDescent="0.25">
      <c r="O135"/>
      <c r="X135" s="442"/>
    </row>
    <row r="136" spans="15:24" x14ac:dyDescent="0.25">
      <c r="O136"/>
      <c r="X136" s="442"/>
    </row>
    <row r="137" spans="15:24" x14ac:dyDescent="0.25">
      <c r="O137"/>
      <c r="X137" s="442"/>
    </row>
    <row r="138" spans="15:24" x14ac:dyDescent="0.25">
      <c r="O138"/>
      <c r="X138" s="442"/>
    </row>
    <row r="139" spans="15:24" x14ac:dyDescent="0.25">
      <c r="O139"/>
      <c r="X139" s="442"/>
    </row>
    <row r="140" spans="15:24" x14ac:dyDescent="0.25">
      <c r="O140"/>
      <c r="X140" s="442"/>
    </row>
    <row r="141" spans="15:24" x14ac:dyDescent="0.25">
      <c r="O141"/>
      <c r="X141" s="442"/>
    </row>
    <row r="142" spans="15:24" x14ac:dyDescent="0.25">
      <c r="O142"/>
      <c r="X142" s="442"/>
    </row>
    <row r="143" spans="15:24" x14ac:dyDescent="0.25">
      <c r="O143"/>
      <c r="X143" s="442"/>
    </row>
    <row r="144" spans="15:24" x14ac:dyDescent="0.25">
      <c r="O144"/>
      <c r="X144" s="442"/>
    </row>
    <row r="145" spans="15:24" x14ac:dyDescent="0.25">
      <c r="O145"/>
      <c r="X145" s="442"/>
    </row>
    <row r="146" spans="15:24" x14ac:dyDescent="0.25">
      <c r="O146"/>
      <c r="X146" s="442"/>
    </row>
    <row r="147" spans="15:24" x14ac:dyDescent="0.25">
      <c r="O147"/>
      <c r="X147" s="442"/>
    </row>
    <row r="148" spans="15:24" x14ac:dyDescent="0.25">
      <c r="O148"/>
      <c r="X148" s="442"/>
    </row>
    <row r="149" spans="15:24" x14ac:dyDescent="0.25">
      <c r="O149"/>
    </row>
    <row r="150" spans="15:24" x14ac:dyDescent="0.25">
      <c r="O150"/>
    </row>
    <row r="151" spans="15:24" x14ac:dyDescent="0.25">
      <c r="O151"/>
    </row>
    <row r="152" spans="15:24" x14ac:dyDescent="0.25">
      <c r="O152"/>
    </row>
    <row r="153" spans="15:24" x14ac:dyDescent="0.25">
      <c r="O153"/>
    </row>
    <row r="154" spans="15:24" x14ac:dyDescent="0.25">
      <c r="O154"/>
    </row>
    <row r="155" spans="15:24" x14ac:dyDescent="0.25">
      <c r="O155"/>
    </row>
    <row r="156" spans="15:24" x14ac:dyDescent="0.25">
      <c r="O156"/>
    </row>
    <row r="157" spans="15:24" x14ac:dyDescent="0.25">
      <c r="O157"/>
    </row>
    <row r="158" spans="15:24" x14ac:dyDescent="0.25">
      <c r="O158"/>
    </row>
    <row r="159" spans="15:24" x14ac:dyDescent="0.25">
      <c r="O159"/>
    </row>
    <row r="160" spans="15:24" x14ac:dyDescent="0.25">
      <c r="O160"/>
    </row>
    <row r="161" spans="15:15" x14ac:dyDescent="0.25">
      <c r="O161"/>
    </row>
    <row r="162" spans="15:15" x14ac:dyDescent="0.25">
      <c r="O162"/>
    </row>
    <row r="163" spans="15:15" x14ac:dyDescent="0.25">
      <c r="O163"/>
    </row>
    <row r="164" spans="15:15" x14ac:dyDescent="0.25">
      <c r="O164"/>
    </row>
    <row r="165" spans="15:15" x14ac:dyDescent="0.25">
      <c r="O165"/>
    </row>
    <row r="166" spans="15:15" x14ac:dyDescent="0.25">
      <c r="O166"/>
    </row>
    <row r="167" spans="15:15" x14ac:dyDescent="0.25">
      <c r="O167"/>
    </row>
    <row r="168" spans="15:15" x14ac:dyDescent="0.25">
      <c r="O168"/>
    </row>
    <row r="169" spans="15:15" x14ac:dyDescent="0.25">
      <c r="O169"/>
    </row>
    <row r="170" spans="15:15" x14ac:dyDescent="0.25">
      <c r="O170"/>
    </row>
    <row r="171" spans="15:15" x14ac:dyDescent="0.25">
      <c r="O171"/>
    </row>
    <row r="172" spans="15:15" x14ac:dyDescent="0.25">
      <c r="O172"/>
    </row>
    <row r="173" spans="15:15" x14ac:dyDescent="0.25">
      <c r="O173"/>
    </row>
    <row r="174" spans="15:15" x14ac:dyDescent="0.25">
      <c r="O174"/>
    </row>
    <row r="175" spans="15:15" x14ac:dyDescent="0.25">
      <c r="O175"/>
    </row>
    <row r="176" spans="15:15" x14ac:dyDescent="0.25">
      <c r="O176"/>
    </row>
    <row r="177" spans="15:15" x14ac:dyDescent="0.25">
      <c r="O177"/>
    </row>
    <row r="178" spans="15:15" x14ac:dyDescent="0.25">
      <c r="O178"/>
    </row>
    <row r="179" spans="15:15" x14ac:dyDescent="0.25">
      <c r="O179"/>
    </row>
    <row r="180" spans="15:15" x14ac:dyDescent="0.25">
      <c r="O180"/>
    </row>
    <row r="181" spans="15:15" x14ac:dyDescent="0.25">
      <c r="O181"/>
    </row>
    <row r="182" spans="15:15" x14ac:dyDescent="0.25">
      <c r="O182"/>
    </row>
    <row r="183" spans="15:15" x14ac:dyDescent="0.25">
      <c r="O183"/>
    </row>
    <row r="184" spans="15:15" x14ac:dyDescent="0.25">
      <c r="O184"/>
    </row>
    <row r="185" spans="15:15" x14ac:dyDescent="0.25">
      <c r="O185"/>
    </row>
    <row r="186" spans="15:15" x14ac:dyDescent="0.25">
      <c r="O186"/>
    </row>
    <row r="187" spans="15:15" x14ac:dyDescent="0.25">
      <c r="O187"/>
    </row>
    <row r="188" spans="15:15" x14ac:dyDescent="0.25">
      <c r="O188"/>
    </row>
    <row r="189" spans="15:15" x14ac:dyDescent="0.25">
      <c r="O189"/>
    </row>
    <row r="190" spans="15:15" x14ac:dyDescent="0.25">
      <c r="O190"/>
    </row>
    <row r="191" spans="15:15" x14ac:dyDescent="0.25">
      <c r="O191"/>
    </row>
    <row r="192" spans="15:15" x14ac:dyDescent="0.25">
      <c r="O192"/>
    </row>
    <row r="193" spans="15:15" x14ac:dyDescent="0.25">
      <c r="O193"/>
    </row>
    <row r="194" spans="15:15" x14ac:dyDescent="0.25">
      <c r="O194"/>
    </row>
    <row r="195" spans="15:15" x14ac:dyDescent="0.25">
      <c r="O195"/>
    </row>
    <row r="196" spans="15:15" x14ac:dyDescent="0.25">
      <c r="O196"/>
    </row>
    <row r="197" spans="15:15" x14ac:dyDescent="0.25">
      <c r="O197"/>
    </row>
    <row r="198" spans="15:15" x14ac:dyDescent="0.25">
      <c r="O198"/>
    </row>
    <row r="199" spans="15:15" x14ac:dyDescent="0.25">
      <c r="O199"/>
    </row>
    <row r="200" spans="15:15" x14ac:dyDescent="0.25">
      <c r="O200"/>
    </row>
    <row r="201" spans="15:15" x14ac:dyDescent="0.25">
      <c r="O201"/>
    </row>
    <row r="202" spans="15:15" x14ac:dyDescent="0.25">
      <c r="O202"/>
    </row>
    <row r="203" spans="15:15" x14ac:dyDescent="0.25">
      <c r="O203"/>
    </row>
    <row r="204" spans="15:15" x14ac:dyDescent="0.25">
      <c r="O204"/>
    </row>
    <row r="205" spans="15:15" x14ac:dyDescent="0.25">
      <c r="O205"/>
    </row>
    <row r="206" spans="15:15" x14ac:dyDescent="0.25">
      <c r="O206"/>
    </row>
    <row r="207" spans="15:15" x14ac:dyDescent="0.25">
      <c r="O207"/>
    </row>
    <row r="208" spans="15:15" x14ac:dyDescent="0.25">
      <c r="O208"/>
    </row>
    <row r="209" spans="15:15" x14ac:dyDescent="0.25">
      <c r="O209"/>
    </row>
    <row r="210" spans="15:15" x14ac:dyDescent="0.25">
      <c r="O210"/>
    </row>
    <row r="211" spans="15:15" x14ac:dyDescent="0.25">
      <c r="O211"/>
    </row>
    <row r="212" spans="15:15" x14ac:dyDescent="0.25">
      <c r="O212"/>
    </row>
    <row r="213" spans="15:15" x14ac:dyDescent="0.25">
      <c r="O213"/>
    </row>
    <row r="214" spans="15:15" x14ac:dyDescent="0.25">
      <c r="O214"/>
    </row>
    <row r="215" spans="15:15" x14ac:dyDescent="0.25">
      <c r="O215"/>
    </row>
    <row r="216" spans="15:15" x14ac:dyDescent="0.25">
      <c r="O216"/>
    </row>
    <row r="217" spans="15:15" x14ac:dyDescent="0.25">
      <c r="O217"/>
    </row>
    <row r="218" spans="15:15" x14ac:dyDescent="0.25">
      <c r="O218"/>
    </row>
    <row r="219" spans="15:15" x14ac:dyDescent="0.25">
      <c r="O219"/>
    </row>
    <row r="220" spans="15:15" x14ac:dyDescent="0.25">
      <c r="O220"/>
    </row>
    <row r="221" spans="15:15" x14ac:dyDescent="0.25">
      <c r="O221"/>
    </row>
    <row r="222" spans="15:15" x14ac:dyDescent="0.25">
      <c r="O222"/>
    </row>
    <row r="223" spans="15:15" x14ac:dyDescent="0.25">
      <c r="O223"/>
    </row>
    <row r="224" spans="15:15" x14ac:dyDescent="0.25">
      <c r="O224"/>
    </row>
    <row r="225" spans="15:15" x14ac:dyDescent="0.25">
      <c r="O225"/>
    </row>
    <row r="226" spans="15:15" x14ac:dyDescent="0.25">
      <c r="O226"/>
    </row>
    <row r="227" spans="15:15" x14ac:dyDescent="0.25">
      <c r="O227"/>
    </row>
    <row r="228" spans="15:15" x14ac:dyDescent="0.25">
      <c r="O228"/>
    </row>
    <row r="229" spans="15:15" x14ac:dyDescent="0.25">
      <c r="O229"/>
    </row>
    <row r="230" spans="15:15" x14ac:dyDescent="0.25">
      <c r="O230"/>
    </row>
    <row r="231" spans="15:15" x14ac:dyDescent="0.25">
      <c r="O231"/>
    </row>
    <row r="232" spans="15:15" x14ac:dyDescent="0.25">
      <c r="O232"/>
    </row>
    <row r="233" spans="15:15" x14ac:dyDescent="0.25">
      <c r="O233"/>
    </row>
    <row r="234" spans="15:15" x14ac:dyDescent="0.25">
      <c r="O234"/>
    </row>
    <row r="235" spans="15:15" x14ac:dyDescent="0.25">
      <c r="O235"/>
    </row>
    <row r="236" spans="15:15" x14ac:dyDescent="0.25">
      <c r="O236"/>
    </row>
    <row r="237" spans="15:15" x14ac:dyDescent="0.25">
      <c r="O237"/>
    </row>
    <row r="238" spans="15:15" x14ac:dyDescent="0.25">
      <c r="O238"/>
    </row>
    <row r="239" spans="15:15" x14ac:dyDescent="0.25">
      <c r="O239"/>
    </row>
    <row r="240" spans="15:15" x14ac:dyDescent="0.25">
      <c r="O240"/>
    </row>
    <row r="241" spans="15:15" x14ac:dyDescent="0.25">
      <c r="O241"/>
    </row>
    <row r="242" spans="15:15" x14ac:dyDescent="0.25">
      <c r="O242"/>
    </row>
    <row r="243" spans="15:15" x14ac:dyDescent="0.25">
      <c r="O243"/>
    </row>
    <row r="244" spans="15:15" x14ac:dyDescent="0.25">
      <c r="O244"/>
    </row>
    <row r="245" spans="15:15" x14ac:dyDescent="0.25">
      <c r="O245"/>
    </row>
    <row r="246" spans="15:15" x14ac:dyDescent="0.25">
      <c r="O246"/>
    </row>
    <row r="247" spans="15:15" x14ac:dyDescent="0.25">
      <c r="O247"/>
    </row>
    <row r="248" spans="15:15" x14ac:dyDescent="0.25">
      <c r="O248"/>
    </row>
    <row r="249" spans="15:15" x14ac:dyDescent="0.25">
      <c r="O249"/>
    </row>
    <row r="250" spans="15:15" x14ac:dyDescent="0.25">
      <c r="O250"/>
    </row>
    <row r="251" spans="15:15" x14ac:dyDescent="0.25">
      <c r="O251"/>
    </row>
    <row r="252" spans="15:15" x14ac:dyDescent="0.25">
      <c r="O252"/>
    </row>
    <row r="253" spans="15:15" x14ac:dyDescent="0.25">
      <c r="O253"/>
    </row>
    <row r="254" spans="15:15" x14ac:dyDescent="0.25">
      <c r="O254"/>
    </row>
    <row r="255" spans="15:15" x14ac:dyDescent="0.25">
      <c r="O255"/>
    </row>
    <row r="256" spans="15: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row r="264" spans="15:15" x14ac:dyDescent="0.25">
      <c r="O264"/>
    </row>
    <row r="265" spans="15:15" x14ac:dyDescent="0.25">
      <c r="O265"/>
    </row>
    <row r="266" spans="15:15" x14ac:dyDescent="0.25">
      <c r="O266"/>
    </row>
    <row r="267" spans="15:15" x14ac:dyDescent="0.25">
      <c r="O267"/>
    </row>
    <row r="268" spans="15:15" x14ac:dyDescent="0.25">
      <c r="O268"/>
    </row>
    <row r="269" spans="15:15" x14ac:dyDescent="0.25">
      <c r="O269"/>
    </row>
    <row r="270" spans="15:15" x14ac:dyDescent="0.25">
      <c r="O270"/>
    </row>
    <row r="271" spans="15:15" x14ac:dyDescent="0.25">
      <c r="O271"/>
    </row>
    <row r="272" spans="15:15" x14ac:dyDescent="0.25">
      <c r="O272"/>
    </row>
    <row r="273" spans="15:15" x14ac:dyDescent="0.25">
      <c r="O273"/>
    </row>
    <row r="274" spans="15:15" x14ac:dyDescent="0.25">
      <c r="O274"/>
    </row>
    <row r="275" spans="15:15" x14ac:dyDescent="0.25">
      <c r="O275"/>
    </row>
    <row r="276" spans="15:15" x14ac:dyDescent="0.25">
      <c r="O276"/>
    </row>
    <row r="277" spans="15:15" x14ac:dyDescent="0.25">
      <c r="O277"/>
    </row>
    <row r="278" spans="15:15" x14ac:dyDescent="0.25">
      <c r="O278"/>
    </row>
    <row r="279" spans="15:15" x14ac:dyDescent="0.25">
      <c r="O279"/>
    </row>
    <row r="280" spans="15:15" x14ac:dyDescent="0.25">
      <c r="O280"/>
    </row>
    <row r="281" spans="15:15" x14ac:dyDescent="0.25">
      <c r="O281"/>
    </row>
    <row r="282" spans="15:15" x14ac:dyDescent="0.25">
      <c r="O282"/>
    </row>
    <row r="283" spans="15:15" x14ac:dyDescent="0.25">
      <c r="O283"/>
    </row>
    <row r="284" spans="15:15" x14ac:dyDescent="0.25">
      <c r="O284"/>
    </row>
    <row r="285" spans="15:15" x14ac:dyDescent="0.25">
      <c r="O285"/>
    </row>
    <row r="286" spans="15:15" x14ac:dyDescent="0.25">
      <c r="O286"/>
    </row>
    <row r="287" spans="15:15" x14ac:dyDescent="0.25">
      <c r="O287"/>
    </row>
    <row r="288" spans="15:15" x14ac:dyDescent="0.25">
      <c r="O288"/>
    </row>
    <row r="289" spans="15:15" x14ac:dyDescent="0.25">
      <c r="O289"/>
    </row>
    <row r="290" spans="15:15" x14ac:dyDescent="0.25">
      <c r="O290"/>
    </row>
    <row r="291" spans="15:15" x14ac:dyDescent="0.25">
      <c r="O291"/>
    </row>
    <row r="292" spans="15:15" x14ac:dyDescent="0.25">
      <c r="O292"/>
    </row>
    <row r="293" spans="15:15" x14ac:dyDescent="0.25">
      <c r="O293"/>
    </row>
    <row r="294" spans="15:15" x14ac:dyDescent="0.25">
      <c r="O294"/>
    </row>
    <row r="295" spans="15:15" x14ac:dyDescent="0.25">
      <c r="O295"/>
    </row>
    <row r="296" spans="15:15" x14ac:dyDescent="0.25">
      <c r="O296"/>
    </row>
    <row r="297" spans="15:15" x14ac:dyDescent="0.25">
      <c r="O297"/>
    </row>
    <row r="298" spans="15:15" x14ac:dyDescent="0.25">
      <c r="O298"/>
    </row>
    <row r="299" spans="15:15" x14ac:dyDescent="0.25">
      <c r="O299"/>
    </row>
    <row r="300" spans="15:15" x14ac:dyDescent="0.25">
      <c r="O300"/>
    </row>
    <row r="301" spans="15:15" x14ac:dyDescent="0.25">
      <c r="O301"/>
    </row>
    <row r="302" spans="15:15" x14ac:dyDescent="0.25">
      <c r="O302"/>
    </row>
    <row r="303" spans="15:15" x14ac:dyDescent="0.25">
      <c r="O303"/>
    </row>
    <row r="304" spans="15:15" x14ac:dyDescent="0.25">
      <c r="O304"/>
    </row>
    <row r="305" spans="15:15" x14ac:dyDescent="0.25">
      <c r="O305"/>
    </row>
    <row r="306" spans="15:15" x14ac:dyDescent="0.25">
      <c r="O306"/>
    </row>
    <row r="307" spans="15:15" x14ac:dyDescent="0.25">
      <c r="O307"/>
    </row>
    <row r="308" spans="15:15" x14ac:dyDescent="0.25">
      <c r="O308"/>
    </row>
    <row r="309" spans="15:15" x14ac:dyDescent="0.25">
      <c r="O309"/>
    </row>
    <row r="310" spans="15:15" x14ac:dyDescent="0.25">
      <c r="O310"/>
    </row>
    <row r="311" spans="15:15" x14ac:dyDescent="0.25">
      <c r="O311"/>
    </row>
    <row r="312" spans="15:15" x14ac:dyDescent="0.25">
      <c r="O312"/>
    </row>
    <row r="313" spans="15:15" x14ac:dyDescent="0.25">
      <c r="O313"/>
    </row>
    <row r="314" spans="15:15" x14ac:dyDescent="0.25">
      <c r="O314"/>
    </row>
    <row r="315" spans="15:15" x14ac:dyDescent="0.25">
      <c r="O315"/>
    </row>
    <row r="316" spans="15:15" x14ac:dyDescent="0.25">
      <c r="O316"/>
    </row>
    <row r="317" spans="15:15" x14ac:dyDescent="0.25">
      <c r="O317"/>
    </row>
    <row r="318" spans="15:15" x14ac:dyDescent="0.25">
      <c r="O318"/>
    </row>
    <row r="319" spans="15:15" x14ac:dyDescent="0.25">
      <c r="O319"/>
    </row>
    <row r="320" spans="15:15" x14ac:dyDescent="0.25">
      <c r="O320"/>
    </row>
    <row r="321" spans="15:15" x14ac:dyDescent="0.25">
      <c r="O321"/>
    </row>
    <row r="322" spans="15:15" x14ac:dyDescent="0.25">
      <c r="O322"/>
    </row>
    <row r="323" spans="15:15" x14ac:dyDescent="0.25">
      <c r="O323"/>
    </row>
    <row r="324" spans="15:15" x14ac:dyDescent="0.25">
      <c r="O324"/>
    </row>
    <row r="325" spans="15:15" x14ac:dyDescent="0.25">
      <c r="O325"/>
    </row>
    <row r="326" spans="15:15" x14ac:dyDescent="0.25">
      <c r="O326"/>
    </row>
    <row r="327" spans="15:15" x14ac:dyDescent="0.25">
      <c r="O327"/>
    </row>
    <row r="328" spans="15:15" x14ac:dyDescent="0.25">
      <c r="O328"/>
    </row>
    <row r="329" spans="15:15" x14ac:dyDescent="0.25">
      <c r="O329"/>
    </row>
    <row r="330" spans="15:15" x14ac:dyDescent="0.25">
      <c r="O330"/>
    </row>
    <row r="331" spans="15:15" x14ac:dyDescent="0.25">
      <c r="O331"/>
    </row>
    <row r="332" spans="15:15" x14ac:dyDescent="0.25">
      <c r="O332"/>
    </row>
    <row r="333" spans="15:15" x14ac:dyDescent="0.25">
      <c r="O333"/>
    </row>
    <row r="334" spans="15:15" x14ac:dyDescent="0.25">
      <c r="O334"/>
    </row>
    <row r="335" spans="15:15" x14ac:dyDescent="0.25">
      <c r="O335"/>
    </row>
    <row r="336" spans="15:15" x14ac:dyDescent="0.25">
      <c r="O336"/>
    </row>
  </sheetData>
  <autoFilter ref="A5:AC106" xr:uid="{00000000-0009-0000-0000-000006000000}"/>
  <mergeCells count="2">
    <mergeCell ref="G3:I3"/>
    <mergeCell ref="L3:N3"/>
  </mergeCells>
  <dataValidations count="18">
    <dataValidation type="list" allowBlank="1" showInputMessage="1" showErrorMessage="1" sqref="A43 A64:A86 A45:A62 A88:A101" xr:uid="{00000000-0002-0000-0600-000000000000}">
      <formula1>$A$344:$A$347</formula1>
    </dataValidation>
    <dataValidation type="list" allowBlank="1" showInputMessage="1" showErrorMessage="1" sqref="B43 B64:B86 B45:B62 B88:B101" xr:uid="{00000000-0002-0000-0600-000001000000}">
      <formula1>$B$344:$B$348</formula1>
    </dataValidation>
    <dataValidation type="list" allowBlank="1" showInputMessage="1" showErrorMessage="1" sqref="C43 C64:C86 C45:C62 C88:C101" xr:uid="{00000000-0002-0000-0600-000002000000}">
      <formula1>$C$344:$C$348</formula1>
    </dataValidation>
    <dataValidation showInputMessage="1" showErrorMessage="1" sqref="D79:D80" xr:uid="{00000000-0002-0000-0600-000003000000}"/>
    <dataValidation showDropDown="1" showInputMessage="1" showErrorMessage="1" sqref="D85" xr:uid="{00000000-0002-0000-0600-000004000000}"/>
    <dataValidation type="list" allowBlank="1" showInputMessage="1" showErrorMessage="1" sqref="D101 D71:D78 D86 D81:D83 D96:D97 D88:D89" xr:uid="{00000000-0002-0000-0600-000005000000}">
      <formula1>$E$379:$E$390</formula1>
    </dataValidation>
    <dataValidation type="list" allowBlank="1" showInputMessage="1" showErrorMessage="1" sqref="D94 D98:D99" xr:uid="{00000000-0002-0000-0600-000006000000}">
      <formula1>$E$374:$E$385</formula1>
    </dataValidation>
    <dataValidation type="list" allowBlank="1" showInputMessage="1" showErrorMessage="1" sqref="D84 D90:D93" xr:uid="{00000000-0002-0000-0600-000007000000}">
      <formula1>$E$365:$E$376</formula1>
    </dataValidation>
    <dataValidation type="list" allowBlank="1" showInputMessage="1" showErrorMessage="1" sqref="A44" xr:uid="{00000000-0002-0000-0600-000008000000}">
      <formula1>$A$348:$A$351</formula1>
    </dataValidation>
    <dataValidation type="list" allowBlank="1" showInputMessage="1" showErrorMessage="1" sqref="B44" xr:uid="{00000000-0002-0000-0600-000009000000}">
      <formula1>$B$348:$B$352</formula1>
    </dataValidation>
    <dataValidation type="list" allowBlank="1" showInputMessage="1" showErrorMessage="1" sqref="C44" xr:uid="{00000000-0002-0000-0600-00000A000000}">
      <formula1>$C$348:$C$352</formula1>
    </dataValidation>
    <dataValidation type="list" allowBlank="1" showInputMessage="1" showErrorMessage="1" sqref="A63" xr:uid="{00000000-0002-0000-0600-00000B000000}">
      <formula1>$A$347:$A$350</formula1>
    </dataValidation>
    <dataValidation type="list" allowBlank="1" showInputMessage="1" showErrorMessage="1" sqref="B63" xr:uid="{00000000-0002-0000-0600-00000C000000}">
      <formula1>$B$347:$B$351</formula1>
    </dataValidation>
    <dataValidation type="list" allowBlank="1" showInputMessage="1" showErrorMessage="1" sqref="C63" xr:uid="{00000000-0002-0000-0600-00000D000000}">
      <formula1>$C$347:$C$351</formula1>
    </dataValidation>
    <dataValidation type="list" allowBlank="1" showInputMessage="1" showErrorMessage="1" sqref="A87" xr:uid="{00000000-0002-0000-0600-00000E000000}">
      <formula1>$A$346:$A$349</formula1>
    </dataValidation>
    <dataValidation type="list" allowBlank="1" showInputMessage="1" showErrorMessage="1" sqref="B87" xr:uid="{00000000-0002-0000-0600-00000F000000}">
      <formula1>$B$346:$B$350</formula1>
    </dataValidation>
    <dataValidation type="list" allowBlank="1" showInputMessage="1" showErrorMessage="1" sqref="C87" xr:uid="{00000000-0002-0000-0600-000010000000}">
      <formula1>$C$346:$C$350</formula1>
    </dataValidation>
    <dataValidation type="list" allowBlank="1" showInputMessage="1" showErrorMessage="1" sqref="D87" xr:uid="{00000000-0002-0000-0600-000011000000}">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EJ1137"/>
  <sheetViews>
    <sheetView tabSelected="1" zoomScale="70" zoomScaleNormal="70" workbookViewId="0">
      <selection activeCell="A388" sqref="A388"/>
    </sheetView>
  </sheetViews>
  <sheetFormatPr baseColWidth="10" defaultColWidth="11.42578125" defaultRowHeight="15" x14ac:dyDescent="0.2"/>
  <cols>
    <col min="1" max="1" width="11.28515625" style="1318" bestFit="1" customWidth="1"/>
    <col min="2" max="2" width="22.5703125" style="1299" customWidth="1"/>
    <col min="3" max="3" width="31.85546875" style="1319" customWidth="1"/>
    <col min="4" max="4" width="22.7109375" style="1207" customWidth="1"/>
    <col min="5" max="5" width="40.7109375" style="1300" customWidth="1"/>
    <col min="6" max="6" width="69.5703125" style="1298" customWidth="1"/>
    <col min="7" max="7" width="23.7109375" style="1320" customWidth="1"/>
    <col min="8" max="8" width="26" style="1320" customWidth="1"/>
    <col min="9" max="9" width="22.7109375" style="1321" customWidth="1"/>
    <col min="10" max="10" width="25.7109375" style="1207" customWidth="1"/>
    <col min="11" max="11" width="18.140625" style="1207" customWidth="1"/>
    <col min="12" max="12" width="30.85546875" style="1300" customWidth="1"/>
    <col min="13" max="13" width="28" style="1207" customWidth="1"/>
    <col min="14" max="14" width="42.7109375" style="1207" customWidth="1"/>
    <col min="15" max="15" width="30.7109375" style="1207" customWidth="1"/>
    <col min="16" max="16" width="19.28515625" style="1317" bestFit="1" customWidth="1"/>
    <col min="17" max="17" width="32.7109375" style="1317" hidden="1" customWidth="1"/>
    <col min="18" max="18" width="22.85546875" style="1317" hidden="1" customWidth="1"/>
    <col min="19" max="20" width="20.140625" style="1317" hidden="1" customWidth="1"/>
    <col min="21" max="21" width="20.140625" style="1350" hidden="1" customWidth="1"/>
    <col min="22" max="22" width="18.140625" style="1350" hidden="1" customWidth="1"/>
    <col min="23" max="23" width="19.5703125" style="1317" hidden="1" customWidth="1"/>
    <col min="24" max="24" width="20.28515625" style="1317" hidden="1" customWidth="1"/>
    <col min="25" max="35" width="0" style="1317" hidden="1" customWidth="1"/>
    <col min="36" max="36" width="27.42578125" style="1317" hidden="1" customWidth="1"/>
    <col min="37" max="37" width="78.7109375" style="1317" hidden="1" customWidth="1"/>
    <col min="38" max="38" width="36.140625" style="1317" hidden="1" customWidth="1"/>
    <col min="39" max="39" width="57.85546875" style="1317" hidden="1" customWidth="1"/>
    <col min="40" max="40" width="70" style="1317" hidden="1" customWidth="1"/>
    <col min="41" max="41" width="103.5703125" style="1317" hidden="1" customWidth="1"/>
    <col min="42" max="42" width="230.42578125" style="1317" hidden="1" customWidth="1"/>
    <col min="43" max="51" width="0" style="1317" hidden="1" customWidth="1"/>
    <col min="52" max="84" width="11.42578125" style="1317"/>
    <col min="85" max="16384" width="11.42578125" style="1207"/>
  </cols>
  <sheetData>
    <row r="1" spans="1:84" s="1159" customFormat="1" x14ac:dyDescent="0.25">
      <c r="A1" s="1449" t="s">
        <v>641</v>
      </c>
      <c r="B1" s="1449"/>
      <c r="C1" s="1449"/>
      <c r="D1" s="1449"/>
      <c r="E1" s="1449"/>
      <c r="F1" s="1449"/>
      <c r="G1" s="1449"/>
      <c r="H1" s="1449"/>
      <c r="I1" s="1449"/>
      <c r="J1" s="1449"/>
      <c r="K1" s="1449"/>
      <c r="L1" s="1449"/>
      <c r="M1" s="1158"/>
      <c r="N1" s="1158"/>
      <c r="O1" s="1158"/>
      <c r="P1" s="1314"/>
      <c r="Q1" s="1314"/>
      <c r="R1" s="1314"/>
      <c r="S1" s="1314"/>
      <c r="T1" s="1314"/>
      <c r="U1" s="1349"/>
      <c r="V1" s="1349"/>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row>
    <row r="2" spans="1:84" s="1159" customFormat="1" ht="15" customHeight="1" x14ac:dyDescent="0.25">
      <c r="A2" s="1446" t="s">
        <v>642</v>
      </c>
      <c r="B2" s="1446"/>
      <c r="C2" s="1446"/>
      <c r="D2" s="1446"/>
      <c r="E2" s="1446"/>
      <c r="F2" s="1446" t="s">
        <v>4716</v>
      </c>
      <c r="G2" s="1446"/>
      <c r="H2" s="1446"/>
      <c r="I2" s="1446"/>
      <c r="J2" s="1446"/>
      <c r="K2" s="1446"/>
      <c r="L2" s="1446"/>
      <c r="M2" s="1446"/>
      <c r="N2" s="1446"/>
      <c r="O2" s="1446"/>
      <c r="P2" s="1314"/>
      <c r="Q2" s="1314"/>
      <c r="R2" s="1314"/>
      <c r="S2" s="1314"/>
      <c r="T2" s="1314"/>
      <c r="U2" s="1349"/>
      <c r="V2" s="1349"/>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row>
    <row r="3" spans="1:84" s="1159" customFormat="1" ht="15" customHeight="1" x14ac:dyDescent="0.25">
      <c r="P3" s="1314"/>
      <c r="Q3" s="1314"/>
      <c r="R3" s="1314"/>
      <c r="S3" s="1314"/>
      <c r="T3" s="1314"/>
      <c r="U3" s="1349"/>
      <c r="V3" s="1349"/>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row>
    <row r="4" spans="1:84" s="1159" customFormat="1" x14ac:dyDescent="0.2">
      <c r="A4" s="1314"/>
      <c r="B4" s="1160"/>
      <c r="C4" s="1200"/>
      <c r="D4" s="1161"/>
      <c r="E4" s="1160"/>
      <c r="G4" s="1315"/>
      <c r="H4" s="1315"/>
      <c r="I4" s="1162"/>
      <c r="J4" s="1161"/>
      <c r="K4" s="1161"/>
      <c r="L4" s="1162"/>
      <c r="M4" s="1450" t="s">
        <v>643</v>
      </c>
      <c r="N4" s="1450"/>
      <c r="P4" s="1314"/>
      <c r="Q4" s="1314"/>
      <c r="R4" s="1314"/>
      <c r="S4" s="1314"/>
      <c r="T4" s="1314"/>
      <c r="U4" s="1349"/>
      <c r="V4" s="1349"/>
      <c r="W4" s="1314"/>
      <c r="X4" s="1314"/>
      <c r="Y4" s="1314"/>
      <c r="Z4" s="1314"/>
      <c r="AA4" s="1314"/>
      <c r="AB4" s="1314"/>
      <c r="AC4" s="1314"/>
      <c r="AD4" s="1314"/>
      <c r="AE4" s="1314"/>
      <c r="AF4" s="1314"/>
      <c r="AG4" s="1314"/>
      <c r="AH4" s="1314"/>
      <c r="AI4" s="1314"/>
      <c r="AJ4" s="1317" t="s">
        <v>644</v>
      </c>
      <c r="AK4" s="1317"/>
      <c r="AL4" s="1317"/>
      <c r="AM4" s="1317"/>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row>
    <row r="5" spans="1:84" s="1159" customFormat="1" x14ac:dyDescent="0.2">
      <c r="A5" s="1316"/>
      <c r="B5" s="1164"/>
      <c r="C5" s="1200"/>
      <c r="D5" s="1163"/>
      <c r="E5" s="1160"/>
      <c r="G5" s="1315"/>
      <c r="H5" s="1315"/>
      <c r="I5" s="1160"/>
      <c r="K5" s="1353"/>
      <c r="L5" s="1166"/>
      <c r="M5" s="1343">
        <f>+SUBTOTAL(9,M7:M1132)</f>
        <v>66912469093.699997</v>
      </c>
      <c r="N5" s="1168"/>
      <c r="O5" s="1168"/>
      <c r="P5" s="1354"/>
      <c r="Q5" s="1314"/>
      <c r="R5" s="1343"/>
      <c r="S5" s="1343">
        <f>+SUBTOTAL(9,S7:S1132)</f>
        <v>42493301834</v>
      </c>
      <c r="T5" s="1343"/>
      <c r="U5" s="1343">
        <f>+SUBTOTAL(9,U7:U1132)</f>
        <v>27055458863</v>
      </c>
      <c r="V5" s="1343">
        <f>+SUBTOTAL(9,V7:V1132)</f>
        <v>9605200989</v>
      </c>
      <c r="W5" s="1314"/>
      <c r="X5" s="1314"/>
      <c r="Y5" s="1314"/>
      <c r="Z5" s="1314"/>
      <c r="AA5" s="1314"/>
      <c r="AB5" s="1314"/>
      <c r="AC5" s="1314"/>
      <c r="AD5" s="1314"/>
      <c r="AE5" s="1314"/>
      <c r="AF5" s="1314"/>
      <c r="AG5" s="1314"/>
      <c r="AH5" s="1314"/>
      <c r="AI5" s="1314"/>
      <c r="AJ5" s="1317">
        <v>7637</v>
      </c>
      <c r="AK5" s="1317" t="s">
        <v>645</v>
      </c>
      <c r="AL5" s="1317" t="s">
        <v>646</v>
      </c>
      <c r="AM5" s="1317" t="s">
        <v>647</v>
      </c>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row>
    <row r="6" spans="1:84" s="1159" customFormat="1" ht="60" x14ac:dyDescent="0.2">
      <c r="A6" s="1169" t="s">
        <v>648</v>
      </c>
      <c r="B6" s="1169" t="s">
        <v>644</v>
      </c>
      <c r="C6" s="1169" t="s">
        <v>649</v>
      </c>
      <c r="D6" s="1169" t="s">
        <v>650</v>
      </c>
      <c r="E6" s="1169" t="s">
        <v>651</v>
      </c>
      <c r="F6" s="1169" t="s">
        <v>652</v>
      </c>
      <c r="G6" s="1169" t="s">
        <v>653</v>
      </c>
      <c r="H6" s="1169" t="s">
        <v>654</v>
      </c>
      <c r="I6" s="1169" t="s">
        <v>655</v>
      </c>
      <c r="J6" s="1169" t="s">
        <v>656</v>
      </c>
      <c r="K6" s="1169" t="s">
        <v>657</v>
      </c>
      <c r="L6" s="1171" t="s">
        <v>658</v>
      </c>
      <c r="M6" s="1169" t="s">
        <v>659</v>
      </c>
      <c r="N6" s="1169" t="s">
        <v>660</v>
      </c>
      <c r="O6" s="1169" t="s">
        <v>661</v>
      </c>
      <c r="P6" s="1169" t="s">
        <v>662</v>
      </c>
      <c r="Q6" s="1337" t="s">
        <v>663</v>
      </c>
      <c r="R6" s="1337" t="s">
        <v>664</v>
      </c>
      <c r="S6" s="1337" t="s">
        <v>665</v>
      </c>
      <c r="T6" s="1337" t="s">
        <v>666</v>
      </c>
      <c r="U6" s="1351" t="s">
        <v>667</v>
      </c>
      <c r="V6" s="1351" t="s">
        <v>668</v>
      </c>
      <c r="W6" s="1337" t="s">
        <v>669</v>
      </c>
      <c r="X6" s="1354">
        <f>+X5-V5</f>
        <v>-9605200989</v>
      </c>
      <c r="Y6" s="1314"/>
      <c r="Z6" s="1314"/>
      <c r="AA6" s="1314"/>
      <c r="AB6" s="1314"/>
      <c r="AC6" s="1314"/>
      <c r="AD6" s="1314"/>
      <c r="AE6" s="1314"/>
      <c r="AF6" s="1314"/>
      <c r="AG6" s="1314"/>
      <c r="AH6" s="1314"/>
      <c r="AI6" s="1314"/>
      <c r="AJ6" s="1317">
        <v>7655</v>
      </c>
      <c r="AK6" s="1317" t="s">
        <v>670</v>
      </c>
      <c r="AL6" s="1317" t="s">
        <v>671</v>
      </c>
      <c r="AM6" s="1317" t="s">
        <v>672</v>
      </c>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row>
    <row r="7" spans="1:84" s="1159" customFormat="1" ht="105" x14ac:dyDescent="0.2">
      <c r="A7" s="1422">
        <v>2022005</v>
      </c>
      <c r="B7" s="1410">
        <v>7637</v>
      </c>
      <c r="C7" s="1411" t="s">
        <v>645</v>
      </c>
      <c r="D7" s="1439" t="s">
        <v>673</v>
      </c>
      <c r="E7" s="1413">
        <v>80111600</v>
      </c>
      <c r="F7" s="1440" t="s">
        <v>693</v>
      </c>
      <c r="G7" s="1441">
        <v>44562</v>
      </c>
      <c r="H7" s="1441">
        <v>44592</v>
      </c>
      <c r="I7" s="1416">
        <v>6</v>
      </c>
      <c r="J7" s="1416" t="s">
        <v>675</v>
      </c>
      <c r="K7" s="1417" t="s">
        <v>676</v>
      </c>
      <c r="L7" s="1418" t="s">
        <v>677</v>
      </c>
      <c r="M7" s="1419">
        <f>77000000-20400000-1100000-13600000</f>
        <v>41900000</v>
      </c>
      <c r="N7" s="1424" t="s">
        <v>678</v>
      </c>
      <c r="O7" s="1413" t="s">
        <v>679</v>
      </c>
      <c r="P7" s="1442" t="s">
        <v>680</v>
      </c>
      <c r="Q7" s="1207"/>
      <c r="R7" s="1269">
        <v>40800000</v>
      </c>
      <c r="S7" s="1357">
        <v>40800000</v>
      </c>
      <c r="T7" s="1357">
        <f>+Tabla16[[#This Row],[CDPS A 31 JULIO 2022]]-Tabla16[[#This Row],[CDP]]</f>
        <v>0</v>
      </c>
      <c r="U7" s="1357">
        <v>40800000</v>
      </c>
      <c r="V7" s="1357">
        <v>27200000</v>
      </c>
      <c r="W7" s="1357"/>
      <c r="AJ7" s="1207">
        <v>7658</v>
      </c>
      <c r="AK7" s="1207" t="s">
        <v>681</v>
      </c>
      <c r="AL7" s="1207" t="s">
        <v>673</v>
      </c>
      <c r="AM7" s="1207" t="s">
        <v>682</v>
      </c>
    </row>
    <row r="8" spans="1:84" ht="105" x14ac:dyDescent="0.2">
      <c r="A8" s="1422">
        <v>2022052</v>
      </c>
      <c r="B8" s="1410">
        <v>7655</v>
      </c>
      <c r="C8" s="1411" t="s">
        <v>670</v>
      </c>
      <c r="D8" s="1412" t="s">
        <v>691</v>
      </c>
      <c r="E8" s="1413" t="s">
        <v>782</v>
      </c>
      <c r="F8" s="1414" t="s">
        <v>797</v>
      </c>
      <c r="G8" s="1415">
        <v>44575</v>
      </c>
      <c r="H8" s="1415">
        <v>44575</v>
      </c>
      <c r="I8" s="1416">
        <v>11.5</v>
      </c>
      <c r="J8" s="1416" t="s">
        <v>675</v>
      </c>
      <c r="K8" s="1417" t="s">
        <v>676</v>
      </c>
      <c r="L8" s="1418" t="s">
        <v>677</v>
      </c>
      <c r="M8" s="1419">
        <f>83950000-5400000-16500000</f>
        <v>62050000</v>
      </c>
      <c r="N8" s="1420" t="s">
        <v>785</v>
      </c>
      <c r="O8" s="1413" t="s">
        <v>780</v>
      </c>
      <c r="P8" s="1423" t="s">
        <v>680</v>
      </c>
      <c r="Q8" s="1163"/>
      <c r="R8" s="1269">
        <v>83950000</v>
      </c>
      <c r="S8" s="1357">
        <v>83950000</v>
      </c>
      <c r="T8" s="1357">
        <f>+Tabla16[[#This Row],[CDPS A 31 JULIO 2022]]-Tabla16[[#This Row],[CDP]]</f>
        <v>0</v>
      </c>
      <c r="U8" s="1357">
        <v>83950000</v>
      </c>
      <c r="V8" s="1357">
        <v>32363333</v>
      </c>
      <c r="W8" s="1357"/>
      <c r="X8" s="1207"/>
      <c r="Y8" s="1207"/>
      <c r="Z8" s="1207"/>
      <c r="AA8" s="1207"/>
      <c r="AB8" s="1207"/>
      <c r="AC8" s="1207"/>
      <c r="AD8" s="1207"/>
      <c r="AE8" s="1207"/>
      <c r="AF8" s="1207"/>
      <c r="AG8" s="1207"/>
      <c r="AH8" s="1207"/>
      <c r="AI8" s="1207"/>
      <c r="AJ8" s="1207" t="s">
        <v>459</v>
      </c>
      <c r="AK8" s="1207"/>
      <c r="AL8" s="1207" t="s">
        <v>684</v>
      </c>
      <c r="AM8" s="1207" t="s">
        <v>685</v>
      </c>
      <c r="AN8" s="1207"/>
      <c r="AO8" s="1207"/>
      <c r="AP8" s="1207"/>
      <c r="AQ8" s="1207"/>
      <c r="AR8" s="1207"/>
      <c r="AS8" s="1207"/>
      <c r="AT8" s="1207"/>
      <c r="AU8" s="1207"/>
      <c r="AV8" s="1207"/>
      <c r="AW8" s="1207"/>
      <c r="AX8" s="1207"/>
      <c r="AY8" s="1207"/>
      <c r="AZ8" s="1207"/>
      <c r="BA8" s="1207"/>
      <c r="BB8" s="1207"/>
      <c r="BC8" s="1207"/>
      <c r="BD8" s="1207"/>
      <c r="BE8" s="1207"/>
      <c r="BF8" s="1207"/>
      <c r="BG8" s="1207"/>
      <c r="BH8" s="1207"/>
      <c r="BI8" s="1207"/>
      <c r="BJ8" s="1207"/>
      <c r="BK8" s="1207"/>
      <c r="BL8" s="1207"/>
      <c r="BM8" s="1207"/>
      <c r="BN8" s="1207"/>
      <c r="BO8" s="1207"/>
      <c r="BP8" s="1207"/>
      <c r="BQ8" s="1207"/>
      <c r="BR8" s="1207"/>
      <c r="BS8" s="1207"/>
      <c r="BT8" s="1207"/>
      <c r="BU8" s="1207"/>
      <c r="BV8" s="1207"/>
      <c r="BW8" s="1207"/>
      <c r="BX8" s="1207"/>
      <c r="BY8" s="1207"/>
      <c r="BZ8" s="1207"/>
      <c r="CA8" s="1207"/>
      <c r="CB8" s="1207"/>
      <c r="CC8" s="1207"/>
      <c r="CD8" s="1207"/>
      <c r="CE8" s="1207"/>
      <c r="CF8" s="1207"/>
    </row>
    <row r="9" spans="1:84" ht="105" x14ac:dyDescent="0.2">
      <c r="A9" s="1422">
        <v>2022174</v>
      </c>
      <c r="B9" s="1410">
        <v>7655</v>
      </c>
      <c r="C9" s="1411" t="s">
        <v>670</v>
      </c>
      <c r="D9" s="1412" t="s">
        <v>697</v>
      </c>
      <c r="E9" s="1413">
        <v>80111600</v>
      </c>
      <c r="F9" s="1414" t="s">
        <v>878</v>
      </c>
      <c r="G9" s="1415">
        <v>44562</v>
      </c>
      <c r="H9" s="1415">
        <v>44773</v>
      </c>
      <c r="I9" s="1416">
        <v>5</v>
      </c>
      <c r="J9" s="1416" t="s">
        <v>675</v>
      </c>
      <c r="K9" s="1417" t="s">
        <v>676</v>
      </c>
      <c r="L9" s="1418" t="s">
        <v>677</v>
      </c>
      <c r="M9" s="1419">
        <f>282051000-25000000-7350000-17388000-6800000+1407535-15940000-7350000-10798333-5100000-29200000-16560000-18457500-10143000-20400000-18112500-17325000+11200000+2587500+5100000-550000-20700000-6520500+17325000+10200000+13041000+13282500+10200000+1035000+43826667+21324000+1800000+5100000-12916800-14055300-20010000-15007500-15750633-14055300-7700000-10867500-6520500-17850000-16509700-13400000-13041000+14490000+10200000-15300000-13260000</f>
        <v>4231136</v>
      </c>
      <c r="N9" s="1420" t="s">
        <v>785</v>
      </c>
      <c r="O9" s="1413" t="s">
        <v>780</v>
      </c>
      <c r="P9" s="1438" t="s">
        <v>680</v>
      </c>
      <c r="Q9" s="1163"/>
      <c r="R9" s="1269">
        <v>0</v>
      </c>
      <c r="S9" s="1357"/>
      <c r="T9" s="1357">
        <f>+Tabla16[[#This Row],[CDPS A 31 JULIO 2022]]-Tabla16[[#This Row],[CDP]]</f>
        <v>0</v>
      </c>
      <c r="U9" s="1357"/>
      <c r="V9" s="1357"/>
      <c r="W9" s="1357"/>
      <c r="X9" s="1207"/>
      <c r="Y9" s="1207"/>
      <c r="Z9" s="1207"/>
      <c r="AA9" s="1207"/>
      <c r="AB9" s="1207"/>
      <c r="AC9" s="1207"/>
      <c r="AD9" s="1207"/>
      <c r="AE9" s="1207"/>
      <c r="AF9" s="1207"/>
      <c r="AG9" s="1207"/>
      <c r="AH9" s="1207"/>
      <c r="AI9" s="1207"/>
      <c r="AJ9" s="1207"/>
      <c r="AK9" s="1207"/>
      <c r="AL9" s="1207" t="s">
        <v>688</v>
      </c>
      <c r="AM9" s="1207" t="s">
        <v>689</v>
      </c>
      <c r="AN9" s="1207"/>
      <c r="AO9" s="1207"/>
      <c r="AP9" s="1207"/>
      <c r="AQ9" s="1207"/>
      <c r="AR9" s="1207"/>
      <c r="AS9" s="1207"/>
      <c r="AT9" s="1207"/>
      <c r="AU9" s="1207"/>
      <c r="AV9" s="1207"/>
      <c r="AW9" s="1207"/>
      <c r="AX9" s="1207"/>
      <c r="AY9" s="1207"/>
      <c r="AZ9" s="1207"/>
      <c r="BA9" s="1207"/>
      <c r="BB9" s="1207"/>
      <c r="BC9" s="1207"/>
      <c r="BD9" s="1207"/>
      <c r="BE9" s="1207"/>
      <c r="BF9" s="1207"/>
      <c r="BG9" s="1207"/>
      <c r="BH9" s="1207"/>
      <c r="BI9" s="1207"/>
      <c r="BJ9" s="1207"/>
      <c r="BK9" s="1207"/>
      <c r="BL9" s="1207"/>
      <c r="BM9" s="1207"/>
      <c r="BN9" s="1207"/>
      <c r="BO9" s="1207"/>
      <c r="BP9" s="1207"/>
      <c r="BQ9" s="1207"/>
      <c r="BR9" s="1207"/>
      <c r="BS9" s="1207"/>
      <c r="BT9" s="1207"/>
      <c r="BU9" s="1207"/>
      <c r="BV9" s="1207"/>
      <c r="BW9" s="1207"/>
      <c r="BX9" s="1207"/>
      <c r="BY9" s="1207"/>
      <c r="BZ9" s="1207"/>
      <c r="CA9" s="1207"/>
      <c r="CB9" s="1207"/>
      <c r="CC9" s="1207"/>
      <c r="CD9" s="1207"/>
      <c r="CE9" s="1207"/>
      <c r="CF9" s="1207"/>
    </row>
    <row r="10" spans="1:84" ht="105" x14ac:dyDescent="0.2">
      <c r="A10" s="1422">
        <v>2022186</v>
      </c>
      <c r="B10" s="1410">
        <v>7655</v>
      </c>
      <c r="C10" s="1411" t="s">
        <v>670</v>
      </c>
      <c r="D10" s="1412" t="s">
        <v>684</v>
      </c>
      <c r="E10" s="1413">
        <v>80111600</v>
      </c>
      <c r="F10" s="1414" t="s">
        <v>887</v>
      </c>
      <c r="G10" s="1415">
        <v>44566</v>
      </c>
      <c r="H10" s="1415">
        <v>44568</v>
      </c>
      <c r="I10" s="1416">
        <v>11.5</v>
      </c>
      <c r="J10" s="1416" t="s">
        <v>675</v>
      </c>
      <c r="K10" s="1417" t="s">
        <v>676</v>
      </c>
      <c r="L10" s="1418" t="s">
        <v>784</v>
      </c>
      <c r="M10" s="1419">
        <f>92000000+61500000-25666667-20166667</f>
        <v>107666666</v>
      </c>
      <c r="N10" s="1420" t="s">
        <v>785</v>
      </c>
      <c r="O10" s="1413" t="s">
        <v>780</v>
      </c>
      <c r="P10" s="1423" t="s">
        <v>680</v>
      </c>
      <c r="Q10" s="1163"/>
      <c r="R10" s="1269">
        <v>92000000</v>
      </c>
      <c r="S10" s="1357">
        <v>92000000</v>
      </c>
      <c r="T10" s="1357">
        <f>+Tabla16[[#This Row],[CDPS A 31 JULIO 2022]]-Tabla16[[#This Row],[CDP]]</f>
        <v>0</v>
      </c>
      <c r="U10" s="1357">
        <v>92000000</v>
      </c>
      <c r="V10" s="1357">
        <v>37333333</v>
      </c>
      <c r="W10" s="1357"/>
      <c r="X10" s="1207"/>
      <c r="Y10" s="1207"/>
      <c r="Z10" s="1207"/>
      <c r="AA10" s="1207"/>
      <c r="AB10" s="1207"/>
      <c r="AC10" s="1207"/>
      <c r="AD10" s="1207"/>
      <c r="AE10" s="1207"/>
      <c r="AF10" s="1207"/>
      <c r="AG10" s="1207"/>
      <c r="AH10" s="1207"/>
      <c r="AI10" s="1207"/>
      <c r="AJ10" s="1207"/>
      <c r="AK10" s="1207"/>
      <c r="AL10" s="1207" t="s">
        <v>691</v>
      </c>
      <c r="AM10" s="1207" t="s">
        <v>692</v>
      </c>
      <c r="AN10" s="1207"/>
      <c r="AO10" s="1207"/>
      <c r="AP10" s="1207"/>
      <c r="AQ10" s="1207"/>
      <c r="AR10" s="1207"/>
      <c r="AS10" s="1207"/>
      <c r="AT10" s="1207"/>
      <c r="AU10" s="1207"/>
      <c r="AV10" s="1207"/>
      <c r="AW10" s="1207"/>
      <c r="AX10" s="1207"/>
      <c r="AY10" s="1207"/>
      <c r="AZ10" s="1207"/>
      <c r="BA10" s="1207"/>
      <c r="BB10" s="1207"/>
      <c r="BC10" s="1207"/>
      <c r="BD10" s="1207"/>
      <c r="BE10" s="1207"/>
      <c r="BF10" s="1207"/>
      <c r="BG10" s="1207"/>
      <c r="BH10" s="1207"/>
      <c r="BI10" s="1207"/>
      <c r="BJ10" s="1207"/>
      <c r="BK10" s="1207"/>
      <c r="BL10" s="1207"/>
      <c r="BM10" s="1207"/>
      <c r="BN10" s="1207"/>
      <c r="BO10" s="1207"/>
      <c r="BP10" s="1207"/>
      <c r="BQ10" s="1207"/>
      <c r="BR10" s="1207"/>
      <c r="BS10" s="1207"/>
      <c r="BT10" s="1207"/>
      <c r="BU10" s="1207"/>
      <c r="BV10" s="1207"/>
      <c r="BW10" s="1207"/>
      <c r="BX10" s="1207"/>
      <c r="BY10" s="1207"/>
      <c r="BZ10" s="1207"/>
      <c r="CA10" s="1207"/>
      <c r="CB10" s="1207"/>
      <c r="CC10" s="1207"/>
      <c r="CD10" s="1207"/>
      <c r="CE10" s="1207"/>
      <c r="CF10" s="1207"/>
    </row>
    <row r="11" spans="1:84" ht="135" x14ac:dyDescent="0.2">
      <c r="A11" s="1422">
        <v>2022253</v>
      </c>
      <c r="B11" s="1410">
        <v>7658</v>
      </c>
      <c r="C11" s="1411" t="s">
        <v>681</v>
      </c>
      <c r="D11" s="1412" t="s">
        <v>691</v>
      </c>
      <c r="E11" s="1413">
        <v>80111600</v>
      </c>
      <c r="F11" s="1414" t="s">
        <v>944</v>
      </c>
      <c r="G11" s="1415">
        <v>44575</v>
      </c>
      <c r="H11" s="1415">
        <v>44575</v>
      </c>
      <c r="I11" s="1416">
        <v>11.5</v>
      </c>
      <c r="J11" s="1416" t="s">
        <v>675</v>
      </c>
      <c r="K11" s="1417" t="s">
        <v>676</v>
      </c>
      <c r="L11" s="1418" t="s">
        <v>677</v>
      </c>
      <c r="M11" s="1419">
        <f>32775000-575000</f>
        <v>32200000</v>
      </c>
      <c r="N11" s="1420" t="s">
        <v>774</v>
      </c>
      <c r="O11" s="1413" t="s">
        <v>773</v>
      </c>
      <c r="P11" s="1421" t="s">
        <v>680</v>
      </c>
      <c r="Q11" s="1163"/>
      <c r="R11" s="1357">
        <v>32200000</v>
      </c>
      <c r="S11" s="1357">
        <v>32200000</v>
      </c>
      <c r="T11" s="1357">
        <f>+Tabla16[[#This Row],[CDPS A 31 JULIO 2022]]-Tabla16[[#This Row],[CDP]]</f>
        <v>0</v>
      </c>
      <c r="U11" s="1357">
        <v>32200000</v>
      </c>
      <c r="V11" s="1357">
        <v>11293333</v>
      </c>
      <c r="W11" s="1357"/>
      <c r="X11" s="1207"/>
      <c r="Y11" s="1207"/>
      <c r="Z11" s="1207"/>
      <c r="AA11" s="1207"/>
      <c r="AB11" s="1207"/>
      <c r="AC11" s="1207"/>
      <c r="AD11" s="1207"/>
      <c r="AE11" s="1207"/>
      <c r="AF11" s="1207"/>
      <c r="AG11" s="1207"/>
      <c r="AH11" s="1207"/>
      <c r="AI11" s="1207"/>
      <c r="AJ11" s="1207"/>
      <c r="AK11" s="1207"/>
      <c r="AL11" s="1207" t="s">
        <v>694</v>
      </c>
      <c r="AM11" s="1207" t="s">
        <v>695</v>
      </c>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7"/>
      <c r="BN11" s="1207"/>
      <c r="BO11" s="1207"/>
      <c r="BP11" s="1207"/>
      <c r="BQ11" s="1207"/>
      <c r="BR11" s="1207"/>
      <c r="BS11" s="1207"/>
      <c r="BT11" s="1207"/>
      <c r="BU11" s="1207"/>
      <c r="BV11" s="1207"/>
      <c r="BW11" s="1207"/>
      <c r="BX11" s="1207"/>
      <c r="BY11" s="1207"/>
      <c r="BZ11" s="1207"/>
      <c r="CA11" s="1207"/>
      <c r="CB11" s="1207"/>
      <c r="CC11" s="1207"/>
      <c r="CD11" s="1207"/>
      <c r="CE11" s="1207"/>
      <c r="CF11" s="1207"/>
    </row>
    <row r="12" spans="1:84" ht="135" x14ac:dyDescent="0.2">
      <c r="A12" s="1409">
        <v>2022295</v>
      </c>
      <c r="B12" s="1410">
        <v>7658</v>
      </c>
      <c r="C12" s="1411" t="s">
        <v>681</v>
      </c>
      <c r="D12" s="1412" t="s">
        <v>691</v>
      </c>
      <c r="E12" s="1413" t="s">
        <v>973</v>
      </c>
      <c r="F12" s="1414" t="s">
        <v>974</v>
      </c>
      <c r="G12" s="1415">
        <v>44593</v>
      </c>
      <c r="H12" s="1415">
        <v>44593</v>
      </c>
      <c r="I12" s="1416">
        <v>6</v>
      </c>
      <c r="J12" s="1416" t="s">
        <v>689</v>
      </c>
      <c r="K12" s="1417" t="s">
        <v>676</v>
      </c>
      <c r="L12" s="1418" t="s">
        <v>959</v>
      </c>
      <c r="M12" s="1419">
        <f>70000000+60000000+60000000-24453598-35546402</f>
        <v>130000000</v>
      </c>
      <c r="N12" s="1420" t="s">
        <v>774</v>
      </c>
      <c r="O12" s="1413" t="s">
        <v>773</v>
      </c>
      <c r="P12" s="1421" t="s">
        <v>680</v>
      </c>
      <c r="Q12" s="1163"/>
      <c r="R12" s="1357">
        <v>130000000</v>
      </c>
      <c r="S12" s="1357">
        <v>130000000</v>
      </c>
      <c r="T12" s="1357">
        <f>+Tabla16[[#This Row],[CDPS A 31 JULIO 2022]]-Tabla16[[#This Row],[CDP]]</f>
        <v>0</v>
      </c>
      <c r="U12" s="1357"/>
      <c r="V12" s="1357"/>
      <c r="W12" s="1357"/>
      <c r="X12" s="1207"/>
      <c r="Y12" s="1207"/>
      <c r="Z12" s="1207"/>
      <c r="AA12" s="1207"/>
      <c r="AB12" s="1207"/>
      <c r="AC12" s="1207"/>
      <c r="AD12" s="1207"/>
      <c r="AE12" s="1207"/>
      <c r="AF12" s="1207"/>
      <c r="AG12" s="1207"/>
      <c r="AH12" s="1207"/>
      <c r="AI12" s="1207"/>
      <c r="AJ12" s="1207"/>
      <c r="AK12" s="1207"/>
      <c r="AL12" s="1207" t="s">
        <v>697</v>
      </c>
      <c r="AM12" s="1207" t="s">
        <v>698</v>
      </c>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row>
    <row r="13" spans="1:84" ht="135" x14ac:dyDescent="0.2">
      <c r="A13" s="1409">
        <v>2022298</v>
      </c>
      <c r="B13" s="1410">
        <v>7658</v>
      </c>
      <c r="C13" s="1411" t="s">
        <v>681</v>
      </c>
      <c r="D13" s="1412" t="s">
        <v>691</v>
      </c>
      <c r="E13" s="1413" t="s">
        <v>969</v>
      </c>
      <c r="F13" s="1414" t="s">
        <v>979</v>
      </c>
      <c r="G13" s="1415">
        <v>44593</v>
      </c>
      <c r="H13" s="1415">
        <v>44593</v>
      </c>
      <c r="I13" s="1416">
        <v>5</v>
      </c>
      <c r="J13" s="1416" t="s">
        <v>689</v>
      </c>
      <c r="K13" s="1417" t="s">
        <v>676</v>
      </c>
      <c r="L13" s="1418" t="s">
        <v>968</v>
      </c>
      <c r="M13" s="1419">
        <f>420000000-146500000-123500000+35546402</f>
        <v>185546402</v>
      </c>
      <c r="N13" s="1420" t="s">
        <v>774</v>
      </c>
      <c r="O13" s="1413" t="s">
        <v>773</v>
      </c>
      <c r="P13" s="1421" t="s">
        <v>680</v>
      </c>
      <c r="Q13" s="1163"/>
      <c r="R13" s="1269">
        <v>0</v>
      </c>
      <c r="S13" s="1357"/>
      <c r="T13" s="1357">
        <f>+Tabla16[[#This Row],[CDPS A 31 JULIO 2022]]-Tabla16[[#This Row],[CDP]]</f>
        <v>0</v>
      </c>
      <c r="U13" s="1357"/>
      <c r="V13" s="1357"/>
      <c r="W13" s="1357"/>
      <c r="X13" s="1207"/>
      <c r="Y13" s="1207"/>
      <c r="Z13" s="1207"/>
      <c r="AA13" s="1207"/>
      <c r="AB13" s="1207"/>
      <c r="AC13" s="1207"/>
      <c r="AD13" s="1207"/>
      <c r="AE13" s="1207"/>
      <c r="AF13" s="1207"/>
      <c r="AG13" s="1207"/>
      <c r="AH13" s="1207"/>
      <c r="AI13" s="1207"/>
      <c r="AJ13" s="1207"/>
      <c r="AK13" s="1207"/>
      <c r="AL13" s="1207" t="s">
        <v>700</v>
      </c>
      <c r="AM13" s="1207" t="s">
        <v>701</v>
      </c>
      <c r="AN13" s="1207"/>
      <c r="AO13" s="1207"/>
      <c r="AP13" s="1207"/>
      <c r="AQ13" s="1207"/>
      <c r="AR13" s="1207"/>
      <c r="AS13" s="1207"/>
      <c r="AT13" s="1207"/>
      <c r="AU13" s="1207"/>
      <c r="AV13" s="1207"/>
      <c r="AW13" s="1207"/>
      <c r="AX13" s="1207"/>
      <c r="AY13" s="1207"/>
      <c r="AZ13" s="1207"/>
      <c r="BA13" s="1207"/>
      <c r="BB13" s="1207"/>
      <c r="BC13" s="1207"/>
      <c r="BD13" s="1207"/>
      <c r="BE13" s="1207"/>
      <c r="BF13" s="1207"/>
      <c r="BG13" s="1207"/>
      <c r="BH13" s="1207"/>
      <c r="BI13" s="1207"/>
      <c r="BJ13" s="1207"/>
      <c r="BK13" s="1207"/>
      <c r="BL13" s="1207"/>
      <c r="BM13" s="1207"/>
      <c r="BN13" s="1207"/>
      <c r="BO13" s="1207"/>
      <c r="BP13" s="1207"/>
      <c r="BQ13" s="1207"/>
      <c r="BR13" s="1207"/>
      <c r="BS13" s="1207"/>
      <c r="BT13" s="1207"/>
      <c r="BU13" s="1207"/>
      <c r="BV13" s="1207"/>
      <c r="BW13" s="1207"/>
      <c r="BX13" s="1207"/>
      <c r="BY13" s="1207"/>
      <c r="BZ13" s="1207"/>
      <c r="CA13" s="1207"/>
      <c r="CB13" s="1207"/>
      <c r="CC13" s="1207"/>
      <c r="CD13" s="1207"/>
      <c r="CE13" s="1207"/>
      <c r="CF13" s="1207"/>
    </row>
    <row r="14" spans="1:84" ht="135" x14ac:dyDescent="0.2">
      <c r="A14" s="1422">
        <v>2022303</v>
      </c>
      <c r="B14" s="1410">
        <v>7658</v>
      </c>
      <c r="C14" s="1411" t="s">
        <v>681</v>
      </c>
      <c r="D14" s="1412" t="s">
        <v>691</v>
      </c>
      <c r="E14" s="1413" t="s">
        <v>988</v>
      </c>
      <c r="F14" s="1414" t="s">
        <v>4708</v>
      </c>
      <c r="G14" s="1415">
        <v>44819</v>
      </c>
      <c r="H14" s="1415">
        <v>44822</v>
      </c>
      <c r="I14" s="1416">
        <v>2</v>
      </c>
      <c r="J14" s="1416" t="s">
        <v>722</v>
      </c>
      <c r="K14" s="1417" t="s">
        <v>676</v>
      </c>
      <c r="L14" s="1418" t="s">
        <v>990</v>
      </c>
      <c r="M14" s="1419">
        <f>10600000+9540387+79859613</f>
        <v>100000000</v>
      </c>
      <c r="N14" s="1420" t="s">
        <v>774</v>
      </c>
      <c r="O14" s="1413" t="s">
        <v>773</v>
      </c>
      <c r="P14" s="1421" t="s">
        <v>750</v>
      </c>
      <c r="Q14" s="1163"/>
      <c r="R14" s="1269">
        <v>0</v>
      </c>
      <c r="S14" s="1357"/>
      <c r="T14" s="1357">
        <f>+Tabla16[[#This Row],[CDPS A 31 JULIO 2022]]-Tabla16[[#This Row],[CDP]]</f>
        <v>0</v>
      </c>
      <c r="U14" s="1357"/>
      <c r="V14" s="1357"/>
      <c r="W14" s="1357"/>
      <c r="X14" s="1207"/>
      <c r="Y14" s="1207"/>
      <c r="Z14" s="1207"/>
      <c r="AA14" s="1207"/>
      <c r="AB14" s="1207"/>
      <c r="AC14" s="1207"/>
      <c r="AD14" s="1207"/>
      <c r="AE14" s="1207"/>
      <c r="AF14" s="1207"/>
      <c r="AG14" s="1207"/>
      <c r="AH14" s="1207"/>
      <c r="AI14" s="1207"/>
      <c r="AJ14" s="1207"/>
      <c r="AK14" s="1207"/>
      <c r="AL14" s="1207" t="s">
        <v>703</v>
      </c>
      <c r="AM14" s="1207" t="s">
        <v>704</v>
      </c>
      <c r="AN14" s="1207"/>
      <c r="AO14" s="1207"/>
      <c r="AP14" s="1207"/>
      <c r="AQ14" s="1207"/>
      <c r="AR14" s="1207"/>
      <c r="AS14" s="1207"/>
      <c r="AT14" s="1207"/>
      <c r="AU14" s="1207"/>
      <c r="AV14" s="1207"/>
      <c r="AW14" s="1207"/>
      <c r="AX14" s="1207"/>
      <c r="AY14" s="1207"/>
      <c r="AZ14" s="1207"/>
      <c r="BA14" s="1207"/>
      <c r="BB14" s="1207"/>
      <c r="BC14" s="1207"/>
      <c r="BD14" s="1207"/>
      <c r="BE14" s="1207"/>
      <c r="BF14" s="1207"/>
      <c r="BG14" s="1207"/>
      <c r="BH14" s="1207"/>
      <c r="BI14" s="1207"/>
      <c r="BJ14" s="1207"/>
      <c r="BK14" s="1207"/>
      <c r="BL14" s="1207"/>
      <c r="BM14" s="1207"/>
      <c r="BN14" s="1207"/>
      <c r="BO14" s="1207"/>
      <c r="BP14" s="1207"/>
      <c r="BQ14" s="1207"/>
      <c r="BR14" s="1207"/>
      <c r="BS14" s="1207"/>
      <c r="BT14" s="1207"/>
      <c r="BU14" s="1207"/>
      <c r="BV14" s="1207"/>
      <c r="BW14" s="1207"/>
      <c r="BX14" s="1207"/>
      <c r="BY14" s="1207"/>
      <c r="BZ14" s="1207"/>
      <c r="CA14" s="1207"/>
      <c r="CB14" s="1207"/>
      <c r="CC14" s="1207"/>
      <c r="CD14" s="1207"/>
      <c r="CE14" s="1207"/>
      <c r="CF14" s="1207"/>
    </row>
    <row r="15" spans="1:84" ht="135" x14ac:dyDescent="0.2">
      <c r="A15" s="1422">
        <v>2022304</v>
      </c>
      <c r="B15" s="1410">
        <v>7658</v>
      </c>
      <c r="C15" s="1411" t="s">
        <v>681</v>
      </c>
      <c r="D15" s="1412" t="s">
        <v>691</v>
      </c>
      <c r="E15" s="1413" t="s">
        <v>988</v>
      </c>
      <c r="F15" s="1414" t="s">
        <v>991</v>
      </c>
      <c r="G15" s="1415">
        <v>44606</v>
      </c>
      <c r="H15" s="1415">
        <v>44606</v>
      </c>
      <c r="I15" s="1416">
        <v>11</v>
      </c>
      <c r="J15" s="1416" t="s">
        <v>722</v>
      </c>
      <c r="K15" s="1417" t="s">
        <v>676</v>
      </c>
      <c r="L15" s="1418" t="s">
        <v>990</v>
      </c>
      <c r="M15" s="1419">
        <f>109400000-9540387</f>
        <v>99859613</v>
      </c>
      <c r="N15" s="1420" t="s">
        <v>774</v>
      </c>
      <c r="O15" s="1413" t="s">
        <v>773</v>
      </c>
      <c r="P15" s="1421" t="s">
        <v>680</v>
      </c>
      <c r="Q15" s="1163"/>
      <c r="R15" s="1357">
        <v>99859613</v>
      </c>
      <c r="S15" s="1357">
        <v>99859613</v>
      </c>
      <c r="T15" s="1357">
        <f>+Tabla16[[#This Row],[CDPS A 31 JULIO 2022]]-Tabla16[[#This Row],[CDP]]</f>
        <v>0</v>
      </c>
      <c r="U15" s="1357">
        <v>99859613</v>
      </c>
      <c r="V15" s="1357">
        <v>43996890</v>
      </c>
      <c r="W15" s="1357"/>
      <c r="X15" s="1207"/>
      <c r="Y15" s="1207"/>
      <c r="Z15" s="1207"/>
      <c r="AA15" s="1207"/>
      <c r="AB15" s="1207"/>
      <c r="AC15" s="1207"/>
      <c r="AD15" s="1207"/>
      <c r="AE15" s="1207"/>
      <c r="AF15" s="1207"/>
      <c r="AG15" s="1207"/>
      <c r="AH15" s="1207"/>
      <c r="AI15" s="1207"/>
      <c r="AJ15" s="1207"/>
      <c r="AK15" s="1207"/>
      <c r="AL15" s="1207"/>
      <c r="AM15" s="1207" t="s">
        <v>707</v>
      </c>
      <c r="AN15" s="1207"/>
      <c r="AO15" s="1207"/>
      <c r="AP15" s="1207"/>
      <c r="AQ15" s="1207"/>
      <c r="AR15" s="1207"/>
      <c r="AS15" s="1207"/>
      <c r="AT15" s="1207"/>
      <c r="AU15" s="1207"/>
      <c r="AV15" s="1207"/>
      <c r="AW15" s="1207"/>
      <c r="AX15" s="1207"/>
      <c r="AY15" s="1207"/>
      <c r="AZ15" s="1207"/>
      <c r="BA15" s="1207"/>
      <c r="BB15" s="1207"/>
      <c r="BC15" s="1207"/>
      <c r="BD15" s="1207"/>
      <c r="BE15" s="1207"/>
      <c r="BF15" s="1207"/>
      <c r="BG15" s="1207"/>
      <c r="BH15" s="1207"/>
      <c r="BI15" s="1207"/>
      <c r="BJ15" s="1207"/>
      <c r="BK15" s="1207"/>
      <c r="BL15" s="1207"/>
      <c r="BM15" s="1207"/>
      <c r="BN15" s="1207"/>
      <c r="BO15" s="1207"/>
      <c r="BP15" s="1207"/>
      <c r="BQ15" s="1207"/>
      <c r="BR15" s="1207"/>
      <c r="BS15" s="1207"/>
      <c r="BT15" s="1207"/>
      <c r="BU15" s="1207"/>
      <c r="BV15" s="1207"/>
      <c r="BW15" s="1207"/>
      <c r="BX15" s="1207"/>
      <c r="BY15" s="1207"/>
      <c r="BZ15" s="1207"/>
      <c r="CA15" s="1207"/>
      <c r="CB15" s="1207"/>
      <c r="CC15" s="1207"/>
      <c r="CD15" s="1207"/>
      <c r="CE15" s="1207"/>
      <c r="CF15" s="1207"/>
    </row>
    <row r="16" spans="1:84" ht="135" x14ac:dyDescent="0.2">
      <c r="A16" s="1409">
        <v>2022305</v>
      </c>
      <c r="B16" s="1410">
        <v>7658</v>
      </c>
      <c r="C16" s="1411" t="s">
        <v>681</v>
      </c>
      <c r="D16" s="1412" t="s">
        <v>691</v>
      </c>
      <c r="E16" s="1413" t="s">
        <v>992</v>
      </c>
      <c r="F16" s="1414" t="s">
        <v>993</v>
      </c>
      <c r="G16" s="1415">
        <v>44757</v>
      </c>
      <c r="H16" s="1415">
        <v>44819</v>
      </c>
      <c r="I16" s="1416">
        <v>7</v>
      </c>
      <c r="J16" s="1416" t="s">
        <v>689</v>
      </c>
      <c r="K16" s="1417" t="s">
        <v>772</v>
      </c>
      <c r="L16" s="1418" t="s">
        <v>968</v>
      </c>
      <c r="M16" s="1419">
        <f>205000000-90000000-10000000-15000000</f>
        <v>90000000</v>
      </c>
      <c r="N16" s="1420" t="s">
        <v>774</v>
      </c>
      <c r="O16" s="1413" t="s">
        <v>773</v>
      </c>
      <c r="P16" s="1421" t="s">
        <v>680</v>
      </c>
      <c r="Q16" s="1163"/>
      <c r="R16" s="1269">
        <v>0</v>
      </c>
      <c r="S16" s="1357"/>
      <c r="T16" s="1357">
        <f>+Tabla16[[#This Row],[CDPS A 31 JULIO 2022]]-Tabla16[[#This Row],[CDP]]</f>
        <v>0</v>
      </c>
      <c r="U16" s="1357"/>
      <c r="V16" s="1357"/>
      <c r="W16" s="1357"/>
      <c r="X16" s="1207"/>
      <c r="Y16" s="1207"/>
      <c r="Z16" s="1207"/>
      <c r="AA16" s="1207"/>
      <c r="AB16" s="1207"/>
      <c r="AC16" s="1207"/>
      <c r="AD16" s="1207"/>
      <c r="AE16" s="1207"/>
      <c r="AF16" s="1207"/>
      <c r="AG16" s="1207"/>
      <c r="AH16" s="1207"/>
      <c r="AI16" s="1207"/>
      <c r="AJ16" s="1207"/>
      <c r="AK16" s="1207"/>
      <c r="AL16" s="1207"/>
      <c r="AM16" s="1207" t="s">
        <v>709</v>
      </c>
      <c r="AN16" s="1207"/>
      <c r="AO16" s="1207"/>
      <c r="AP16" s="1207"/>
      <c r="AQ16" s="1207"/>
      <c r="AR16" s="1207"/>
      <c r="AS16" s="1207"/>
      <c r="AT16" s="1207"/>
      <c r="AU16" s="1207"/>
      <c r="AV16" s="1207"/>
      <c r="AW16" s="1207"/>
      <c r="AX16" s="1207"/>
      <c r="AY16" s="1207"/>
      <c r="AZ16" s="1207"/>
      <c r="BA16" s="1207"/>
      <c r="BB16" s="1207"/>
      <c r="BC16" s="1207"/>
      <c r="BD16" s="1207"/>
      <c r="BE16" s="1207"/>
      <c r="BF16" s="1207"/>
      <c r="BG16" s="1207"/>
      <c r="BH16" s="1207"/>
      <c r="BI16" s="1207"/>
      <c r="BJ16" s="1207"/>
      <c r="BK16" s="1207"/>
      <c r="BL16" s="1207"/>
      <c r="BM16" s="1207"/>
      <c r="BN16" s="1207"/>
      <c r="BO16" s="1207"/>
      <c r="BP16" s="1207"/>
      <c r="BQ16" s="1207"/>
      <c r="BR16" s="1207"/>
      <c r="BS16" s="1207"/>
      <c r="BT16" s="1207"/>
      <c r="BU16" s="1207"/>
      <c r="BV16" s="1207"/>
      <c r="BW16" s="1207"/>
      <c r="BX16" s="1207"/>
      <c r="BY16" s="1207"/>
      <c r="BZ16" s="1207"/>
      <c r="CA16" s="1207"/>
      <c r="CB16" s="1207"/>
      <c r="CC16" s="1207"/>
      <c r="CD16" s="1207"/>
      <c r="CE16" s="1207"/>
      <c r="CF16" s="1207"/>
    </row>
    <row r="17" spans="1:39" s="1207" customFormat="1" ht="75" x14ac:dyDescent="0.2">
      <c r="A17" s="1409">
        <v>2022308</v>
      </c>
      <c r="B17" s="1410">
        <v>7658</v>
      </c>
      <c r="C17" s="1411" t="s">
        <v>681</v>
      </c>
      <c r="D17" s="1412" t="s">
        <v>691</v>
      </c>
      <c r="E17" s="1413" t="s">
        <v>969</v>
      </c>
      <c r="F17" s="1412" t="s">
        <v>996</v>
      </c>
      <c r="G17" s="1415">
        <v>44757</v>
      </c>
      <c r="H17" s="1415">
        <v>44819</v>
      </c>
      <c r="I17" s="1416">
        <v>6</v>
      </c>
      <c r="J17" s="1416" t="s">
        <v>682</v>
      </c>
      <c r="K17" s="1417" t="s">
        <v>772</v>
      </c>
      <c r="L17" s="1418" t="s">
        <v>968</v>
      </c>
      <c r="M17" s="1419">
        <f>345000000-25000000-168000000+90000000+46992633-51183595</f>
        <v>237809038</v>
      </c>
      <c r="N17" s="1420" t="s">
        <v>790</v>
      </c>
      <c r="O17" s="1413" t="s">
        <v>777</v>
      </c>
      <c r="P17" s="1421" t="s">
        <v>680</v>
      </c>
      <c r="Q17" s="1163"/>
      <c r="R17" s="1269">
        <v>0</v>
      </c>
      <c r="S17" s="1357"/>
      <c r="T17" s="1357">
        <f>+Tabla16[[#This Row],[CDPS A 31 JULIO 2022]]-Tabla16[[#This Row],[CDP]]</f>
        <v>0</v>
      </c>
      <c r="U17" s="1357"/>
      <c r="V17" s="1357"/>
      <c r="W17" s="1357"/>
      <c r="AM17" s="1207" t="s">
        <v>711</v>
      </c>
    </row>
    <row r="18" spans="1:39" s="1207" customFormat="1" ht="120" x14ac:dyDescent="0.2">
      <c r="A18" s="1409">
        <v>2022309</v>
      </c>
      <c r="B18" s="1425">
        <v>7658</v>
      </c>
      <c r="C18" s="1426" t="s">
        <v>681</v>
      </c>
      <c r="D18" s="1427" t="s">
        <v>691</v>
      </c>
      <c r="E18" s="1428" t="s">
        <v>997</v>
      </c>
      <c r="F18" s="1429" t="s">
        <v>998</v>
      </c>
      <c r="G18" s="1430">
        <v>44711</v>
      </c>
      <c r="H18" s="1430">
        <v>44727</v>
      </c>
      <c r="I18" s="1431">
        <v>4</v>
      </c>
      <c r="J18" s="1416" t="s">
        <v>689</v>
      </c>
      <c r="K18" s="1432" t="s">
        <v>772</v>
      </c>
      <c r="L18" s="1418" t="s">
        <v>968</v>
      </c>
      <c r="M18" s="1433">
        <f>175000000+25000000+220000000-537358</f>
        <v>419462642</v>
      </c>
      <c r="N18" s="1420" t="s">
        <v>788</v>
      </c>
      <c r="O18" s="1428" t="s">
        <v>999</v>
      </c>
      <c r="P18" s="1421" t="s">
        <v>680</v>
      </c>
      <c r="Q18" s="1163"/>
      <c r="R18" s="1269">
        <v>0</v>
      </c>
      <c r="S18" s="1357"/>
      <c r="T18" s="1357">
        <f>+Tabla16[[#This Row],[CDPS A 31 JULIO 2022]]-Tabla16[[#This Row],[CDP]]</f>
        <v>0</v>
      </c>
      <c r="U18" s="1357"/>
      <c r="V18" s="1357"/>
      <c r="W18" s="1357"/>
      <c r="AM18" s="1207" t="s">
        <v>713</v>
      </c>
    </row>
    <row r="19" spans="1:39" s="1207" customFormat="1" ht="60" x14ac:dyDescent="0.2">
      <c r="A19" s="1422">
        <v>2022544</v>
      </c>
      <c r="B19" s="1410" t="s">
        <v>459</v>
      </c>
      <c r="C19" s="1411"/>
      <c r="D19" s="1412" t="s">
        <v>691</v>
      </c>
      <c r="E19" s="1413" t="s">
        <v>1173</v>
      </c>
      <c r="F19" s="1414" t="s">
        <v>989</v>
      </c>
      <c r="G19" s="1415">
        <v>44562</v>
      </c>
      <c r="H19" s="1415">
        <v>44592</v>
      </c>
      <c r="I19" s="1416">
        <v>1</v>
      </c>
      <c r="J19" s="1416" t="s">
        <v>722</v>
      </c>
      <c r="K19" s="1417" t="s">
        <v>676</v>
      </c>
      <c r="L19" s="1418"/>
      <c r="M19" s="1419">
        <f>10000000-9237765</f>
        <v>762235</v>
      </c>
      <c r="N19" s="1420"/>
      <c r="O19" s="1413"/>
      <c r="P19" s="1421" t="s">
        <v>750</v>
      </c>
      <c r="Q19" s="1163"/>
      <c r="R19" s="1357"/>
      <c r="S19" s="1357"/>
      <c r="T19" s="1357">
        <f>+Tabla16[[#This Row],[CDPS A 31 JULIO 2022]]-Tabla16[[#This Row],[CDP]]</f>
        <v>0</v>
      </c>
      <c r="U19" s="1357"/>
      <c r="V19" s="1357"/>
      <c r="W19" s="1357"/>
      <c r="AM19" s="1207" t="s">
        <v>715</v>
      </c>
    </row>
    <row r="20" spans="1:39" s="1207" customFormat="1" ht="60" x14ac:dyDescent="0.2">
      <c r="A20" s="1422">
        <v>2022571</v>
      </c>
      <c r="B20" s="1410" t="s">
        <v>459</v>
      </c>
      <c r="C20" s="1411"/>
      <c r="D20" s="1412" t="s">
        <v>691</v>
      </c>
      <c r="E20" s="1435" t="s">
        <v>985</v>
      </c>
      <c r="F20" s="1412" t="s">
        <v>1192</v>
      </c>
      <c r="G20" s="1437">
        <v>44652</v>
      </c>
      <c r="H20" s="1437">
        <v>44681</v>
      </c>
      <c r="I20" s="1416">
        <v>10</v>
      </c>
      <c r="J20" s="1416" t="s">
        <v>647</v>
      </c>
      <c r="K20" s="1417" t="s">
        <v>676</v>
      </c>
      <c r="L20" s="1418"/>
      <c r="M20" s="1419">
        <f>756263000-41115467-17000000</f>
        <v>698147533</v>
      </c>
      <c r="N20" s="1420"/>
      <c r="O20" s="1413"/>
      <c r="P20" s="1423" t="s">
        <v>680</v>
      </c>
      <c r="Q20" s="1163"/>
      <c r="R20" s="1357"/>
      <c r="S20" s="1357"/>
      <c r="T20" s="1357">
        <f>+Tabla16[[#This Row],[CDPS A 31 JULIO 2022]]-Tabla16[[#This Row],[CDP]]</f>
        <v>0</v>
      </c>
      <c r="U20" s="1357"/>
      <c r="V20" s="1357"/>
      <c r="W20" s="1357"/>
      <c r="AM20" s="1207" t="s">
        <v>717</v>
      </c>
    </row>
    <row r="21" spans="1:39" s="1207" customFormat="1" ht="60" x14ac:dyDescent="0.2">
      <c r="A21" s="1422">
        <v>2022572</v>
      </c>
      <c r="B21" s="1410" t="s">
        <v>459</v>
      </c>
      <c r="C21" s="1411"/>
      <c r="D21" s="1412" t="s">
        <v>691</v>
      </c>
      <c r="E21" s="1413" t="s">
        <v>1173</v>
      </c>
      <c r="F21" s="1414" t="s">
        <v>4708</v>
      </c>
      <c r="G21" s="1415">
        <v>44819</v>
      </c>
      <c r="H21" s="1415">
        <v>44822</v>
      </c>
      <c r="I21" s="1416">
        <v>2</v>
      </c>
      <c r="J21" s="1416" t="s">
        <v>722</v>
      </c>
      <c r="K21" s="1417" t="s">
        <v>676</v>
      </c>
      <c r="L21" s="1418"/>
      <c r="M21" s="1419">
        <f>37063000+9995387+1308000+9237765</f>
        <v>57604152</v>
      </c>
      <c r="N21" s="1420"/>
      <c r="O21" s="1413"/>
      <c r="P21" s="1423" t="s">
        <v>759</v>
      </c>
      <c r="Q21" s="1163"/>
      <c r="R21" s="1357"/>
      <c r="S21" s="1357"/>
      <c r="T21" s="1357">
        <f>+Tabla16[[#This Row],[CDPS A 31 JULIO 2022]]-Tabla16[[#This Row],[CDP]]</f>
        <v>0</v>
      </c>
      <c r="U21" s="1357"/>
      <c r="V21" s="1357"/>
      <c r="W21" s="1357"/>
      <c r="AM21" s="1207" t="s">
        <v>719</v>
      </c>
    </row>
    <row r="22" spans="1:39" s="1207" customFormat="1" ht="60" x14ac:dyDescent="0.2">
      <c r="A22" s="1422">
        <v>2022573</v>
      </c>
      <c r="B22" s="1410" t="s">
        <v>459</v>
      </c>
      <c r="C22" s="1411"/>
      <c r="D22" s="1412" t="s">
        <v>691</v>
      </c>
      <c r="E22" s="1413" t="s">
        <v>1173</v>
      </c>
      <c r="F22" s="1414" t="s">
        <v>991</v>
      </c>
      <c r="G22" s="1415">
        <v>44562</v>
      </c>
      <c r="H22" s="1415">
        <v>44592</v>
      </c>
      <c r="I22" s="1416">
        <v>11</v>
      </c>
      <c r="J22" s="1416" t="s">
        <v>722</v>
      </c>
      <c r="K22" s="1417" t="s">
        <v>676</v>
      </c>
      <c r="L22" s="1418"/>
      <c r="M22" s="1419">
        <f>382937000-9995387</f>
        <v>372941613</v>
      </c>
      <c r="N22" s="1420"/>
      <c r="O22" s="1413"/>
      <c r="P22" s="1423" t="s">
        <v>680</v>
      </c>
      <c r="Q22" s="1163"/>
      <c r="R22" s="1357"/>
      <c r="S22" s="1357"/>
      <c r="T22" s="1357">
        <f>+Tabla16[[#This Row],[CDPS A 31 JULIO 2022]]-Tabla16[[#This Row],[CDP]]</f>
        <v>0</v>
      </c>
      <c r="U22" s="1357"/>
      <c r="V22" s="1357"/>
      <c r="W22" s="1357"/>
      <c r="AM22" s="1207" t="s">
        <v>675</v>
      </c>
    </row>
    <row r="23" spans="1:39" s="1207" customFormat="1" ht="45" x14ac:dyDescent="0.2">
      <c r="A23" s="1422">
        <v>2022591</v>
      </c>
      <c r="B23" s="1410" t="s">
        <v>459</v>
      </c>
      <c r="C23" s="1411"/>
      <c r="D23" s="1412" t="s">
        <v>673</v>
      </c>
      <c r="E23" s="1413" t="s">
        <v>1218</v>
      </c>
      <c r="F23" s="1414" t="s">
        <v>1219</v>
      </c>
      <c r="G23" s="1415">
        <v>44562</v>
      </c>
      <c r="H23" s="1415">
        <v>44592</v>
      </c>
      <c r="I23" s="1416">
        <v>2</v>
      </c>
      <c r="J23" s="1416" t="s">
        <v>701</v>
      </c>
      <c r="K23" s="1417" t="s">
        <v>676</v>
      </c>
      <c r="L23" s="1418"/>
      <c r="M23" s="1419">
        <v>35000000</v>
      </c>
      <c r="N23" s="1420"/>
      <c r="O23" s="1413"/>
      <c r="P23" s="1438" t="s">
        <v>680</v>
      </c>
      <c r="Q23" s="1163"/>
      <c r="R23" s="1357"/>
      <c r="S23" s="1357"/>
      <c r="T23" s="1357">
        <f>+Tabla16[[#This Row],[CDPS A 31 JULIO 2022]]-Tabla16[[#This Row],[CDP]]</f>
        <v>0</v>
      </c>
      <c r="U23" s="1357"/>
      <c r="V23" s="1357"/>
      <c r="W23" s="1357"/>
      <c r="AM23" s="1207" t="s">
        <v>722</v>
      </c>
    </row>
    <row r="24" spans="1:39" s="1207" customFormat="1" ht="75" x14ac:dyDescent="0.2">
      <c r="A24" s="1422">
        <v>2022597</v>
      </c>
      <c r="B24" s="1410" t="s">
        <v>459</v>
      </c>
      <c r="C24" s="1411"/>
      <c r="D24" s="1412" t="s">
        <v>673</v>
      </c>
      <c r="E24" s="1413" t="s">
        <v>1229</v>
      </c>
      <c r="F24" s="1414" t="s">
        <v>1230</v>
      </c>
      <c r="G24" s="1415">
        <v>44621</v>
      </c>
      <c r="H24" s="1415">
        <v>44651</v>
      </c>
      <c r="I24" s="1416">
        <v>6</v>
      </c>
      <c r="J24" s="1416" t="s">
        <v>722</v>
      </c>
      <c r="K24" s="1417" t="s">
        <v>676</v>
      </c>
      <c r="L24" s="1418"/>
      <c r="M24" s="1419">
        <f>300000000-81890487-68645289-2221891</f>
        <v>147242333</v>
      </c>
      <c r="N24" s="1420"/>
      <c r="O24" s="1413"/>
      <c r="P24" s="1423" t="s">
        <v>680</v>
      </c>
      <c r="Q24" s="1163"/>
      <c r="R24" s="1357"/>
      <c r="S24" s="1357"/>
      <c r="T24" s="1357">
        <f>+Tabla16[[#This Row],[CDPS A 31 JULIO 2022]]-Tabla16[[#This Row],[CDP]]</f>
        <v>0</v>
      </c>
      <c r="U24" s="1357"/>
      <c r="V24" s="1357"/>
      <c r="W24" s="1357"/>
      <c r="AK24" s="1207" t="s">
        <v>724</v>
      </c>
    </row>
    <row r="25" spans="1:39" s="1207" customFormat="1" ht="45" x14ac:dyDescent="0.2">
      <c r="A25" s="1422">
        <v>2022599</v>
      </c>
      <c r="B25" s="1410" t="s">
        <v>459</v>
      </c>
      <c r="C25" s="1411"/>
      <c r="D25" s="1412" t="s">
        <v>673</v>
      </c>
      <c r="E25" s="1413" t="s">
        <v>1233</v>
      </c>
      <c r="F25" s="1414" t="s">
        <v>1234</v>
      </c>
      <c r="G25" s="1415">
        <v>44713</v>
      </c>
      <c r="H25" s="1415">
        <v>44742</v>
      </c>
      <c r="I25" s="1416">
        <v>12</v>
      </c>
      <c r="J25" s="1416" t="s">
        <v>675</v>
      </c>
      <c r="K25" s="1417" t="s">
        <v>676</v>
      </c>
      <c r="L25" s="1418"/>
      <c r="M25" s="1419">
        <f>171518585+68645289-68645289</f>
        <v>171518585</v>
      </c>
      <c r="N25" s="1420"/>
      <c r="O25" s="1413"/>
      <c r="P25" s="1423" t="s">
        <v>680</v>
      </c>
      <c r="Q25" s="1163"/>
      <c r="R25" s="1357"/>
      <c r="S25" s="1357"/>
      <c r="T25" s="1357">
        <f>+Tabla16[[#This Row],[CDPS A 31 JULIO 2022]]-Tabla16[[#This Row],[CDP]]</f>
        <v>0</v>
      </c>
      <c r="U25" s="1357"/>
      <c r="V25" s="1357"/>
      <c r="W25" s="1357"/>
      <c r="AK25" s="1207" t="s">
        <v>726</v>
      </c>
    </row>
    <row r="26" spans="1:39" s="1207" customFormat="1" ht="135" x14ac:dyDescent="0.2">
      <c r="A26" s="1422">
        <v>2022613</v>
      </c>
      <c r="B26" s="1410">
        <v>7658</v>
      </c>
      <c r="C26" s="1411" t="s">
        <v>681</v>
      </c>
      <c r="D26" s="1412" t="s">
        <v>700</v>
      </c>
      <c r="E26" s="1413"/>
      <c r="F26" s="1414" t="s">
        <v>1248</v>
      </c>
      <c r="G26" s="1415">
        <v>44621</v>
      </c>
      <c r="H26" s="1415">
        <v>44651</v>
      </c>
      <c r="I26" s="1416" t="s">
        <v>97</v>
      </c>
      <c r="J26" s="1416" t="s">
        <v>97</v>
      </c>
      <c r="K26" s="1417" t="s">
        <v>516</v>
      </c>
      <c r="L26" s="1418" t="s">
        <v>1113</v>
      </c>
      <c r="M26" s="1419">
        <f>35781881+5918528</f>
        <v>41700409</v>
      </c>
      <c r="N26" s="1420" t="s">
        <v>781</v>
      </c>
      <c r="O26" s="1413" t="s">
        <v>773</v>
      </c>
      <c r="P26" s="1421" t="s">
        <v>750</v>
      </c>
      <c r="Q26" s="1163"/>
      <c r="R26" s="1357">
        <v>37691921</v>
      </c>
      <c r="S26" s="1357">
        <v>37691921</v>
      </c>
      <c r="T26" s="1357">
        <f>+Tabla16[[#This Row],[CDPS A 31 JULIO 2022]]-Tabla16[[#This Row],[CDP]]</f>
        <v>0</v>
      </c>
      <c r="U26" s="1357">
        <v>37691921</v>
      </c>
      <c r="V26" s="1357">
        <v>37691921</v>
      </c>
      <c r="W26" s="1357"/>
      <c r="AK26" s="1207" t="s">
        <v>728</v>
      </c>
    </row>
    <row r="27" spans="1:39" s="1207" customFormat="1" ht="135" x14ac:dyDescent="0.2">
      <c r="A27" s="1422">
        <v>2022614</v>
      </c>
      <c r="B27" s="1410">
        <v>7658</v>
      </c>
      <c r="C27" s="1411" t="s">
        <v>681</v>
      </c>
      <c r="D27" s="1412" t="s">
        <v>700</v>
      </c>
      <c r="E27" s="1413"/>
      <c r="F27" s="1414" t="s">
        <v>1249</v>
      </c>
      <c r="G27" s="1415">
        <v>44621</v>
      </c>
      <c r="H27" s="1415">
        <v>44651</v>
      </c>
      <c r="I27" s="1416" t="s">
        <v>97</v>
      </c>
      <c r="J27" s="1416" t="s">
        <v>97</v>
      </c>
      <c r="K27" s="1417" t="s">
        <v>516</v>
      </c>
      <c r="L27" s="1418" t="s">
        <v>1250</v>
      </c>
      <c r="M27" s="1419">
        <f>27886255+576000</f>
        <v>28462255</v>
      </c>
      <c r="N27" s="1420" t="s">
        <v>781</v>
      </c>
      <c r="O27" s="1413" t="s">
        <v>773</v>
      </c>
      <c r="P27" s="1421" t="s">
        <v>750</v>
      </c>
      <c r="Q27" s="1163"/>
      <c r="R27" s="1357">
        <v>28401676</v>
      </c>
      <c r="S27" s="1357">
        <v>28401676</v>
      </c>
      <c r="T27" s="1357">
        <f>+Tabla16[[#This Row],[CDPS A 31 JULIO 2022]]-Tabla16[[#This Row],[CDP]]</f>
        <v>0</v>
      </c>
      <c r="U27" s="1357">
        <v>28401676</v>
      </c>
      <c r="V27" s="1357">
        <v>28401676</v>
      </c>
      <c r="W27" s="1357"/>
      <c r="AK27" s="1207" t="s">
        <v>732</v>
      </c>
    </row>
    <row r="28" spans="1:39" s="1207" customFormat="1" ht="135" x14ac:dyDescent="0.2">
      <c r="A28" s="1422">
        <v>2022615</v>
      </c>
      <c r="B28" s="1410">
        <v>7658</v>
      </c>
      <c r="C28" s="1411" t="s">
        <v>681</v>
      </c>
      <c r="D28" s="1412" t="s">
        <v>700</v>
      </c>
      <c r="E28" s="1413"/>
      <c r="F28" s="1414" t="s">
        <v>1251</v>
      </c>
      <c r="G28" s="1415">
        <v>44621</v>
      </c>
      <c r="H28" s="1415">
        <v>44651</v>
      </c>
      <c r="I28" s="1416" t="s">
        <v>97</v>
      </c>
      <c r="J28" s="1416" t="s">
        <v>97</v>
      </c>
      <c r="K28" s="1417" t="s">
        <v>516</v>
      </c>
      <c r="L28" s="1418" t="s">
        <v>959</v>
      </c>
      <c r="M28" s="1419">
        <v>46885058</v>
      </c>
      <c r="N28" s="1420" t="s">
        <v>786</v>
      </c>
      <c r="O28" s="1413" t="s">
        <v>773</v>
      </c>
      <c r="P28" s="1421" t="s">
        <v>750</v>
      </c>
      <c r="Q28" s="1163"/>
      <c r="R28" s="1357">
        <v>46885058</v>
      </c>
      <c r="S28" s="1357">
        <v>46885058</v>
      </c>
      <c r="T28" s="1357">
        <f>+Tabla16[[#This Row],[CDPS A 31 JULIO 2022]]-Tabla16[[#This Row],[CDP]]</f>
        <v>0</v>
      </c>
      <c r="U28" s="1357">
        <v>46885058</v>
      </c>
      <c r="V28" s="1357">
        <v>46885058</v>
      </c>
      <c r="W28" s="1357"/>
      <c r="AK28" s="1207" t="s">
        <v>734</v>
      </c>
    </row>
    <row r="29" spans="1:39" s="1207" customFormat="1" ht="135" x14ac:dyDescent="0.2">
      <c r="A29" s="1422">
        <v>2022616</v>
      </c>
      <c r="B29" s="1410">
        <v>7658</v>
      </c>
      <c r="C29" s="1411" t="s">
        <v>681</v>
      </c>
      <c r="D29" s="1412" t="s">
        <v>700</v>
      </c>
      <c r="E29" s="1413"/>
      <c r="F29" s="1414" t="s">
        <v>1252</v>
      </c>
      <c r="G29" s="1415">
        <v>44621</v>
      </c>
      <c r="H29" s="1415">
        <v>44651</v>
      </c>
      <c r="I29" s="1416" t="s">
        <v>97</v>
      </c>
      <c r="J29" s="1416" t="s">
        <v>97</v>
      </c>
      <c r="K29" s="1417" t="s">
        <v>516</v>
      </c>
      <c r="L29" s="1418" t="s">
        <v>1253</v>
      </c>
      <c r="M29" s="1419">
        <v>432800</v>
      </c>
      <c r="N29" s="1420" t="s">
        <v>781</v>
      </c>
      <c r="O29" s="1413" t="s">
        <v>773</v>
      </c>
      <c r="P29" s="1421" t="s">
        <v>750</v>
      </c>
      <c r="Q29" s="1163"/>
      <c r="R29" s="1357">
        <v>432800</v>
      </c>
      <c r="S29" s="1357">
        <v>432800</v>
      </c>
      <c r="T29" s="1357">
        <f>+Tabla16[[#This Row],[CDPS A 31 JULIO 2022]]-Tabla16[[#This Row],[CDP]]</f>
        <v>0</v>
      </c>
      <c r="U29" s="1357">
        <v>432800</v>
      </c>
      <c r="V29" s="1357">
        <v>432800</v>
      </c>
      <c r="W29" s="1357"/>
      <c r="AK29" s="1207" t="s">
        <v>738</v>
      </c>
    </row>
    <row r="30" spans="1:39" s="1207" customFormat="1" ht="105" x14ac:dyDescent="0.2">
      <c r="A30" s="1422">
        <v>2022624</v>
      </c>
      <c r="B30" s="1410">
        <v>7637</v>
      </c>
      <c r="C30" s="1411" t="s">
        <v>645</v>
      </c>
      <c r="D30" s="1412" t="s">
        <v>673</v>
      </c>
      <c r="E30" s="1413">
        <v>81111700</v>
      </c>
      <c r="F30" s="1414" t="s">
        <v>1266</v>
      </c>
      <c r="G30" s="1415">
        <v>44819</v>
      </c>
      <c r="H30" s="1415">
        <v>44849</v>
      </c>
      <c r="I30" s="1416">
        <v>2</v>
      </c>
      <c r="J30" s="1416" t="s">
        <v>701</v>
      </c>
      <c r="K30" s="1417" t="s">
        <v>676</v>
      </c>
      <c r="L30" s="1418" t="s">
        <v>737</v>
      </c>
      <c r="M30" s="1419">
        <v>5000000</v>
      </c>
      <c r="N30" s="1424" t="s">
        <v>678</v>
      </c>
      <c r="O30" s="1413" t="s">
        <v>679</v>
      </c>
      <c r="P30" s="1423" t="s">
        <v>680</v>
      </c>
      <c r="Q30" s="1163"/>
      <c r="R30" s="1269">
        <v>0</v>
      </c>
      <c r="S30" s="1357"/>
      <c r="T30" s="1357">
        <f>+Tabla16[[#This Row],[CDPS A 31 JULIO 2022]]-Tabla16[[#This Row],[CDP]]</f>
        <v>0</v>
      </c>
      <c r="U30" s="1357"/>
      <c r="V30" s="1357"/>
      <c r="W30" s="1357"/>
      <c r="AK30" s="1207" t="s">
        <v>740</v>
      </c>
    </row>
    <row r="31" spans="1:39" s="1207" customFormat="1" ht="135" x14ac:dyDescent="0.2">
      <c r="A31" s="1409">
        <v>2022626</v>
      </c>
      <c r="B31" s="1425">
        <v>7658</v>
      </c>
      <c r="C31" s="1426" t="s">
        <v>681</v>
      </c>
      <c r="D31" s="1427" t="s">
        <v>691</v>
      </c>
      <c r="E31" s="1428">
        <v>24101602</v>
      </c>
      <c r="F31" s="1429" t="s">
        <v>1267</v>
      </c>
      <c r="G31" s="1430">
        <v>44650</v>
      </c>
      <c r="H31" s="1430">
        <v>44713</v>
      </c>
      <c r="I31" s="1431">
        <v>4</v>
      </c>
      <c r="J31" s="1416" t="s">
        <v>698</v>
      </c>
      <c r="K31" s="1432" t="s">
        <v>772</v>
      </c>
      <c r="L31" s="1418" t="s">
        <v>983</v>
      </c>
      <c r="M31" s="1433">
        <f>180000000-1600000</f>
        <v>178400000</v>
      </c>
      <c r="N31" s="1420" t="s">
        <v>774</v>
      </c>
      <c r="O31" s="1428" t="s">
        <v>773</v>
      </c>
      <c r="P31" s="1421" t="s">
        <v>680</v>
      </c>
      <c r="Q31" s="1163"/>
      <c r="R31" s="1357">
        <v>178400000</v>
      </c>
      <c r="S31" s="1357">
        <v>178400000</v>
      </c>
      <c r="T31" s="1357">
        <f>+Tabla16[[#This Row],[CDPS A 31 JULIO 2022]]-Tabla16[[#This Row],[CDP]]</f>
        <v>0</v>
      </c>
      <c r="U31" s="1357">
        <v>178400000</v>
      </c>
      <c r="V31" s="1357"/>
      <c r="W31" s="1357"/>
      <c r="AK31" s="1207" t="s">
        <v>743</v>
      </c>
    </row>
    <row r="32" spans="1:39" s="1207" customFormat="1" ht="150" x14ac:dyDescent="0.2">
      <c r="A32" s="1422">
        <v>2022663</v>
      </c>
      <c r="B32" s="1410">
        <v>7658</v>
      </c>
      <c r="C32" s="1411" t="s">
        <v>681</v>
      </c>
      <c r="D32" s="1412" t="s">
        <v>691</v>
      </c>
      <c r="E32" s="1435" t="s">
        <v>1289</v>
      </c>
      <c r="F32" s="1436" t="s">
        <v>1290</v>
      </c>
      <c r="G32" s="1437">
        <v>44795</v>
      </c>
      <c r="H32" s="1437">
        <v>44711</v>
      </c>
      <c r="I32" s="1416">
        <v>6</v>
      </c>
      <c r="J32" s="1416" t="s">
        <v>698</v>
      </c>
      <c r="K32" s="1417" t="s">
        <v>676</v>
      </c>
      <c r="L32" s="1418" t="s">
        <v>983</v>
      </c>
      <c r="M32" s="1419">
        <f>500000000-200000000-79859613</f>
        <v>220140387</v>
      </c>
      <c r="N32" s="1420" t="s">
        <v>774</v>
      </c>
      <c r="O32" s="1413" t="s">
        <v>773</v>
      </c>
      <c r="P32" s="1421" t="s">
        <v>680</v>
      </c>
      <c r="R32" s="1269">
        <v>0</v>
      </c>
      <c r="S32" s="1357"/>
      <c r="T32" s="1357">
        <f>+Tabla16[[#This Row],[CDPS A 31 JULIO 2022]]-Tabla16[[#This Row],[CDP]]</f>
        <v>0</v>
      </c>
      <c r="U32" s="1357"/>
      <c r="V32" s="1357"/>
      <c r="W32" s="1357"/>
      <c r="AK32" s="1207" t="s">
        <v>746</v>
      </c>
    </row>
    <row r="33" spans="1:38" s="1207" customFormat="1" ht="60" x14ac:dyDescent="0.2">
      <c r="A33" s="1422">
        <v>2022706</v>
      </c>
      <c r="B33" s="1410">
        <v>7658</v>
      </c>
      <c r="C33" s="1411" t="s">
        <v>681</v>
      </c>
      <c r="D33" s="1412" t="s">
        <v>691</v>
      </c>
      <c r="E33" s="1413" t="s">
        <v>1331</v>
      </c>
      <c r="F33" s="1414" t="s">
        <v>1332</v>
      </c>
      <c r="G33" s="1415">
        <v>44859</v>
      </c>
      <c r="H33" s="1415">
        <v>44859</v>
      </c>
      <c r="I33" s="1416">
        <v>2</v>
      </c>
      <c r="J33" s="1416" t="s">
        <v>647</v>
      </c>
      <c r="K33" s="1417" t="s">
        <v>772</v>
      </c>
      <c r="L33" s="1418" t="s">
        <v>968</v>
      </c>
      <c r="M33" s="1419">
        <f>559000000+230000000+43007367+15000000+51183595+537358+1600000</f>
        <v>900328320</v>
      </c>
      <c r="N33" s="1434" t="s">
        <v>790</v>
      </c>
      <c r="O33" s="1413" t="s">
        <v>777</v>
      </c>
      <c r="P33" s="1421" t="s">
        <v>759</v>
      </c>
      <c r="R33" s="1269">
        <v>0</v>
      </c>
      <c r="S33" s="1357"/>
      <c r="T33" s="1357">
        <f>+Tabla16[[#This Row],[CDPS A 31 JULIO 2022]]-Tabla16[[#This Row],[CDP]]</f>
        <v>0</v>
      </c>
      <c r="U33" s="1357"/>
      <c r="V33" s="1357"/>
      <c r="W33" s="1357"/>
      <c r="AK33" s="1207" t="s">
        <v>751</v>
      </c>
    </row>
    <row r="34" spans="1:38" s="1207" customFormat="1" ht="105" x14ac:dyDescent="0.2">
      <c r="A34" s="1422">
        <v>2022715</v>
      </c>
      <c r="B34" s="1410">
        <v>7637</v>
      </c>
      <c r="C34" s="1411" t="s">
        <v>645</v>
      </c>
      <c r="D34" s="1412" t="s">
        <v>673</v>
      </c>
      <c r="E34" s="1413" t="s">
        <v>1335</v>
      </c>
      <c r="F34" s="1414" t="s">
        <v>1336</v>
      </c>
      <c r="G34" s="1415">
        <v>44820</v>
      </c>
      <c r="H34" s="1415">
        <v>44849</v>
      </c>
      <c r="I34" s="1416">
        <v>3</v>
      </c>
      <c r="J34" s="1416" t="s">
        <v>701</v>
      </c>
      <c r="K34" s="1417" t="s">
        <v>772</v>
      </c>
      <c r="L34" s="1418" t="s">
        <v>737</v>
      </c>
      <c r="M34" s="1419">
        <v>15000000</v>
      </c>
      <c r="N34" s="1424" t="s">
        <v>678</v>
      </c>
      <c r="O34" s="1413" t="s">
        <v>679</v>
      </c>
      <c r="P34" s="1423" t="s">
        <v>680</v>
      </c>
      <c r="R34" s="1269">
        <v>15000000</v>
      </c>
      <c r="S34" s="1357"/>
      <c r="T34" s="1357">
        <f>+Tabla16[[#This Row],[CDPS A 31 JULIO 2022]]-Tabla16[[#This Row],[CDP]]</f>
        <v>15000000</v>
      </c>
      <c r="U34" s="1357"/>
      <c r="V34" s="1357"/>
      <c r="W34" s="1357"/>
      <c r="AK34" s="1207" t="s">
        <v>754</v>
      </c>
    </row>
    <row r="35" spans="1:38" s="1207" customFormat="1" ht="135" x14ac:dyDescent="0.2">
      <c r="A35" s="1422">
        <v>2022729</v>
      </c>
      <c r="B35" s="1410">
        <v>7658</v>
      </c>
      <c r="C35" s="1411" t="s">
        <v>681</v>
      </c>
      <c r="D35" s="1412" t="s">
        <v>691</v>
      </c>
      <c r="E35" s="1413">
        <v>80111600</v>
      </c>
      <c r="F35" s="1414" t="s">
        <v>947</v>
      </c>
      <c r="G35" s="1415">
        <v>44788</v>
      </c>
      <c r="H35" s="1415">
        <v>44783</v>
      </c>
      <c r="I35" s="1416">
        <v>6</v>
      </c>
      <c r="J35" s="1416" t="s">
        <v>675</v>
      </c>
      <c r="K35" s="1417" t="s">
        <v>676</v>
      </c>
      <c r="L35" s="1418" t="s">
        <v>677</v>
      </c>
      <c r="M35" s="1419">
        <f>43800000-7675000</f>
        <v>36125000</v>
      </c>
      <c r="N35" s="1420" t="s">
        <v>774</v>
      </c>
      <c r="O35" s="1413" t="s">
        <v>773</v>
      </c>
      <c r="P35" s="1421" t="s">
        <v>680</v>
      </c>
      <c r="R35" s="1269">
        <v>0</v>
      </c>
      <c r="S35" s="1357"/>
      <c r="T35" s="1357">
        <f>+Tabla16[[#This Row],[CDPS A 31 JULIO 2022]]-Tabla16[[#This Row],[CDP]]</f>
        <v>0</v>
      </c>
      <c r="U35" s="1357"/>
      <c r="V35" s="1357"/>
      <c r="W35" s="1357"/>
      <c r="AK35" s="1207" t="s">
        <v>734</v>
      </c>
    </row>
    <row r="36" spans="1:38" s="1207" customFormat="1" ht="135" x14ac:dyDescent="0.2">
      <c r="A36" s="1422">
        <v>2022811</v>
      </c>
      <c r="B36" s="1410">
        <v>7658</v>
      </c>
      <c r="C36" s="1411" t="s">
        <v>681</v>
      </c>
      <c r="D36" s="1412" t="s">
        <v>700</v>
      </c>
      <c r="E36" s="1413" t="s">
        <v>1398</v>
      </c>
      <c r="F36" s="1424" t="s">
        <v>1399</v>
      </c>
      <c r="G36" s="1415">
        <v>44788</v>
      </c>
      <c r="H36" s="1415">
        <v>44803</v>
      </c>
      <c r="I36" s="1416">
        <v>1</v>
      </c>
      <c r="J36" s="1416" t="s">
        <v>97</v>
      </c>
      <c r="K36" s="1417" t="s">
        <v>516</v>
      </c>
      <c r="L36" s="1418" t="s">
        <v>1107</v>
      </c>
      <c r="M36" s="1419">
        <v>6183142</v>
      </c>
      <c r="N36" s="1420" t="s">
        <v>781</v>
      </c>
      <c r="O36" s="1413" t="s">
        <v>773</v>
      </c>
      <c r="P36" s="1421" t="s">
        <v>759</v>
      </c>
      <c r="R36" s="1357"/>
      <c r="S36" s="1357"/>
      <c r="T36" s="1357">
        <f>+Tabla16[[#This Row],[CDPS A 31 JULIO 2022]]-Tabla16[[#This Row],[CDP]]</f>
        <v>0</v>
      </c>
      <c r="U36" s="1357"/>
      <c r="V36" s="1357"/>
      <c r="W36" s="1357"/>
      <c r="AK36" s="1207" t="s">
        <v>738</v>
      </c>
    </row>
    <row r="37" spans="1:38" s="1207" customFormat="1" ht="135" x14ac:dyDescent="0.2">
      <c r="A37" s="1422">
        <v>2022812</v>
      </c>
      <c r="B37" s="1410">
        <v>7658</v>
      </c>
      <c r="C37" s="1411" t="s">
        <v>681</v>
      </c>
      <c r="D37" s="1412" t="s">
        <v>700</v>
      </c>
      <c r="E37" s="1413" t="s">
        <v>1398</v>
      </c>
      <c r="F37" s="1424" t="s">
        <v>1400</v>
      </c>
      <c r="G37" s="1415">
        <v>44789</v>
      </c>
      <c r="H37" s="1415">
        <v>44804</v>
      </c>
      <c r="I37" s="1416">
        <v>1</v>
      </c>
      <c r="J37" s="1416" t="s">
        <v>97</v>
      </c>
      <c r="K37" s="1417" t="s">
        <v>516</v>
      </c>
      <c r="L37" s="1418" t="s">
        <v>677</v>
      </c>
      <c r="M37" s="1419">
        <v>151933</v>
      </c>
      <c r="N37" s="1420" t="s">
        <v>781</v>
      </c>
      <c r="O37" s="1413" t="s">
        <v>773</v>
      </c>
      <c r="P37" s="1421" t="s">
        <v>759</v>
      </c>
      <c r="R37" s="1357"/>
      <c r="S37" s="1357"/>
      <c r="T37" s="1357">
        <f>+Tabla16[[#This Row],[CDPS A 31 JULIO 2022]]-Tabla16[[#This Row],[CDP]]</f>
        <v>0</v>
      </c>
      <c r="U37" s="1357"/>
      <c r="V37" s="1357"/>
      <c r="W37" s="1357"/>
      <c r="AK37" s="1207" t="s">
        <v>761</v>
      </c>
    </row>
    <row r="38" spans="1:38" s="1207" customFormat="1" ht="135" x14ac:dyDescent="0.2">
      <c r="A38" s="1422">
        <v>2022813</v>
      </c>
      <c r="B38" s="1410">
        <v>7658</v>
      </c>
      <c r="C38" s="1411" t="s">
        <v>681</v>
      </c>
      <c r="D38" s="1412" t="s">
        <v>700</v>
      </c>
      <c r="E38" s="1413" t="s">
        <v>1398</v>
      </c>
      <c r="F38" s="1424" t="s">
        <v>1401</v>
      </c>
      <c r="G38" s="1415">
        <v>44790</v>
      </c>
      <c r="H38" s="1415">
        <v>44805</v>
      </c>
      <c r="I38" s="1416">
        <v>1</v>
      </c>
      <c r="J38" s="1416" t="s">
        <v>97</v>
      </c>
      <c r="K38" s="1417" t="s">
        <v>516</v>
      </c>
      <c r="L38" s="1418" t="s">
        <v>983</v>
      </c>
      <c r="M38" s="1419">
        <v>315000</v>
      </c>
      <c r="N38" s="1420" t="s">
        <v>781</v>
      </c>
      <c r="O38" s="1413" t="s">
        <v>773</v>
      </c>
      <c r="P38" s="1421" t="s">
        <v>759</v>
      </c>
      <c r="R38" s="1357"/>
      <c r="S38" s="1357"/>
      <c r="T38" s="1357">
        <f>+Tabla16[[#This Row],[CDPS A 31 JULIO 2022]]-Tabla16[[#This Row],[CDP]]</f>
        <v>0</v>
      </c>
      <c r="U38" s="1357"/>
      <c r="V38" s="1357"/>
      <c r="W38" s="1357"/>
    </row>
    <row r="39" spans="1:38" s="1207" customFormat="1" ht="105" x14ac:dyDescent="0.2">
      <c r="A39" s="1422">
        <v>2022829</v>
      </c>
      <c r="B39" s="1410">
        <v>7637</v>
      </c>
      <c r="C39" s="1411" t="s">
        <v>645</v>
      </c>
      <c r="D39" s="1412" t="s">
        <v>673</v>
      </c>
      <c r="E39" s="1413">
        <v>80111600</v>
      </c>
      <c r="F39" s="1413" t="s">
        <v>4715</v>
      </c>
      <c r="G39" s="1415">
        <v>44805</v>
      </c>
      <c r="H39" s="1415">
        <v>44819</v>
      </c>
      <c r="I39" s="1416">
        <v>2</v>
      </c>
      <c r="J39" s="1416" t="s">
        <v>675</v>
      </c>
      <c r="K39" s="1417" t="s">
        <v>676</v>
      </c>
      <c r="L39" s="1418" t="s">
        <v>677</v>
      </c>
      <c r="M39" s="1419">
        <v>10000000</v>
      </c>
      <c r="N39" s="1424" t="s">
        <v>678</v>
      </c>
      <c r="O39" s="1413" t="s">
        <v>1411</v>
      </c>
      <c r="P39" s="1421" t="s">
        <v>680</v>
      </c>
      <c r="R39" s="1357"/>
      <c r="S39" s="1357"/>
      <c r="T39" s="1357">
        <f>+Tabla16[[#This Row],[CDPS A 31 JULIO 2022]]-Tabla16[[#This Row],[CDP]]</f>
        <v>0</v>
      </c>
      <c r="U39" s="1357"/>
      <c r="V39" s="1357"/>
      <c r="W39" s="1357"/>
      <c r="AK39" s="1207" t="s">
        <v>766</v>
      </c>
      <c r="AL39" s="1207" t="s">
        <v>767</v>
      </c>
    </row>
    <row r="40" spans="1:38" s="1207" customFormat="1" ht="90" x14ac:dyDescent="0.2">
      <c r="A40" s="1422">
        <v>2022844</v>
      </c>
      <c r="B40" s="1410">
        <v>7658</v>
      </c>
      <c r="C40" s="1411" t="s">
        <v>681</v>
      </c>
      <c r="D40" s="1412" t="s">
        <v>697</v>
      </c>
      <c r="E40" s="1413">
        <v>80111600</v>
      </c>
      <c r="F40" s="1413" t="s">
        <v>1426</v>
      </c>
      <c r="G40" s="1415">
        <v>44814</v>
      </c>
      <c r="H40" s="1415">
        <v>44821</v>
      </c>
      <c r="I40" s="1416">
        <v>6</v>
      </c>
      <c r="J40" s="1416" t="s">
        <v>675</v>
      </c>
      <c r="K40" s="1417" t="s">
        <v>676</v>
      </c>
      <c r="L40" s="1418" t="s">
        <v>677</v>
      </c>
      <c r="M40" s="1419">
        <f>16500000-1439533</f>
        <v>15060467</v>
      </c>
      <c r="N40" s="1420" t="s">
        <v>767</v>
      </c>
      <c r="O40" s="1413" t="s">
        <v>766</v>
      </c>
      <c r="P40" s="1421" t="s">
        <v>680</v>
      </c>
      <c r="R40" s="1357"/>
      <c r="S40" s="1357"/>
      <c r="T40" s="1357">
        <f>+Tabla16[[#This Row],[CDPS A 31 JULIO 2022]]-Tabla16[[#This Row],[CDP]]</f>
        <v>0</v>
      </c>
      <c r="U40" s="1357"/>
      <c r="V40" s="1357"/>
      <c r="W40" s="1357"/>
      <c r="AK40" s="1207" t="s">
        <v>769</v>
      </c>
      <c r="AL40" s="1207" t="s">
        <v>770</v>
      </c>
    </row>
    <row r="41" spans="1:38" s="1207" customFormat="1" ht="90" x14ac:dyDescent="0.2">
      <c r="A41" s="1422">
        <v>2022846</v>
      </c>
      <c r="B41" s="1410" t="s">
        <v>459</v>
      </c>
      <c r="C41" s="1411"/>
      <c r="D41" s="1412" t="s">
        <v>673</v>
      </c>
      <c r="E41" s="1413">
        <v>81111811</v>
      </c>
      <c r="F41" s="1413" t="s">
        <v>1428</v>
      </c>
      <c r="G41" s="1415">
        <v>44866</v>
      </c>
      <c r="H41" s="1415">
        <v>44876</v>
      </c>
      <c r="I41" s="1416">
        <v>3</v>
      </c>
      <c r="J41" s="1416" t="s">
        <v>722</v>
      </c>
      <c r="K41" s="1417" t="s">
        <v>676</v>
      </c>
      <c r="L41" s="1418" t="s">
        <v>1429</v>
      </c>
      <c r="M41" s="1419">
        <v>70867180</v>
      </c>
      <c r="N41" s="1420"/>
      <c r="O41" s="1413"/>
      <c r="P41" s="1423" t="s">
        <v>759</v>
      </c>
      <c r="R41" s="1357"/>
      <c r="S41" s="1357"/>
      <c r="T41" s="1357">
        <f>+Tabla16[[#This Row],[CDPS A 31 JULIO 2022]]-Tabla16[[#This Row],[CDP]]</f>
        <v>0</v>
      </c>
      <c r="U41" s="1357"/>
      <c r="V41" s="1357"/>
      <c r="W41" s="1357"/>
      <c r="AK41" s="1207" t="s">
        <v>773</v>
      </c>
      <c r="AL41" s="1207" t="s">
        <v>774</v>
      </c>
    </row>
    <row r="42" spans="1:38" s="1207" customFormat="1" ht="105" x14ac:dyDescent="0.2">
      <c r="A42" s="1422">
        <v>2022847</v>
      </c>
      <c r="B42" s="1410">
        <v>7655</v>
      </c>
      <c r="C42" s="1411" t="s">
        <v>670</v>
      </c>
      <c r="D42" s="1412" t="s">
        <v>1430</v>
      </c>
      <c r="E42" s="1413">
        <v>80111600</v>
      </c>
      <c r="F42" s="1413" t="s">
        <v>1431</v>
      </c>
      <c r="G42" s="1415">
        <v>44814</v>
      </c>
      <c r="H42" s="1415">
        <v>44815</v>
      </c>
      <c r="I42" s="1416">
        <v>3.6</v>
      </c>
      <c r="J42" s="1416" t="s">
        <v>675</v>
      </c>
      <c r="K42" s="1417" t="s">
        <v>676</v>
      </c>
      <c r="L42" s="1418" t="s">
        <v>677</v>
      </c>
      <c r="M42" s="1419">
        <v>25666667</v>
      </c>
      <c r="N42" s="1420" t="s">
        <v>785</v>
      </c>
      <c r="O42" s="1413" t="s">
        <v>780</v>
      </c>
      <c r="P42" s="1421" t="s">
        <v>680</v>
      </c>
      <c r="Q42" s="1317"/>
      <c r="R42" s="1352"/>
      <c r="S42" s="1352"/>
      <c r="T42" s="1352">
        <f>+Tabla16[[#This Row],[CDPS A 31 JULIO 2022]]-Tabla16[[#This Row],[CDP]]</f>
        <v>0</v>
      </c>
      <c r="U42" s="1352"/>
      <c r="V42" s="1352"/>
      <c r="W42" s="1352"/>
      <c r="AK42" s="1207" t="s">
        <v>777</v>
      </c>
      <c r="AL42" s="1207" t="s">
        <v>778</v>
      </c>
    </row>
    <row r="43" spans="1:38" s="1207" customFormat="1" ht="105" x14ac:dyDescent="0.2">
      <c r="A43" s="1422">
        <v>2022848</v>
      </c>
      <c r="B43" s="1410">
        <v>7655</v>
      </c>
      <c r="C43" s="1411" t="s">
        <v>670</v>
      </c>
      <c r="D43" s="1412" t="s">
        <v>1430</v>
      </c>
      <c r="E43" s="1413">
        <v>80111600</v>
      </c>
      <c r="F43" s="1413" t="s">
        <v>1432</v>
      </c>
      <c r="G43" s="1415">
        <v>44814</v>
      </c>
      <c r="H43" s="1415">
        <v>44815</v>
      </c>
      <c r="I43" s="1416">
        <v>3.6</v>
      </c>
      <c r="J43" s="1416" t="s">
        <v>675</v>
      </c>
      <c r="K43" s="1417" t="s">
        <v>676</v>
      </c>
      <c r="L43" s="1418" t="s">
        <v>677</v>
      </c>
      <c r="M43" s="1419">
        <v>20166667</v>
      </c>
      <c r="N43" s="1420" t="s">
        <v>785</v>
      </c>
      <c r="O43" s="1413" t="s">
        <v>780</v>
      </c>
      <c r="P43" s="1421" t="s">
        <v>680</v>
      </c>
      <c r="Q43" s="1317"/>
      <c r="R43" s="1352"/>
      <c r="S43" s="1352"/>
      <c r="T43" s="1352">
        <f>+Tabla16[[#This Row],[CDPS A 31 JULIO 2022]]-Tabla16[[#This Row],[CDP]]</f>
        <v>0</v>
      </c>
      <c r="U43" s="1352"/>
      <c r="V43" s="1352"/>
      <c r="W43" s="1352"/>
      <c r="AK43" s="1207" t="s">
        <v>780</v>
      </c>
      <c r="AL43" s="1207" t="s">
        <v>781</v>
      </c>
    </row>
    <row r="44" spans="1:38" s="1207" customFormat="1" ht="105" x14ac:dyDescent="0.2">
      <c r="A44" s="1422">
        <v>2022849</v>
      </c>
      <c r="B44" s="1410">
        <v>7655</v>
      </c>
      <c r="C44" s="1411" t="s">
        <v>670</v>
      </c>
      <c r="D44" s="1412" t="s">
        <v>691</v>
      </c>
      <c r="E44" s="1413" t="s">
        <v>782</v>
      </c>
      <c r="F44" s="1413" t="s">
        <v>4705</v>
      </c>
      <c r="G44" s="1415">
        <v>44819</v>
      </c>
      <c r="H44" s="1415">
        <v>44814</v>
      </c>
      <c r="I44" s="1416" t="s">
        <v>4706</v>
      </c>
      <c r="J44" s="1416" t="s">
        <v>675</v>
      </c>
      <c r="K44" s="1417" t="s">
        <v>676</v>
      </c>
      <c r="L44" s="1418" t="s">
        <v>677</v>
      </c>
      <c r="M44" s="1419">
        <v>5400000</v>
      </c>
      <c r="N44" s="1420" t="s">
        <v>785</v>
      </c>
      <c r="O44" s="1413" t="s">
        <v>780</v>
      </c>
      <c r="P44" s="1421" t="s">
        <v>680</v>
      </c>
      <c r="Q44" s="1317"/>
      <c r="R44" s="1352"/>
      <c r="S44" s="1352"/>
      <c r="T44" s="1352">
        <f>+Tabla16[[#This Row],[CDPS A 31 JULIO 2022]]-Tabla16[[#This Row],[CDP]]</f>
        <v>0</v>
      </c>
      <c r="U44" s="1352"/>
      <c r="V44" s="1352"/>
      <c r="W44" s="1352"/>
      <c r="AK44" s="1207" t="s">
        <v>679</v>
      </c>
      <c r="AL44" s="1207" t="s">
        <v>786</v>
      </c>
    </row>
    <row r="45" spans="1:38" s="1207" customFormat="1" ht="105" x14ac:dyDescent="0.2">
      <c r="A45" s="1422">
        <v>2022850</v>
      </c>
      <c r="B45" s="1410">
        <v>7655</v>
      </c>
      <c r="C45" s="1411" t="s">
        <v>670</v>
      </c>
      <c r="D45" s="1412" t="s">
        <v>691</v>
      </c>
      <c r="E45" s="1413" t="s">
        <v>782</v>
      </c>
      <c r="F45" s="1413" t="s">
        <v>4707</v>
      </c>
      <c r="G45" s="1415">
        <v>44819</v>
      </c>
      <c r="H45" s="1415">
        <v>44814</v>
      </c>
      <c r="I45" s="1416" t="s">
        <v>4706</v>
      </c>
      <c r="J45" s="1416" t="s">
        <v>675</v>
      </c>
      <c r="K45" s="1417" t="s">
        <v>676</v>
      </c>
      <c r="L45" s="1418" t="s">
        <v>677</v>
      </c>
      <c r="M45" s="1419">
        <v>16500000</v>
      </c>
      <c r="N45" s="1420" t="s">
        <v>785</v>
      </c>
      <c r="O45" s="1413" t="s">
        <v>780</v>
      </c>
      <c r="P45" s="1421" t="s">
        <v>680</v>
      </c>
      <c r="Q45" s="1317"/>
      <c r="R45" s="1352"/>
      <c r="S45" s="1352"/>
      <c r="T45" s="1352">
        <f>+Tabla16[[#This Row],[CDPS A 31 JULIO 2022]]-Tabla16[[#This Row],[CDP]]</f>
        <v>0</v>
      </c>
      <c r="U45" s="1352"/>
      <c r="V45" s="1352"/>
      <c r="W45" s="1352"/>
      <c r="AL45" s="1207" t="s">
        <v>788</v>
      </c>
    </row>
    <row r="46" spans="1:38" s="1207" customFormat="1" ht="60" x14ac:dyDescent="0.2">
      <c r="A46" s="1422">
        <v>2022851</v>
      </c>
      <c r="B46" s="1410" t="s">
        <v>459</v>
      </c>
      <c r="C46" s="1411"/>
      <c r="D46" s="1412" t="s">
        <v>691</v>
      </c>
      <c r="E46" s="1413">
        <v>841315</v>
      </c>
      <c r="F46" s="1413" t="s">
        <v>4709</v>
      </c>
      <c r="G46" s="1415">
        <v>44819</v>
      </c>
      <c r="H46" s="1415">
        <v>44822</v>
      </c>
      <c r="I46" s="1416">
        <v>7</v>
      </c>
      <c r="J46" s="1416" t="s">
        <v>701</v>
      </c>
      <c r="K46" s="1417" t="s">
        <v>676</v>
      </c>
      <c r="L46" s="1418"/>
      <c r="M46" s="1419">
        <v>17000000</v>
      </c>
      <c r="N46" s="1420"/>
      <c r="O46" s="1413"/>
      <c r="P46" s="1423" t="s">
        <v>680</v>
      </c>
      <c r="Q46" s="1317"/>
      <c r="R46" s="1352"/>
      <c r="S46" s="1352"/>
      <c r="T46" s="1352">
        <f>+Tabla16[[#This Row],[CDPS A 31 JULIO 2022]]-Tabla16[[#This Row],[CDP]]</f>
        <v>0</v>
      </c>
      <c r="U46" s="1352"/>
      <c r="V46" s="1352"/>
      <c r="W46" s="1352"/>
      <c r="AL46" s="1207" t="s">
        <v>790</v>
      </c>
    </row>
    <row r="47" spans="1:38" s="1207" customFormat="1" ht="135" x14ac:dyDescent="0.2">
      <c r="A47" s="1422">
        <v>2022852</v>
      </c>
      <c r="B47" s="1410">
        <v>7658</v>
      </c>
      <c r="C47" s="1411" t="s">
        <v>681</v>
      </c>
      <c r="D47" s="1412" t="s">
        <v>691</v>
      </c>
      <c r="E47" s="1413">
        <v>80111600</v>
      </c>
      <c r="F47" s="1413" t="s">
        <v>4710</v>
      </c>
      <c r="G47" s="1415">
        <v>44819</v>
      </c>
      <c r="H47" s="1415">
        <v>44814</v>
      </c>
      <c r="I47" s="1416">
        <v>3</v>
      </c>
      <c r="J47" s="1416" t="s">
        <v>675</v>
      </c>
      <c r="K47" s="1417" t="s">
        <v>676</v>
      </c>
      <c r="L47" s="1418" t="s">
        <v>677</v>
      </c>
      <c r="M47" s="1419">
        <v>8250000</v>
      </c>
      <c r="N47" s="1420" t="s">
        <v>774</v>
      </c>
      <c r="O47" s="1413" t="s">
        <v>773</v>
      </c>
      <c r="P47" s="1421" t="s">
        <v>680</v>
      </c>
      <c r="Q47" s="1317"/>
      <c r="R47" s="1352"/>
      <c r="S47" s="1352"/>
      <c r="T47" s="1352">
        <f>+Tabla16[[#This Row],[CDPS A 31 JULIO 2022]]-Tabla16[[#This Row],[CDP]]</f>
        <v>0</v>
      </c>
      <c r="U47" s="1352"/>
      <c r="V47" s="1352"/>
      <c r="W47" s="1352"/>
      <c r="AL47" s="1207" t="s">
        <v>792</v>
      </c>
    </row>
    <row r="48" spans="1:38" s="1207" customFormat="1" ht="105" x14ac:dyDescent="0.2">
      <c r="A48" s="1422">
        <v>2022853</v>
      </c>
      <c r="B48" s="1410">
        <v>7655</v>
      </c>
      <c r="C48" s="1411" t="s">
        <v>670</v>
      </c>
      <c r="D48" s="1412" t="s">
        <v>697</v>
      </c>
      <c r="E48" s="1413">
        <v>80111600</v>
      </c>
      <c r="F48" s="1413" t="s">
        <v>4711</v>
      </c>
      <c r="G48" s="1415">
        <v>44816</v>
      </c>
      <c r="H48" s="1415">
        <v>44820</v>
      </c>
      <c r="I48" s="1416">
        <v>3</v>
      </c>
      <c r="J48" s="1416" t="s">
        <v>675</v>
      </c>
      <c r="K48" s="1417" t="s">
        <v>676</v>
      </c>
      <c r="L48" s="1418" t="s">
        <v>677</v>
      </c>
      <c r="M48" s="1419">
        <v>13041000</v>
      </c>
      <c r="N48" s="1420" t="s">
        <v>785</v>
      </c>
      <c r="O48" s="1413" t="s">
        <v>780</v>
      </c>
      <c r="P48" s="1421" t="s">
        <v>759</v>
      </c>
      <c r="Q48" s="1317"/>
      <c r="R48" s="1352"/>
      <c r="S48" s="1352"/>
      <c r="T48" s="1352">
        <f>+Tabla16[[#This Row],[CDPS A 31 JULIO 2022]]-Tabla16[[#This Row],[CDP]]</f>
        <v>0</v>
      </c>
      <c r="U48" s="1352"/>
      <c r="V48" s="1352"/>
      <c r="W48" s="1352"/>
      <c r="AL48" s="1207" t="s">
        <v>785</v>
      </c>
    </row>
    <row r="49" spans="1:38" s="1207" customFormat="1" ht="105" x14ac:dyDescent="0.2">
      <c r="A49" s="1422">
        <v>2022854</v>
      </c>
      <c r="B49" s="1410">
        <v>7655</v>
      </c>
      <c r="C49" s="1411" t="s">
        <v>670</v>
      </c>
      <c r="D49" s="1412" t="s">
        <v>697</v>
      </c>
      <c r="E49" s="1413">
        <v>80111600</v>
      </c>
      <c r="F49" s="1413" t="s">
        <v>4712</v>
      </c>
      <c r="G49" s="1415">
        <v>44846</v>
      </c>
      <c r="H49" s="1415">
        <v>44850</v>
      </c>
      <c r="I49" s="1416">
        <v>3</v>
      </c>
      <c r="J49" s="1416" t="s">
        <v>675</v>
      </c>
      <c r="K49" s="1417" t="s">
        <v>676</v>
      </c>
      <c r="L49" s="1418" t="s">
        <v>677</v>
      </c>
      <c r="M49" s="1419">
        <v>15300000</v>
      </c>
      <c r="N49" s="1420" t="s">
        <v>785</v>
      </c>
      <c r="O49" s="1413" t="s">
        <v>780</v>
      </c>
      <c r="P49" s="1421" t="s">
        <v>759</v>
      </c>
      <c r="Q49" s="1317"/>
      <c r="R49" s="1352"/>
      <c r="S49" s="1352"/>
      <c r="T49" s="1352">
        <f>+Tabla16[[#This Row],[CDPS A 31 JULIO 2022]]-Tabla16[[#This Row],[CDP]]</f>
        <v>0</v>
      </c>
      <c r="U49" s="1352"/>
      <c r="V49" s="1352"/>
      <c r="W49" s="1352"/>
      <c r="AL49" s="1207" t="s">
        <v>706</v>
      </c>
    </row>
    <row r="50" spans="1:38" s="1207" customFormat="1" ht="105" x14ac:dyDescent="0.2">
      <c r="A50" s="1422">
        <v>2022855</v>
      </c>
      <c r="B50" s="1410">
        <v>7655</v>
      </c>
      <c r="C50" s="1411" t="s">
        <v>670</v>
      </c>
      <c r="D50" s="1412" t="s">
        <v>697</v>
      </c>
      <c r="E50" s="1413">
        <v>80111600</v>
      </c>
      <c r="F50" s="1413" t="s">
        <v>4713</v>
      </c>
      <c r="G50" s="1415">
        <v>44851</v>
      </c>
      <c r="H50" s="1415">
        <v>44859</v>
      </c>
      <c r="I50" s="1416">
        <v>3</v>
      </c>
      <c r="J50" s="1416" t="s">
        <v>675</v>
      </c>
      <c r="K50" s="1417" t="s">
        <v>676</v>
      </c>
      <c r="L50" s="1418" t="s">
        <v>677</v>
      </c>
      <c r="M50" s="1419">
        <v>13260000</v>
      </c>
      <c r="N50" s="1420" t="s">
        <v>785</v>
      </c>
      <c r="O50" s="1413" t="s">
        <v>780</v>
      </c>
      <c r="P50" s="1421" t="s">
        <v>759</v>
      </c>
      <c r="Q50" s="1317"/>
      <c r="R50" s="1352"/>
      <c r="S50" s="1352"/>
      <c r="T50" s="1352">
        <f>+Tabla16[[#This Row],[CDPS A 31 JULIO 2022]]-Tabla16[[#This Row],[CDP]]</f>
        <v>0</v>
      </c>
      <c r="U50" s="1352"/>
      <c r="V50" s="1352"/>
      <c r="W50" s="1352"/>
      <c r="AL50" s="1207" t="s">
        <v>687</v>
      </c>
    </row>
    <row r="51" spans="1:38" s="1207" customFormat="1" ht="90" x14ac:dyDescent="0.2">
      <c r="A51" s="1422">
        <v>2022856</v>
      </c>
      <c r="B51" s="1410">
        <v>7658</v>
      </c>
      <c r="C51" s="1411" t="s">
        <v>681</v>
      </c>
      <c r="D51" s="1412" t="s">
        <v>697</v>
      </c>
      <c r="E51" s="1413">
        <v>80111600</v>
      </c>
      <c r="F51" s="1413" t="s">
        <v>1008</v>
      </c>
      <c r="G51" s="1415">
        <v>44820</v>
      </c>
      <c r="H51" s="1415">
        <v>44823</v>
      </c>
      <c r="I51" s="1416">
        <v>3</v>
      </c>
      <c r="J51" s="1416" t="s">
        <v>675</v>
      </c>
      <c r="K51" s="1417" t="s">
        <v>676</v>
      </c>
      <c r="L51" s="1418" t="s">
        <v>677</v>
      </c>
      <c r="M51" s="1419">
        <v>21000000</v>
      </c>
      <c r="N51" s="1420" t="s">
        <v>767</v>
      </c>
      <c r="O51" s="1413" t="s">
        <v>766</v>
      </c>
      <c r="P51" s="1421" t="s">
        <v>680</v>
      </c>
      <c r="Q51" s="1317"/>
      <c r="R51" s="1352"/>
      <c r="S51" s="1352"/>
      <c r="T51" s="1352">
        <f>+Tabla16[[#This Row],[CDPS A 31 JULIO 2022]]-Tabla16[[#This Row],[CDP]]</f>
        <v>0</v>
      </c>
      <c r="U51" s="1352"/>
      <c r="V51" s="1352"/>
      <c r="W51" s="1352"/>
    </row>
    <row r="52" spans="1:38" s="1207" customFormat="1" ht="105" x14ac:dyDescent="0.2">
      <c r="A52" s="1422">
        <v>2022857</v>
      </c>
      <c r="B52" s="1410">
        <v>7637</v>
      </c>
      <c r="C52" s="1411" t="s">
        <v>645</v>
      </c>
      <c r="D52" s="1412" t="s">
        <v>673</v>
      </c>
      <c r="E52" s="1413">
        <v>80111600</v>
      </c>
      <c r="F52" s="1413" t="s">
        <v>4714</v>
      </c>
      <c r="G52" s="1415">
        <v>44819</v>
      </c>
      <c r="H52" s="1415">
        <v>44849</v>
      </c>
      <c r="I52" s="1416">
        <v>2</v>
      </c>
      <c r="J52" s="1416" t="s">
        <v>675</v>
      </c>
      <c r="K52" s="1417" t="s">
        <v>676</v>
      </c>
      <c r="L52" s="1418" t="s">
        <v>677</v>
      </c>
      <c r="M52" s="1419">
        <v>13600000</v>
      </c>
      <c r="N52" s="1420" t="s">
        <v>734</v>
      </c>
      <c r="O52" s="1413" t="s">
        <v>1411</v>
      </c>
      <c r="P52" s="1421" t="s">
        <v>680</v>
      </c>
      <c r="Q52" s="1317"/>
      <c r="R52" s="1352"/>
      <c r="S52" s="1352"/>
      <c r="T52" s="1352">
        <f>+Tabla16[[#This Row],[CDPS A 31 JULIO 2022]]-Tabla16[[#This Row],[CDP]]</f>
        <v>0</v>
      </c>
      <c r="U52" s="1352"/>
      <c r="V52" s="1352"/>
      <c r="W52" s="1352"/>
    </row>
    <row r="53" spans="1:38" s="1207" customFormat="1" ht="105" x14ac:dyDescent="0.2">
      <c r="A53" s="1355">
        <v>2022001</v>
      </c>
      <c r="B53" s="1172">
        <v>7637</v>
      </c>
      <c r="C53" s="1356" t="s">
        <v>645</v>
      </c>
      <c r="D53" s="1173" t="s">
        <v>673</v>
      </c>
      <c r="E53" s="1174">
        <v>80111600</v>
      </c>
      <c r="F53" s="1175" t="s">
        <v>674</v>
      </c>
      <c r="G53" s="1231">
        <v>44562</v>
      </c>
      <c r="H53" s="1231">
        <v>44592</v>
      </c>
      <c r="I53" s="1176">
        <v>11</v>
      </c>
      <c r="J53" s="1176" t="s">
        <v>675</v>
      </c>
      <c r="K53" s="1177" t="s">
        <v>676</v>
      </c>
      <c r="L53" s="1178" t="s">
        <v>677</v>
      </c>
      <c r="M53" s="1179">
        <f>70100000-43032640-20000000-7067360</f>
        <v>0</v>
      </c>
      <c r="N53" s="1189" t="s">
        <v>678</v>
      </c>
      <c r="O53" s="1174" t="s">
        <v>679</v>
      </c>
      <c r="P53" s="1159" t="s">
        <v>680</v>
      </c>
      <c r="Q53" s="1159"/>
      <c r="R53" s="1269">
        <v>0</v>
      </c>
      <c r="S53" s="1269"/>
      <c r="T53" s="1269">
        <f>+Tabla16[[#This Row],[CDPS A 31 JULIO 2022]]-Tabla16[[#This Row],[CDP]]</f>
        <v>0</v>
      </c>
      <c r="U53" s="1269"/>
      <c r="V53" s="1269"/>
      <c r="W53" s="1375"/>
    </row>
    <row r="54" spans="1:38" s="1207" customFormat="1" ht="105" x14ac:dyDescent="0.2">
      <c r="A54" s="1355">
        <v>2022002</v>
      </c>
      <c r="B54" s="1172">
        <v>7637</v>
      </c>
      <c r="C54" s="1356" t="s">
        <v>645</v>
      </c>
      <c r="D54" s="1173" t="s">
        <v>673</v>
      </c>
      <c r="E54" s="1174">
        <v>80111600</v>
      </c>
      <c r="F54" s="1175" t="s">
        <v>683</v>
      </c>
      <c r="G54" s="1231">
        <v>44562</v>
      </c>
      <c r="H54" s="1231">
        <v>44592</v>
      </c>
      <c r="I54" s="1176">
        <v>11</v>
      </c>
      <c r="J54" s="1176" t="s">
        <v>675</v>
      </c>
      <c r="K54" s="1177" t="s">
        <v>676</v>
      </c>
      <c r="L54" s="1178" t="s">
        <v>677</v>
      </c>
      <c r="M54" s="1179">
        <f>77000000-2200000</f>
        <v>74800000</v>
      </c>
      <c r="N54" s="1189" t="s">
        <v>678</v>
      </c>
      <c r="O54" s="1174" t="s">
        <v>679</v>
      </c>
      <c r="P54" s="1159" t="s">
        <v>680</v>
      </c>
      <c r="R54" s="1269">
        <v>74800000</v>
      </c>
      <c r="S54" s="1357">
        <v>74800000</v>
      </c>
      <c r="T54" s="1357">
        <f>+Tabla16[[#This Row],[CDPS A 31 JULIO 2022]]-Tabla16[[#This Row],[CDP]]</f>
        <v>0</v>
      </c>
      <c r="U54" s="1357">
        <v>74800000</v>
      </c>
      <c r="V54" s="1357">
        <v>29240000</v>
      </c>
      <c r="W54" s="1357"/>
    </row>
    <row r="55" spans="1:38" s="1207" customFormat="1" ht="105" x14ac:dyDescent="0.2">
      <c r="A55" s="1355">
        <v>2022003</v>
      </c>
      <c r="B55" s="1172">
        <v>7637</v>
      </c>
      <c r="C55" s="1356" t="s">
        <v>645</v>
      </c>
      <c r="D55" s="1173" t="s">
        <v>673</v>
      </c>
      <c r="E55" s="1174">
        <v>80111600</v>
      </c>
      <c r="F55" s="1175" t="s">
        <v>686</v>
      </c>
      <c r="G55" s="1231">
        <v>44562</v>
      </c>
      <c r="H55" s="1231">
        <v>44592</v>
      </c>
      <c r="I55" s="1176">
        <v>11</v>
      </c>
      <c r="J55" s="1176" t="s">
        <v>675</v>
      </c>
      <c r="K55" s="1177" t="s">
        <v>676</v>
      </c>
      <c r="L55" s="1178" t="s">
        <v>677</v>
      </c>
      <c r="M55" s="1179">
        <f>77000000-8800000-18600000</f>
        <v>49600000</v>
      </c>
      <c r="N55" s="1386" t="s">
        <v>687</v>
      </c>
      <c r="O55" s="1174" t="s">
        <v>679</v>
      </c>
      <c r="P55" s="1159" t="s">
        <v>680</v>
      </c>
      <c r="R55" s="1269">
        <v>49600000</v>
      </c>
      <c r="S55" s="1357">
        <v>49600000</v>
      </c>
      <c r="T55" s="1357">
        <f>+Tabla16[[#This Row],[CDPS A 31 JULIO 2022]]-Tabla16[[#This Row],[CDP]]</f>
        <v>0</v>
      </c>
      <c r="U55" s="1357">
        <v>49600000</v>
      </c>
      <c r="V55" s="1357">
        <v>24800000</v>
      </c>
      <c r="W55" s="1357"/>
    </row>
    <row r="56" spans="1:38" s="1207" customFormat="1" ht="105" x14ac:dyDescent="0.2">
      <c r="A56" s="1355">
        <v>2022004</v>
      </c>
      <c r="B56" s="1172">
        <v>7637</v>
      </c>
      <c r="C56" s="1356" t="s">
        <v>645</v>
      </c>
      <c r="D56" s="1173" t="s">
        <v>673</v>
      </c>
      <c r="E56" s="1174">
        <v>80111600</v>
      </c>
      <c r="F56" s="1175" t="s">
        <v>690</v>
      </c>
      <c r="G56" s="1231">
        <v>44562</v>
      </c>
      <c r="H56" s="1231">
        <v>44592</v>
      </c>
      <c r="I56" s="1176">
        <v>11</v>
      </c>
      <c r="J56" s="1176" t="s">
        <v>675</v>
      </c>
      <c r="K56" s="1177" t="s">
        <v>676</v>
      </c>
      <c r="L56" s="1178" t="s">
        <v>677</v>
      </c>
      <c r="M56" s="1179">
        <f>77000000-2200000</f>
        <v>74800000</v>
      </c>
      <c r="N56" s="1189" t="s">
        <v>678</v>
      </c>
      <c r="O56" s="1174" t="s">
        <v>679</v>
      </c>
      <c r="P56" s="1159" t="s">
        <v>680</v>
      </c>
      <c r="R56" s="1269">
        <v>74800000</v>
      </c>
      <c r="S56" s="1357">
        <v>74800000</v>
      </c>
      <c r="T56" s="1357">
        <f>+Tabla16[[#This Row],[CDPS A 31 JULIO 2022]]-Tabla16[[#This Row],[CDP]]</f>
        <v>0</v>
      </c>
      <c r="U56" s="1357">
        <v>74800000</v>
      </c>
      <c r="V56" s="1357">
        <v>28560000</v>
      </c>
      <c r="W56" s="1357"/>
    </row>
    <row r="57" spans="1:38" s="1207" customFormat="1" ht="105" x14ac:dyDescent="0.2">
      <c r="A57" s="1355">
        <v>2022006</v>
      </c>
      <c r="B57" s="1172">
        <v>7637</v>
      </c>
      <c r="C57" s="1356" t="s">
        <v>645</v>
      </c>
      <c r="D57" s="1173" t="s">
        <v>673</v>
      </c>
      <c r="E57" s="1174">
        <v>80111600</v>
      </c>
      <c r="F57" s="1175" t="s">
        <v>696</v>
      </c>
      <c r="G57" s="1231">
        <v>44562</v>
      </c>
      <c r="H57" s="1231">
        <v>44592</v>
      </c>
      <c r="I57" s="1176">
        <v>11</v>
      </c>
      <c r="J57" s="1176" t="s">
        <v>675</v>
      </c>
      <c r="K57" s="1177" t="s">
        <v>676</v>
      </c>
      <c r="L57" s="1178" t="s">
        <v>677</v>
      </c>
      <c r="M57" s="1179">
        <f>66000000-18000000</f>
        <v>48000000</v>
      </c>
      <c r="N57" s="1189" t="s">
        <v>678</v>
      </c>
      <c r="O57" s="1174" t="s">
        <v>679</v>
      </c>
      <c r="P57" s="1159" t="s">
        <v>680</v>
      </c>
      <c r="R57" s="1269">
        <v>48000000</v>
      </c>
      <c r="S57" s="1357">
        <v>48000000</v>
      </c>
      <c r="T57" s="1357">
        <f>+Tabla16[[#This Row],[CDPS A 31 JULIO 2022]]-Tabla16[[#This Row],[CDP]]</f>
        <v>0</v>
      </c>
      <c r="U57" s="1357">
        <v>48000000</v>
      </c>
      <c r="V57" s="1357">
        <v>24000000</v>
      </c>
      <c r="W57" s="1357"/>
    </row>
    <row r="58" spans="1:38" s="1207" customFormat="1" ht="105" x14ac:dyDescent="0.2">
      <c r="A58" s="1355">
        <v>2022007</v>
      </c>
      <c r="B58" s="1172">
        <v>7637</v>
      </c>
      <c r="C58" s="1356" t="s">
        <v>645</v>
      </c>
      <c r="D58" s="1173" t="s">
        <v>673</v>
      </c>
      <c r="E58" s="1174">
        <v>80111600</v>
      </c>
      <c r="F58" s="1175" t="s">
        <v>699</v>
      </c>
      <c r="G58" s="1231">
        <v>44562</v>
      </c>
      <c r="H58" s="1231">
        <v>44592</v>
      </c>
      <c r="I58" s="1176">
        <v>11</v>
      </c>
      <c r="J58" s="1176" t="s">
        <v>675</v>
      </c>
      <c r="K58" s="1177" t="s">
        <v>676</v>
      </c>
      <c r="L58" s="1178" t="s">
        <v>677</v>
      </c>
      <c r="M58" s="1179">
        <v>77000000</v>
      </c>
      <c r="N58" s="1189" t="s">
        <v>678</v>
      </c>
      <c r="O58" s="1174" t="s">
        <v>679</v>
      </c>
      <c r="P58" s="1159" t="s">
        <v>680</v>
      </c>
      <c r="R58" s="1269">
        <v>74800000</v>
      </c>
      <c r="S58" s="1357">
        <v>74800000</v>
      </c>
      <c r="T58" s="1357">
        <f>+Tabla16[[#This Row],[CDPS A 31 JULIO 2022]]-Tabla16[[#This Row],[CDP]]</f>
        <v>0</v>
      </c>
      <c r="U58" s="1357">
        <v>74800000</v>
      </c>
      <c r="V58" s="1357">
        <v>29240000</v>
      </c>
      <c r="W58" s="1357"/>
    </row>
    <row r="59" spans="1:38" s="1207" customFormat="1" ht="105" x14ac:dyDescent="0.2">
      <c r="A59" s="1355">
        <v>2022008</v>
      </c>
      <c r="B59" s="1172">
        <v>7637</v>
      </c>
      <c r="C59" s="1356" t="s">
        <v>645</v>
      </c>
      <c r="D59" s="1173" t="s">
        <v>673</v>
      </c>
      <c r="E59" s="1174">
        <v>80111600</v>
      </c>
      <c r="F59" s="1175" t="s">
        <v>702</v>
      </c>
      <c r="G59" s="1231">
        <v>44562</v>
      </c>
      <c r="H59" s="1231">
        <v>44592</v>
      </c>
      <c r="I59" s="1176">
        <v>11</v>
      </c>
      <c r="J59" s="1176" t="s">
        <v>675</v>
      </c>
      <c r="K59" s="1177" t="s">
        <v>676</v>
      </c>
      <c r="L59" s="1178" t="s">
        <v>677</v>
      </c>
      <c r="M59" s="1179">
        <f>77000000-2200000</f>
        <v>74800000</v>
      </c>
      <c r="N59" s="1189" t="s">
        <v>678</v>
      </c>
      <c r="O59" s="1174" t="s">
        <v>679</v>
      </c>
      <c r="P59" s="1159" t="s">
        <v>680</v>
      </c>
      <c r="R59" s="1269">
        <v>74800000</v>
      </c>
      <c r="S59" s="1357">
        <v>74800000</v>
      </c>
      <c r="T59" s="1357">
        <f>+Tabla16[[#This Row],[CDPS A 31 JULIO 2022]]-Tabla16[[#This Row],[CDP]]</f>
        <v>0</v>
      </c>
      <c r="U59" s="1357">
        <v>74800000</v>
      </c>
      <c r="V59" s="1357">
        <v>27880000</v>
      </c>
      <c r="W59" s="1357"/>
    </row>
    <row r="60" spans="1:38" s="1207" customFormat="1" ht="105" x14ac:dyDescent="0.2">
      <c r="A60" s="1355">
        <v>2022009</v>
      </c>
      <c r="B60" s="1172">
        <v>7637</v>
      </c>
      <c r="C60" s="1356" t="s">
        <v>645</v>
      </c>
      <c r="D60" s="1173" t="s">
        <v>673</v>
      </c>
      <c r="E60" s="1174">
        <v>80111600</v>
      </c>
      <c r="F60" s="1175" t="s">
        <v>705</v>
      </c>
      <c r="G60" s="1231">
        <v>44562</v>
      </c>
      <c r="H60" s="1231">
        <v>44592</v>
      </c>
      <c r="I60" s="1176">
        <v>11</v>
      </c>
      <c r="J60" s="1176" t="s">
        <v>675</v>
      </c>
      <c r="K60" s="1177" t="s">
        <v>676</v>
      </c>
      <c r="L60" s="1178" t="s">
        <v>677</v>
      </c>
      <c r="M60" s="1179">
        <f>77000000-8800000-18600000</f>
        <v>49600000</v>
      </c>
      <c r="N60" s="1386" t="s">
        <v>706</v>
      </c>
      <c r="O60" s="1174" t="s">
        <v>679</v>
      </c>
      <c r="P60" s="1159" t="s">
        <v>680</v>
      </c>
      <c r="R60" s="1269">
        <v>49600000</v>
      </c>
      <c r="S60" s="1357">
        <v>49600000</v>
      </c>
      <c r="T60" s="1357">
        <f>+Tabla16[[#This Row],[CDPS A 31 JULIO 2022]]-Tabla16[[#This Row],[CDP]]</f>
        <v>0</v>
      </c>
      <c r="U60" s="1357">
        <v>49600000</v>
      </c>
      <c r="V60" s="1357">
        <v>24800000</v>
      </c>
      <c r="W60" s="1357"/>
    </row>
    <row r="61" spans="1:38" s="1207" customFormat="1" ht="105" x14ac:dyDescent="0.2">
      <c r="A61" s="1355">
        <v>2022010</v>
      </c>
      <c r="B61" s="1172">
        <v>7637</v>
      </c>
      <c r="C61" s="1356" t="s">
        <v>645</v>
      </c>
      <c r="D61" s="1173" t="s">
        <v>673</v>
      </c>
      <c r="E61" s="1174">
        <v>80111600</v>
      </c>
      <c r="F61" s="1175" t="s">
        <v>708</v>
      </c>
      <c r="G61" s="1231">
        <v>44562</v>
      </c>
      <c r="H61" s="1231">
        <v>44592</v>
      </c>
      <c r="I61" s="1176">
        <v>11</v>
      </c>
      <c r="J61" s="1176" t="s">
        <v>675</v>
      </c>
      <c r="K61" s="1177" t="s">
        <v>676</v>
      </c>
      <c r="L61" s="1178" t="s">
        <v>677</v>
      </c>
      <c r="M61" s="1179">
        <f>66000000-16400000</f>
        <v>49600000</v>
      </c>
      <c r="N61" s="1189" t="s">
        <v>678</v>
      </c>
      <c r="O61" s="1174" t="s">
        <v>679</v>
      </c>
      <c r="P61" s="1159" t="s">
        <v>680</v>
      </c>
      <c r="R61" s="1269">
        <v>49600000</v>
      </c>
      <c r="S61" s="1357">
        <v>49600000</v>
      </c>
      <c r="T61" s="1357">
        <f>+Tabla16[[#This Row],[CDPS A 31 JULIO 2022]]-Tabla16[[#This Row],[CDP]]</f>
        <v>0</v>
      </c>
      <c r="U61" s="1357">
        <v>49600000</v>
      </c>
      <c r="V61" s="1357">
        <v>24800000</v>
      </c>
      <c r="W61" s="1357"/>
    </row>
    <row r="62" spans="1:38" s="1207" customFormat="1" ht="105" x14ac:dyDescent="0.2">
      <c r="A62" s="1355">
        <v>2022011</v>
      </c>
      <c r="B62" s="1172">
        <v>7637</v>
      </c>
      <c r="C62" s="1356" t="s">
        <v>645</v>
      </c>
      <c r="D62" s="1173" t="s">
        <v>673</v>
      </c>
      <c r="E62" s="1174">
        <v>80111600</v>
      </c>
      <c r="F62" s="1175" t="s">
        <v>710</v>
      </c>
      <c r="G62" s="1231">
        <v>44562</v>
      </c>
      <c r="H62" s="1231">
        <v>44592</v>
      </c>
      <c r="I62" s="1176">
        <v>11</v>
      </c>
      <c r="J62" s="1176" t="s">
        <v>675</v>
      </c>
      <c r="K62" s="1177" t="s">
        <v>676</v>
      </c>
      <c r="L62" s="1178" t="s">
        <v>677</v>
      </c>
      <c r="M62" s="1179">
        <f>33000000-9000000</f>
        <v>24000000</v>
      </c>
      <c r="N62" s="1189" t="s">
        <v>678</v>
      </c>
      <c r="O62" s="1174" t="s">
        <v>679</v>
      </c>
      <c r="P62" s="1159" t="s">
        <v>680</v>
      </c>
      <c r="R62" s="1269">
        <v>24000000</v>
      </c>
      <c r="S62" s="1357">
        <v>24000000</v>
      </c>
      <c r="T62" s="1357">
        <f>+Tabla16[[#This Row],[CDPS A 31 JULIO 2022]]-Tabla16[[#This Row],[CDP]]</f>
        <v>0</v>
      </c>
      <c r="U62" s="1357">
        <v>24000000</v>
      </c>
      <c r="V62" s="1357">
        <v>12300000</v>
      </c>
      <c r="W62" s="1357"/>
    </row>
    <row r="63" spans="1:38" s="1207" customFormat="1" ht="105" x14ac:dyDescent="0.2">
      <c r="A63" s="1355">
        <v>2022012</v>
      </c>
      <c r="B63" s="1172">
        <v>7637</v>
      </c>
      <c r="C63" s="1356" t="s">
        <v>645</v>
      </c>
      <c r="D63" s="1173" t="s">
        <v>673</v>
      </c>
      <c r="E63" s="1174">
        <v>80111600</v>
      </c>
      <c r="F63" s="1175" t="s">
        <v>712</v>
      </c>
      <c r="G63" s="1231">
        <v>44562</v>
      </c>
      <c r="H63" s="1231">
        <v>44592</v>
      </c>
      <c r="I63" s="1176">
        <v>11</v>
      </c>
      <c r="J63" s="1176" t="s">
        <v>675</v>
      </c>
      <c r="K63" s="1177" t="s">
        <v>676</v>
      </c>
      <c r="L63" s="1178" t="s">
        <v>677</v>
      </c>
      <c r="M63" s="1179">
        <v>49500000</v>
      </c>
      <c r="N63" s="1189" t="s">
        <v>678</v>
      </c>
      <c r="O63" s="1174" t="s">
        <v>679</v>
      </c>
      <c r="P63" s="1159" t="s">
        <v>680</v>
      </c>
      <c r="R63" s="1269">
        <v>49500000</v>
      </c>
      <c r="S63" s="1357">
        <v>49500000</v>
      </c>
      <c r="T63" s="1357">
        <f>+Tabla16[[#This Row],[CDPS A 31 JULIO 2022]]-Tabla16[[#This Row],[CDP]]</f>
        <v>0</v>
      </c>
      <c r="U63" s="1357">
        <v>49500000</v>
      </c>
      <c r="V63" s="1357">
        <v>19650000</v>
      </c>
      <c r="W63" s="1357"/>
    </row>
    <row r="64" spans="1:38" s="1207" customFormat="1" ht="105" x14ac:dyDescent="0.2">
      <c r="A64" s="1355">
        <v>2022013</v>
      </c>
      <c r="B64" s="1172">
        <v>7637</v>
      </c>
      <c r="C64" s="1356" t="s">
        <v>645</v>
      </c>
      <c r="D64" s="1173" t="s">
        <v>673</v>
      </c>
      <c r="E64" s="1174">
        <v>80111600</v>
      </c>
      <c r="F64" s="1175" t="s">
        <v>714</v>
      </c>
      <c r="G64" s="1231">
        <v>44562</v>
      </c>
      <c r="H64" s="1231">
        <v>44592</v>
      </c>
      <c r="I64" s="1176">
        <v>11</v>
      </c>
      <c r="J64" s="1176" t="s">
        <v>675</v>
      </c>
      <c r="K64" s="1177" t="s">
        <v>676</v>
      </c>
      <c r="L64" s="1178" t="s">
        <v>677</v>
      </c>
      <c r="M64" s="1179">
        <v>49500000</v>
      </c>
      <c r="N64" s="1189" t="s">
        <v>678</v>
      </c>
      <c r="O64" s="1174" t="s">
        <v>679</v>
      </c>
      <c r="P64" s="1159" t="s">
        <v>680</v>
      </c>
      <c r="R64" s="1269">
        <v>49500000</v>
      </c>
      <c r="S64" s="1357">
        <v>49500000</v>
      </c>
      <c r="T64" s="1357">
        <f>+Tabla16[[#This Row],[CDPS A 31 JULIO 2022]]-Tabla16[[#This Row],[CDP]]</f>
        <v>0</v>
      </c>
      <c r="U64" s="1357">
        <v>49500000</v>
      </c>
      <c r="V64" s="1357">
        <v>18000000</v>
      </c>
      <c r="W64" s="1357"/>
    </row>
    <row r="65" spans="1:23" s="1207" customFormat="1" ht="105" x14ac:dyDescent="0.2">
      <c r="A65" s="1355">
        <v>2022014</v>
      </c>
      <c r="B65" s="1172">
        <v>7637</v>
      </c>
      <c r="C65" s="1356" t="s">
        <v>645</v>
      </c>
      <c r="D65" s="1173" t="s">
        <v>673</v>
      </c>
      <c r="E65" s="1174">
        <v>80111600</v>
      </c>
      <c r="F65" s="1175" t="s">
        <v>716</v>
      </c>
      <c r="G65" s="1231">
        <v>44562</v>
      </c>
      <c r="H65" s="1231">
        <v>44592</v>
      </c>
      <c r="I65" s="1176">
        <v>11</v>
      </c>
      <c r="J65" s="1176" t="s">
        <v>675</v>
      </c>
      <c r="K65" s="1177" t="s">
        <v>676</v>
      </c>
      <c r="L65" s="1178" t="s">
        <v>677</v>
      </c>
      <c r="M65" s="1179">
        <f>77000000-20400000-2200000</f>
        <v>54400000</v>
      </c>
      <c r="N65" s="1386" t="s">
        <v>706</v>
      </c>
      <c r="O65" s="1174" t="s">
        <v>679</v>
      </c>
      <c r="P65" s="1159" t="s">
        <v>680</v>
      </c>
      <c r="R65" s="1269">
        <v>54400000</v>
      </c>
      <c r="S65" s="1357">
        <v>54400000</v>
      </c>
      <c r="T65" s="1357">
        <f>+Tabla16[[#This Row],[CDPS A 31 JULIO 2022]]-Tabla16[[#This Row],[CDP]]</f>
        <v>0</v>
      </c>
      <c r="U65" s="1357">
        <v>54400000</v>
      </c>
      <c r="V65" s="1357">
        <v>29466666</v>
      </c>
      <c r="W65" s="1357"/>
    </row>
    <row r="66" spans="1:23" s="1207" customFormat="1" ht="105" x14ac:dyDescent="0.2">
      <c r="A66" s="1355">
        <v>2022015</v>
      </c>
      <c r="B66" s="1172">
        <v>7637</v>
      </c>
      <c r="C66" s="1356" t="s">
        <v>645</v>
      </c>
      <c r="D66" s="1173" t="s">
        <v>673</v>
      </c>
      <c r="E66" s="1174">
        <v>80111600</v>
      </c>
      <c r="F66" s="1175" t="s">
        <v>718</v>
      </c>
      <c r="G66" s="1231">
        <v>44562</v>
      </c>
      <c r="H66" s="1231">
        <v>44592</v>
      </c>
      <c r="I66" s="1176">
        <v>11</v>
      </c>
      <c r="J66" s="1176" t="s">
        <v>675</v>
      </c>
      <c r="K66" s="1177" t="s">
        <v>676</v>
      </c>
      <c r="L66" s="1178" t="s">
        <v>677</v>
      </c>
      <c r="M66" s="1179">
        <f>77000000-20400000-2200000</f>
        <v>54400000</v>
      </c>
      <c r="N66" s="1189" t="s">
        <v>678</v>
      </c>
      <c r="O66" s="1174" t="s">
        <v>679</v>
      </c>
      <c r="P66" s="1159" t="s">
        <v>680</v>
      </c>
      <c r="R66" s="1269">
        <v>54400000</v>
      </c>
      <c r="S66" s="1357">
        <v>54400000</v>
      </c>
      <c r="T66" s="1357">
        <f>+Tabla16[[#This Row],[CDPS A 31 JULIO 2022]]-Tabla16[[#This Row],[CDP]]</f>
        <v>0</v>
      </c>
      <c r="U66" s="1357">
        <v>54400000</v>
      </c>
      <c r="V66" s="1357">
        <v>27880000</v>
      </c>
      <c r="W66" s="1357"/>
    </row>
    <row r="67" spans="1:23" s="1207" customFormat="1" ht="105" x14ac:dyDescent="0.2">
      <c r="A67" s="1355">
        <v>2022016</v>
      </c>
      <c r="B67" s="1172">
        <v>7637</v>
      </c>
      <c r="C67" s="1356" t="s">
        <v>645</v>
      </c>
      <c r="D67" s="1173" t="s">
        <v>673</v>
      </c>
      <c r="E67" s="1174">
        <v>80111600</v>
      </c>
      <c r="F67" s="1175" t="s">
        <v>720</v>
      </c>
      <c r="G67" s="1231">
        <v>44562</v>
      </c>
      <c r="H67" s="1231">
        <v>44592</v>
      </c>
      <c r="I67" s="1176">
        <v>6</v>
      </c>
      <c r="J67" s="1176" t="s">
        <v>675</v>
      </c>
      <c r="K67" s="1177" t="s">
        <v>676</v>
      </c>
      <c r="L67" s="1178" t="s">
        <v>677</v>
      </c>
      <c r="M67" s="1179">
        <f>49500000-15000000-4500000</f>
        <v>30000000</v>
      </c>
      <c r="N67" s="1386" t="s">
        <v>706</v>
      </c>
      <c r="O67" s="1174" t="s">
        <v>679</v>
      </c>
      <c r="P67" s="1159" t="s">
        <v>680</v>
      </c>
      <c r="R67" s="1269">
        <v>30000000</v>
      </c>
      <c r="S67" s="1357">
        <v>30000000</v>
      </c>
      <c r="T67" s="1357">
        <f>+Tabla16[[#This Row],[CDPS A 31 JULIO 2022]]-Tabla16[[#This Row],[CDP]]</f>
        <v>0</v>
      </c>
      <c r="U67" s="1357">
        <v>30000000</v>
      </c>
      <c r="V67" s="1357">
        <v>20000000</v>
      </c>
      <c r="W67" s="1357"/>
    </row>
    <row r="68" spans="1:23" s="1207" customFormat="1" ht="105" x14ac:dyDescent="0.2">
      <c r="A68" s="1355">
        <v>2022017</v>
      </c>
      <c r="B68" s="1172">
        <v>7637</v>
      </c>
      <c r="C68" s="1356" t="s">
        <v>645</v>
      </c>
      <c r="D68" s="1173" t="s">
        <v>673</v>
      </c>
      <c r="E68" s="1174">
        <v>80111600</v>
      </c>
      <c r="F68" s="1175" t="s">
        <v>721</v>
      </c>
      <c r="G68" s="1231">
        <v>44562</v>
      </c>
      <c r="H68" s="1231">
        <v>44592</v>
      </c>
      <c r="I68" s="1176">
        <v>11</v>
      </c>
      <c r="J68" s="1176" t="s">
        <v>675</v>
      </c>
      <c r="K68" s="1177" t="s">
        <v>676</v>
      </c>
      <c r="L68" s="1178" t="s">
        <v>677</v>
      </c>
      <c r="M68" s="1179">
        <f>33000000-15600000-532640</f>
        <v>16867360</v>
      </c>
      <c r="N68" s="1189" t="s">
        <v>678</v>
      </c>
      <c r="O68" s="1174" t="s">
        <v>679</v>
      </c>
      <c r="P68" s="1159" t="s">
        <v>680</v>
      </c>
      <c r="R68" s="1269">
        <v>16800000</v>
      </c>
      <c r="S68" s="1357">
        <v>16800000</v>
      </c>
      <c r="T68" s="1357">
        <f>+Tabla16[[#This Row],[CDPS A 31 JULIO 2022]]-Tabla16[[#This Row],[CDP]]</f>
        <v>0</v>
      </c>
      <c r="U68" s="1357">
        <v>16800000</v>
      </c>
      <c r="V68" s="1357">
        <v>11666667</v>
      </c>
      <c r="W68" s="1357"/>
    </row>
    <row r="69" spans="1:23" s="1207" customFormat="1" ht="105" x14ac:dyDescent="0.2">
      <c r="A69" s="1355">
        <v>2022018</v>
      </c>
      <c r="B69" s="1172">
        <v>7637</v>
      </c>
      <c r="C69" s="1356" t="s">
        <v>645</v>
      </c>
      <c r="D69" s="1173" t="s">
        <v>673</v>
      </c>
      <c r="E69" s="1174">
        <v>80111600</v>
      </c>
      <c r="F69" s="1175" t="s">
        <v>723</v>
      </c>
      <c r="G69" s="1231">
        <v>44562</v>
      </c>
      <c r="H69" s="1231">
        <v>44592</v>
      </c>
      <c r="I69" s="1176">
        <v>11</v>
      </c>
      <c r="J69" s="1176" t="s">
        <v>675</v>
      </c>
      <c r="K69" s="1177" t="s">
        <v>676</v>
      </c>
      <c r="L69" s="1178" t="s">
        <v>677</v>
      </c>
      <c r="M69" s="1179">
        <f>29500000-9000000</f>
        <v>20500000</v>
      </c>
      <c r="N69" s="1189" t="s">
        <v>678</v>
      </c>
      <c r="O69" s="1174" t="s">
        <v>679</v>
      </c>
      <c r="P69" s="1159" t="s">
        <v>680</v>
      </c>
      <c r="R69" s="1269">
        <v>24000000</v>
      </c>
      <c r="S69" s="1357">
        <v>24000000</v>
      </c>
      <c r="T69" s="1357">
        <f>+Tabla16[[#This Row],[CDPS A 31 JULIO 2022]]-Tabla16[[#This Row],[CDP]]</f>
        <v>0</v>
      </c>
      <c r="U69" s="1357">
        <v>24000000</v>
      </c>
      <c r="V69" s="1357">
        <v>12000000</v>
      </c>
      <c r="W69" s="1357"/>
    </row>
    <row r="70" spans="1:23" s="1207" customFormat="1" ht="105" x14ac:dyDescent="0.2">
      <c r="A70" s="1355">
        <v>2022019</v>
      </c>
      <c r="B70" s="1172">
        <v>7637</v>
      </c>
      <c r="C70" s="1356" t="s">
        <v>645</v>
      </c>
      <c r="D70" s="1173" t="s">
        <v>673</v>
      </c>
      <c r="E70" s="1174">
        <v>80111600</v>
      </c>
      <c r="F70" s="1175" t="s">
        <v>725</v>
      </c>
      <c r="G70" s="1231">
        <v>44562</v>
      </c>
      <c r="H70" s="1231">
        <v>44592</v>
      </c>
      <c r="I70" s="1176">
        <v>11</v>
      </c>
      <c r="J70" s="1176" t="s">
        <v>675</v>
      </c>
      <c r="K70" s="1177" t="s">
        <v>676</v>
      </c>
      <c r="L70" s="1178" t="s">
        <v>677</v>
      </c>
      <c r="M70" s="1179">
        <f>68200000-16450000-10350000</f>
        <v>41400000</v>
      </c>
      <c r="N70" s="1189" t="s">
        <v>678</v>
      </c>
      <c r="O70" s="1174" t="s">
        <v>679</v>
      </c>
      <c r="P70" s="1159" t="s">
        <v>680</v>
      </c>
      <c r="R70" s="1269">
        <v>41400000</v>
      </c>
      <c r="S70" s="1357">
        <v>41400000</v>
      </c>
      <c r="T70" s="1357">
        <f>+Tabla16[[#This Row],[CDPS A 31 JULIO 2022]]-Tabla16[[#This Row],[CDP]]</f>
        <v>0</v>
      </c>
      <c r="U70" s="1357">
        <v>41400000</v>
      </c>
      <c r="V70" s="1357">
        <v>17250000</v>
      </c>
      <c r="W70" s="1357"/>
    </row>
    <row r="71" spans="1:23" s="1207" customFormat="1" ht="105" x14ac:dyDescent="0.2">
      <c r="A71" s="1355">
        <v>2022020</v>
      </c>
      <c r="B71" s="1172">
        <v>7637</v>
      </c>
      <c r="C71" s="1356" t="s">
        <v>645</v>
      </c>
      <c r="D71" s="1173" t="s">
        <v>673</v>
      </c>
      <c r="E71" s="1174">
        <v>80111600</v>
      </c>
      <c r="F71" s="1175" t="s">
        <v>727</v>
      </c>
      <c r="G71" s="1231">
        <v>44562</v>
      </c>
      <c r="H71" s="1231">
        <v>44592</v>
      </c>
      <c r="I71" s="1176">
        <v>11</v>
      </c>
      <c r="J71" s="1176" t="s">
        <v>675</v>
      </c>
      <c r="K71" s="1177" t="s">
        <v>676</v>
      </c>
      <c r="L71" s="1178" t="s">
        <v>677</v>
      </c>
      <c r="M71" s="1179">
        <f>49500000-13500000</f>
        <v>36000000</v>
      </c>
      <c r="N71" s="1189" t="s">
        <v>678</v>
      </c>
      <c r="O71" s="1174" t="s">
        <v>679</v>
      </c>
      <c r="P71" s="1159" t="s">
        <v>680</v>
      </c>
      <c r="R71" s="1269">
        <v>36000000</v>
      </c>
      <c r="S71" s="1357">
        <v>36000000</v>
      </c>
      <c r="T71" s="1357">
        <f>+Tabla16[[#This Row],[CDPS A 31 JULIO 2022]]-Tabla16[[#This Row],[CDP]]</f>
        <v>0</v>
      </c>
      <c r="U71" s="1357">
        <v>36000000</v>
      </c>
      <c r="V71" s="1357">
        <v>18900000</v>
      </c>
      <c r="W71" s="1357"/>
    </row>
    <row r="72" spans="1:23" s="1207" customFormat="1" ht="105" x14ac:dyDescent="0.2">
      <c r="A72" s="1355">
        <v>2022022</v>
      </c>
      <c r="B72" s="1172">
        <v>7637</v>
      </c>
      <c r="C72" s="1356" t="s">
        <v>645</v>
      </c>
      <c r="D72" s="1173" t="s">
        <v>673</v>
      </c>
      <c r="E72" s="1176" t="s">
        <v>729</v>
      </c>
      <c r="F72" s="1175" t="s">
        <v>730</v>
      </c>
      <c r="G72" s="1231">
        <v>44621</v>
      </c>
      <c r="H72" s="1231">
        <v>44681</v>
      </c>
      <c r="I72" s="1176">
        <v>1</v>
      </c>
      <c r="J72" s="1176" t="s">
        <v>722</v>
      </c>
      <c r="K72" s="1177" t="s">
        <v>676</v>
      </c>
      <c r="L72" s="1178" t="s">
        <v>731</v>
      </c>
      <c r="M72" s="1179">
        <f>600000000-13361620-945888-1281233-5000000-12095659</f>
        <v>567315600</v>
      </c>
      <c r="N72" s="1189" t="s">
        <v>678</v>
      </c>
      <c r="O72" s="1174" t="s">
        <v>679</v>
      </c>
      <c r="P72" s="1163" t="s">
        <v>680</v>
      </c>
      <c r="R72" s="1269">
        <v>567315600</v>
      </c>
      <c r="S72" s="1357">
        <v>567315600</v>
      </c>
      <c r="T72" s="1357">
        <f>+Tabla16[[#This Row],[CDPS A 31 JULIO 2022]]-Tabla16[[#This Row],[CDP]]</f>
        <v>0</v>
      </c>
      <c r="U72" s="1357">
        <v>567315600</v>
      </c>
      <c r="V72" s="1357"/>
      <c r="W72" s="1357"/>
    </row>
    <row r="73" spans="1:23" s="1207" customFormat="1" ht="105" x14ac:dyDescent="0.2">
      <c r="A73" s="1355">
        <v>2022023</v>
      </c>
      <c r="B73" s="1172">
        <v>7637</v>
      </c>
      <c r="C73" s="1356" t="s">
        <v>645</v>
      </c>
      <c r="D73" s="1173" t="s">
        <v>673</v>
      </c>
      <c r="E73" s="1176">
        <v>81112401</v>
      </c>
      <c r="F73" s="1175" t="s">
        <v>733</v>
      </c>
      <c r="G73" s="1231">
        <v>44714</v>
      </c>
      <c r="H73" s="1231">
        <v>44746</v>
      </c>
      <c r="I73" s="1176">
        <v>10</v>
      </c>
      <c r="J73" s="1176" t="s">
        <v>722</v>
      </c>
      <c r="K73" s="1177" t="s">
        <v>676</v>
      </c>
      <c r="L73" s="1178" t="s">
        <v>731</v>
      </c>
      <c r="M73" s="1179">
        <f>195700000-26723240-1891777-118550434</f>
        <v>48534549</v>
      </c>
      <c r="N73" s="1189" t="s">
        <v>678</v>
      </c>
      <c r="O73" s="1174" t="s">
        <v>679</v>
      </c>
      <c r="P73" s="1207" t="s">
        <v>680</v>
      </c>
      <c r="R73" s="1269">
        <v>167084983</v>
      </c>
      <c r="S73" s="1357">
        <v>167084983</v>
      </c>
      <c r="T73" s="1357">
        <f>+Tabla16[[#This Row],[CDPS A 31 JULIO 2022]]-Tabla16[[#This Row],[CDP]]</f>
        <v>0</v>
      </c>
      <c r="U73" s="1357"/>
      <c r="V73" s="1357"/>
      <c r="W73" s="1357"/>
    </row>
    <row r="74" spans="1:23" s="1207" customFormat="1" ht="105" x14ac:dyDescent="0.2">
      <c r="A74" s="1355">
        <v>2022024</v>
      </c>
      <c r="B74" s="1172">
        <v>7637</v>
      </c>
      <c r="C74" s="1356" t="s">
        <v>645</v>
      </c>
      <c r="D74" s="1173" t="s">
        <v>673</v>
      </c>
      <c r="E74" s="1176" t="s">
        <v>735</v>
      </c>
      <c r="F74" s="1175" t="s">
        <v>736</v>
      </c>
      <c r="G74" s="1231">
        <v>44713</v>
      </c>
      <c r="H74" s="1231">
        <v>44737</v>
      </c>
      <c r="I74" s="1176">
        <v>6</v>
      </c>
      <c r="J74" s="1176" t="s">
        <v>698</v>
      </c>
      <c r="K74" s="1177" t="s">
        <v>676</v>
      </c>
      <c r="L74" s="1178" t="s">
        <v>737</v>
      </c>
      <c r="M74" s="1179">
        <v>114000000</v>
      </c>
      <c r="N74" s="1189" t="s">
        <v>678</v>
      </c>
      <c r="O74" s="1174" t="s">
        <v>679</v>
      </c>
      <c r="P74" s="1207" t="s">
        <v>680</v>
      </c>
      <c r="Q74" s="1163"/>
      <c r="R74" s="1269">
        <v>114000000</v>
      </c>
      <c r="S74" s="1357">
        <v>114000000</v>
      </c>
      <c r="T74" s="1357">
        <f>+Tabla16[[#This Row],[CDPS A 31 JULIO 2022]]-Tabla16[[#This Row],[CDP]]</f>
        <v>0</v>
      </c>
      <c r="U74" s="1357"/>
      <c r="V74" s="1357"/>
      <c r="W74" s="1357"/>
    </row>
    <row r="75" spans="1:23" s="1207" customFormat="1" ht="105" x14ac:dyDescent="0.2">
      <c r="A75" s="1355">
        <v>2022025</v>
      </c>
      <c r="B75" s="1172">
        <v>7637</v>
      </c>
      <c r="C75" s="1356" t="s">
        <v>645</v>
      </c>
      <c r="D75" s="1173" t="s">
        <v>673</v>
      </c>
      <c r="E75" s="1176">
        <v>81112217</v>
      </c>
      <c r="F75" s="1175" t="s">
        <v>739</v>
      </c>
      <c r="G75" s="1231">
        <v>44713</v>
      </c>
      <c r="H75" s="1231">
        <v>44773</v>
      </c>
      <c r="I75" s="1176">
        <v>12</v>
      </c>
      <c r="J75" s="1176" t="s">
        <v>722</v>
      </c>
      <c r="K75" s="1177" t="s">
        <v>676</v>
      </c>
      <c r="L75" s="1178" t="s">
        <v>737</v>
      </c>
      <c r="M75" s="1179">
        <f>50000000+18000000</f>
        <v>68000000</v>
      </c>
      <c r="N75" s="1386" t="s">
        <v>687</v>
      </c>
      <c r="O75" s="1174" t="s">
        <v>679</v>
      </c>
      <c r="P75" s="1207" t="s">
        <v>680</v>
      </c>
      <c r="Q75" s="1163"/>
      <c r="R75" s="1269">
        <v>50000000</v>
      </c>
      <c r="S75" s="1357"/>
      <c r="T75" s="1357">
        <f>+Tabla16[[#This Row],[CDPS A 31 JULIO 2022]]-Tabla16[[#This Row],[CDP]]</f>
        <v>50000000</v>
      </c>
      <c r="U75" s="1357"/>
      <c r="V75" s="1357"/>
      <c r="W75" s="1357"/>
    </row>
    <row r="76" spans="1:23" s="1207" customFormat="1" ht="105" x14ac:dyDescent="0.2">
      <c r="A76" s="1355">
        <v>2022026</v>
      </c>
      <c r="B76" s="1172">
        <v>7637</v>
      </c>
      <c r="C76" s="1356" t="s">
        <v>645</v>
      </c>
      <c r="D76" s="1173" t="s">
        <v>673</v>
      </c>
      <c r="E76" s="1176" t="s">
        <v>741</v>
      </c>
      <c r="F76" s="1175" t="s">
        <v>742</v>
      </c>
      <c r="G76" s="1231">
        <v>44713</v>
      </c>
      <c r="H76" s="1231">
        <v>44773</v>
      </c>
      <c r="I76" s="1176">
        <v>12</v>
      </c>
      <c r="J76" s="1176" t="s">
        <v>722</v>
      </c>
      <c r="K76" s="1177" t="s">
        <v>676</v>
      </c>
      <c r="L76" s="1178" t="s">
        <v>737</v>
      </c>
      <c r="M76" s="1179">
        <f>150000000-7332250</f>
        <v>142667750</v>
      </c>
      <c r="N76" s="1189" t="s">
        <v>678</v>
      </c>
      <c r="O76" s="1174" t="s">
        <v>679</v>
      </c>
      <c r="P76" s="1207" t="s">
        <v>680</v>
      </c>
      <c r="Q76" s="1163"/>
      <c r="R76" s="1269">
        <v>142667750</v>
      </c>
      <c r="S76" s="1357">
        <v>142667750</v>
      </c>
      <c r="T76" s="1357">
        <f>+Tabla16[[#This Row],[CDPS A 31 JULIO 2022]]-Tabla16[[#This Row],[CDP]]</f>
        <v>0</v>
      </c>
      <c r="U76" s="1357">
        <v>142667750</v>
      </c>
      <c r="V76" s="1357"/>
      <c r="W76" s="1357"/>
    </row>
    <row r="77" spans="1:23" s="1207" customFormat="1" ht="105" x14ac:dyDescent="0.2">
      <c r="A77" s="1355">
        <v>2022027</v>
      </c>
      <c r="B77" s="1172">
        <v>7637</v>
      </c>
      <c r="C77" s="1356" t="s">
        <v>645</v>
      </c>
      <c r="D77" s="1173" t="s">
        <v>673</v>
      </c>
      <c r="E77" s="1176">
        <v>81161712</v>
      </c>
      <c r="F77" s="1175" t="s">
        <v>744</v>
      </c>
      <c r="G77" s="1231">
        <v>44682</v>
      </c>
      <c r="H77" s="1231">
        <v>44742</v>
      </c>
      <c r="I77" s="1176">
        <v>1</v>
      </c>
      <c r="J77" s="1176" t="s">
        <v>701</v>
      </c>
      <c r="K77" s="1177" t="s">
        <v>676</v>
      </c>
      <c r="L77" s="1178" t="s">
        <v>745</v>
      </c>
      <c r="M77" s="1179">
        <v>10000000</v>
      </c>
      <c r="N77" s="1189" t="s">
        <v>678</v>
      </c>
      <c r="O77" s="1174" t="s">
        <v>679</v>
      </c>
      <c r="P77" s="1207" t="s">
        <v>680</v>
      </c>
      <c r="Q77" s="1163"/>
      <c r="R77" s="1269">
        <v>0</v>
      </c>
      <c r="S77" s="1357"/>
      <c r="T77" s="1357">
        <f>+Tabla16[[#This Row],[CDPS A 31 JULIO 2022]]-Tabla16[[#This Row],[CDP]]</f>
        <v>0</v>
      </c>
      <c r="U77" s="1357"/>
      <c r="V77" s="1357"/>
      <c r="W77" s="1357"/>
    </row>
    <row r="78" spans="1:23" s="1207" customFormat="1" ht="105" x14ac:dyDescent="0.2">
      <c r="A78" s="1355">
        <v>2022028</v>
      </c>
      <c r="B78" s="1172">
        <v>7637</v>
      </c>
      <c r="C78" s="1356" t="s">
        <v>645</v>
      </c>
      <c r="D78" s="1173" t="s">
        <v>673</v>
      </c>
      <c r="E78" s="1176" t="s">
        <v>747</v>
      </c>
      <c r="F78" s="1175" t="s">
        <v>748</v>
      </c>
      <c r="G78" s="1231">
        <v>44621</v>
      </c>
      <c r="H78" s="1231">
        <v>44651</v>
      </c>
      <c r="I78" s="1176">
        <v>5</v>
      </c>
      <c r="J78" s="1268" t="s">
        <v>97</v>
      </c>
      <c r="K78" s="1177" t="s">
        <v>676</v>
      </c>
      <c r="L78" s="1178" t="s">
        <v>749</v>
      </c>
      <c r="M78" s="1179">
        <f>81000000-1433712-31595960</f>
        <v>47970328</v>
      </c>
      <c r="N78" s="1189" t="s">
        <v>678</v>
      </c>
      <c r="O78" s="1174" t="s">
        <v>679</v>
      </c>
      <c r="P78" s="1163" t="s">
        <v>750</v>
      </c>
      <c r="Q78" s="1163"/>
      <c r="R78" s="1269">
        <v>47970328</v>
      </c>
      <c r="S78" s="1357">
        <v>47970328</v>
      </c>
      <c r="T78" s="1357">
        <f>+Tabla16[[#This Row],[CDPS A 31 JULIO 2022]]-Tabla16[[#This Row],[CDP]]</f>
        <v>0</v>
      </c>
      <c r="U78" s="1357">
        <v>47970328</v>
      </c>
      <c r="V78" s="1357">
        <v>9708972</v>
      </c>
      <c r="W78" s="1357"/>
    </row>
    <row r="79" spans="1:23" s="1207" customFormat="1" ht="105" x14ac:dyDescent="0.2">
      <c r="A79" s="1355">
        <v>2022029</v>
      </c>
      <c r="B79" s="1172">
        <v>7637</v>
      </c>
      <c r="C79" s="1356" t="s">
        <v>645</v>
      </c>
      <c r="D79" s="1173" t="s">
        <v>673</v>
      </c>
      <c r="E79" s="1176" t="s">
        <v>752</v>
      </c>
      <c r="F79" s="1175" t="s">
        <v>753</v>
      </c>
      <c r="G79" s="1231">
        <v>44743</v>
      </c>
      <c r="H79" s="1231">
        <v>44834</v>
      </c>
      <c r="I79" s="1176">
        <v>4</v>
      </c>
      <c r="J79" s="1268" t="s">
        <v>685</v>
      </c>
      <c r="K79" s="1177" t="s">
        <v>676</v>
      </c>
      <c r="L79" s="1178" t="s">
        <v>749</v>
      </c>
      <c r="M79" s="1179">
        <f>80000000+31595960+43032640</f>
        <v>154628600</v>
      </c>
      <c r="N79" s="1189" t="s">
        <v>678</v>
      </c>
      <c r="O79" s="1174" t="s">
        <v>679</v>
      </c>
      <c r="P79" s="1163" t="s">
        <v>680</v>
      </c>
      <c r="Q79" s="1163"/>
      <c r="R79" s="1269">
        <v>154628600</v>
      </c>
      <c r="S79" s="1357"/>
      <c r="T79" s="1357">
        <f>+Tabla16[[#This Row],[CDPS A 31 JULIO 2022]]-Tabla16[[#This Row],[CDP]]</f>
        <v>154628600</v>
      </c>
      <c r="U79" s="1357"/>
      <c r="V79" s="1357"/>
      <c r="W79" s="1357"/>
    </row>
    <row r="80" spans="1:23" s="1207" customFormat="1" ht="105" x14ac:dyDescent="0.2">
      <c r="A80" s="1355">
        <v>2022031</v>
      </c>
      <c r="B80" s="1172">
        <v>7637</v>
      </c>
      <c r="C80" s="1356" t="s">
        <v>645</v>
      </c>
      <c r="D80" s="1173" t="s">
        <v>673</v>
      </c>
      <c r="E80" s="1176" t="s">
        <v>755</v>
      </c>
      <c r="F80" s="1175" t="s">
        <v>756</v>
      </c>
      <c r="G80" s="1387">
        <v>44669</v>
      </c>
      <c r="H80" s="1387">
        <v>44699</v>
      </c>
      <c r="I80" s="1176">
        <v>2</v>
      </c>
      <c r="J80" s="1176" t="s">
        <v>698</v>
      </c>
      <c r="K80" s="1177" t="s">
        <v>676</v>
      </c>
      <c r="L80" s="1178" t="s">
        <v>737</v>
      </c>
      <c r="M80" s="1179">
        <f>72100000+60000000+43900000</f>
        <v>176000000</v>
      </c>
      <c r="N80" s="1386" t="s">
        <v>706</v>
      </c>
      <c r="O80" s="1174" t="s">
        <v>679</v>
      </c>
      <c r="P80" s="1207" t="s">
        <v>680</v>
      </c>
      <c r="Q80" s="1163"/>
      <c r="R80" s="1269">
        <v>176000000</v>
      </c>
      <c r="S80" s="1357">
        <v>176000000</v>
      </c>
      <c r="T80" s="1357">
        <f>+Tabla16[[#This Row],[CDPS A 31 JULIO 2022]]-Tabla16[[#This Row],[CDP]]</f>
        <v>0</v>
      </c>
      <c r="U80" s="1357"/>
      <c r="V80" s="1357"/>
      <c r="W80" s="1357"/>
    </row>
    <row r="81" spans="1:23" s="1207" customFormat="1" ht="105" x14ac:dyDescent="0.2">
      <c r="A81" s="1355">
        <v>2022033</v>
      </c>
      <c r="B81" s="1172">
        <v>7637</v>
      </c>
      <c r="C81" s="1356" t="s">
        <v>645</v>
      </c>
      <c r="D81" s="1173" t="s">
        <v>673</v>
      </c>
      <c r="E81" s="1176" t="s">
        <v>757</v>
      </c>
      <c r="F81" s="1175" t="s">
        <v>758</v>
      </c>
      <c r="G81" s="1231">
        <v>44713</v>
      </c>
      <c r="H81" s="1231">
        <v>44773</v>
      </c>
      <c r="I81" s="1176">
        <v>3</v>
      </c>
      <c r="J81" s="1176" t="s">
        <v>685</v>
      </c>
      <c r="K81" s="1177" t="s">
        <v>676</v>
      </c>
      <c r="L81" s="1178" t="s">
        <v>737</v>
      </c>
      <c r="M81" s="1179">
        <v>50000000</v>
      </c>
      <c r="N81" s="1189" t="s">
        <v>678</v>
      </c>
      <c r="O81" s="1174" t="s">
        <v>679</v>
      </c>
      <c r="P81" s="1207" t="s">
        <v>759</v>
      </c>
      <c r="Q81" s="1163"/>
      <c r="R81" s="1269">
        <v>50000000</v>
      </c>
      <c r="S81" s="1357">
        <v>50000000</v>
      </c>
      <c r="T81" s="1357">
        <f>+Tabla16[[#This Row],[CDPS A 31 JULIO 2022]]-Tabla16[[#This Row],[CDP]]</f>
        <v>0</v>
      </c>
      <c r="U81" s="1357"/>
      <c r="V81" s="1357"/>
      <c r="W81" s="1357"/>
    </row>
    <row r="82" spans="1:23" s="1207" customFormat="1" ht="105" x14ac:dyDescent="0.2">
      <c r="A82" s="1355">
        <v>2022034</v>
      </c>
      <c r="B82" s="1172">
        <v>7637</v>
      </c>
      <c r="C82" s="1356" t="s">
        <v>645</v>
      </c>
      <c r="D82" s="1173" t="s">
        <v>673</v>
      </c>
      <c r="E82" s="1176">
        <v>81112217</v>
      </c>
      <c r="F82" s="1175" t="s">
        <v>760</v>
      </c>
      <c r="G82" s="1231">
        <v>44696</v>
      </c>
      <c r="H82" s="1231">
        <v>44727</v>
      </c>
      <c r="I82" s="1176">
        <v>12</v>
      </c>
      <c r="J82" s="1176" t="s">
        <v>698</v>
      </c>
      <c r="K82" s="1177" t="s">
        <v>676</v>
      </c>
      <c r="L82" s="1178" t="s">
        <v>737</v>
      </c>
      <c r="M82" s="1179">
        <f>35077000+20000000</f>
        <v>55077000</v>
      </c>
      <c r="N82" s="1386" t="s">
        <v>706</v>
      </c>
      <c r="O82" s="1174" t="s">
        <v>679</v>
      </c>
      <c r="P82" s="1207" t="s">
        <v>680</v>
      </c>
      <c r="Q82" s="1163"/>
      <c r="R82" s="1269">
        <v>0</v>
      </c>
      <c r="S82" s="1357"/>
      <c r="T82" s="1357">
        <f>+Tabla16[[#This Row],[CDPS A 31 JULIO 2022]]-Tabla16[[#This Row],[CDP]]</f>
        <v>0</v>
      </c>
      <c r="U82" s="1357"/>
      <c r="V82" s="1357"/>
      <c r="W82" s="1357"/>
    </row>
    <row r="83" spans="1:23" s="1207" customFormat="1" ht="105" x14ac:dyDescent="0.2">
      <c r="A83" s="1355">
        <v>2022036</v>
      </c>
      <c r="B83" s="1172">
        <v>7637</v>
      </c>
      <c r="C83" s="1356" t="s">
        <v>645</v>
      </c>
      <c r="D83" s="1173" t="s">
        <v>673</v>
      </c>
      <c r="E83" s="1176" t="s">
        <v>762</v>
      </c>
      <c r="F83" s="1178" t="s">
        <v>763</v>
      </c>
      <c r="G83" s="1231">
        <v>44562</v>
      </c>
      <c r="H83" s="1231">
        <v>44592</v>
      </c>
      <c r="I83" s="1176">
        <v>11</v>
      </c>
      <c r="J83" s="1176" t="s">
        <v>685</v>
      </c>
      <c r="K83" s="1177" t="s">
        <v>676</v>
      </c>
      <c r="L83" s="1178" t="s">
        <v>737</v>
      </c>
      <c r="M83" s="1179">
        <f>423904551-43900000-1500000-146454551</f>
        <v>232050000</v>
      </c>
      <c r="N83" s="1189" t="s">
        <v>678</v>
      </c>
      <c r="O83" s="1174" t="s">
        <v>679</v>
      </c>
      <c r="P83" s="1207" t="s">
        <v>680</v>
      </c>
      <c r="Q83" s="1163"/>
      <c r="R83" s="1269">
        <v>232050000</v>
      </c>
      <c r="S83" s="1357">
        <v>232050000</v>
      </c>
      <c r="T83" s="1357">
        <f>+Tabla16[[#This Row],[CDPS A 31 JULIO 2022]]-Tabla16[[#This Row],[CDP]]</f>
        <v>0</v>
      </c>
      <c r="U83" s="1357">
        <v>232050000</v>
      </c>
      <c r="V83" s="1357">
        <v>58012500</v>
      </c>
      <c r="W83" s="1357"/>
    </row>
    <row r="84" spans="1:23" s="1207" customFormat="1" ht="120" x14ac:dyDescent="0.2">
      <c r="A84" s="1355">
        <v>2022037</v>
      </c>
      <c r="B84" s="1172">
        <v>7637</v>
      </c>
      <c r="C84" s="1356" t="s">
        <v>645</v>
      </c>
      <c r="D84" s="1173" t="s">
        <v>673</v>
      </c>
      <c r="E84" s="1176" t="s">
        <v>764</v>
      </c>
      <c r="F84" s="1175" t="s">
        <v>765</v>
      </c>
      <c r="G84" s="1231">
        <v>44621</v>
      </c>
      <c r="H84" s="1231">
        <v>44712</v>
      </c>
      <c r="I84" s="1176">
        <v>12</v>
      </c>
      <c r="J84" s="1176" t="s">
        <v>689</v>
      </c>
      <c r="K84" s="1177" t="s">
        <v>676</v>
      </c>
      <c r="L84" s="1178" t="s">
        <v>731</v>
      </c>
      <c r="M84" s="1179">
        <v>104794000</v>
      </c>
      <c r="N84" s="1189" t="s">
        <v>678</v>
      </c>
      <c r="O84" s="1174" t="s">
        <v>679</v>
      </c>
      <c r="P84" s="1207" t="s">
        <v>680</v>
      </c>
      <c r="Q84" s="1163"/>
      <c r="R84" s="1269">
        <v>104794000</v>
      </c>
      <c r="S84" s="1357">
        <v>104794000</v>
      </c>
      <c r="T84" s="1357">
        <f>+Tabla16[[#This Row],[CDPS A 31 JULIO 2022]]-Tabla16[[#This Row],[CDP]]</f>
        <v>0</v>
      </c>
      <c r="U84" s="1357">
        <v>104794000</v>
      </c>
      <c r="V84" s="1357"/>
      <c r="W84" s="1357"/>
    </row>
    <row r="85" spans="1:23" s="1207" customFormat="1" ht="105" x14ac:dyDescent="0.2">
      <c r="A85" s="1355">
        <v>2022038</v>
      </c>
      <c r="B85" s="1172">
        <v>7637</v>
      </c>
      <c r="C85" s="1356" t="s">
        <v>645</v>
      </c>
      <c r="D85" s="1173" t="s">
        <v>673</v>
      </c>
      <c r="E85" s="1174">
        <v>43221500</v>
      </c>
      <c r="F85" s="1175" t="s">
        <v>768</v>
      </c>
      <c r="G85" s="1231">
        <v>44713</v>
      </c>
      <c r="H85" s="1231">
        <v>44742</v>
      </c>
      <c r="I85" s="1176">
        <v>6</v>
      </c>
      <c r="J85" s="1176" t="s">
        <v>701</v>
      </c>
      <c r="K85" s="1177" t="s">
        <v>676</v>
      </c>
      <c r="L85" s="1178" t="s">
        <v>737</v>
      </c>
      <c r="M85" s="1179">
        <v>38500000</v>
      </c>
      <c r="N85" s="1189" t="s">
        <v>678</v>
      </c>
      <c r="O85" s="1174" t="s">
        <v>679</v>
      </c>
      <c r="P85" s="1207" t="s">
        <v>680</v>
      </c>
      <c r="Q85" s="1163"/>
      <c r="R85" s="1269">
        <v>38500000</v>
      </c>
      <c r="S85" s="1357">
        <v>34500000</v>
      </c>
      <c r="T85" s="1357">
        <f>+Tabla16[[#This Row],[CDPS A 31 JULIO 2022]]-Tabla16[[#This Row],[CDP]]</f>
        <v>4000000</v>
      </c>
      <c r="U85" s="1357"/>
      <c r="V85" s="1357"/>
      <c r="W85" s="1357"/>
    </row>
    <row r="86" spans="1:23" s="1207" customFormat="1" ht="105" x14ac:dyDescent="0.2">
      <c r="A86" s="1355">
        <v>2022039</v>
      </c>
      <c r="B86" s="1172">
        <v>7637</v>
      </c>
      <c r="C86" s="1356" t="s">
        <v>645</v>
      </c>
      <c r="D86" s="1173" t="s">
        <v>673</v>
      </c>
      <c r="E86" s="1202">
        <v>43233200</v>
      </c>
      <c r="F86" s="1388" t="s">
        <v>771</v>
      </c>
      <c r="G86" s="1387">
        <v>44713</v>
      </c>
      <c r="H86" s="1387">
        <v>44772</v>
      </c>
      <c r="I86" s="1176">
        <v>3</v>
      </c>
      <c r="J86" s="1176" t="s">
        <v>698</v>
      </c>
      <c r="K86" s="1177" t="s">
        <v>772</v>
      </c>
      <c r="L86" s="1178" t="s">
        <v>737</v>
      </c>
      <c r="M86" s="1179">
        <f>170000000+150000000+105400077</f>
        <v>425400077</v>
      </c>
      <c r="N86" s="1386" t="s">
        <v>706</v>
      </c>
      <c r="O86" s="1174" t="s">
        <v>679</v>
      </c>
      <c r="P86" s="1207" t="s">
        <v>680</v>
      </c>
      <c r="Q86" s="1163"/>
      <c r="R86" s="1269">
        <v>425400077</v>
      </c>
      <c r="S86" s="1357"/>
      <c r="T86" s="1357">
        <f>+Tabla16[[#This Row],[CDPS A 31 JULIO 2022]]-Tabla16[[#This Row],[CDP]]</f>
        <v>425400077</v>
      </c>
      <c r="U86" s="1357"/>
      <c r="V86" s="1357"/>
      <c r="W86" s="1357"/>
    </row>
    <row r="87" spans="1:23" s="1207" customFormat="1" ht="180" x14ac:dyDescent="0.2">
      <c r="A87" s="1355">
        <v>2022041</v>
      </c>
      <c r="B87" s="1172">
        <v>7637</v>
      </c>
      <c r="C87" s="1356" t="s">
        <v>645</v>
      </c>
      <c r="D87" s="1173" t="s">
        <v>673</v>
      </c>
      <c r="E87" s="1202" t="s">
        <v>775</v>
      </c>
      <c r="F87" s="1388" t="s">
        <v>776</v>
      </c>
      <c r="G87" s="1387">
        <v>44762</v>
      </c>
      <c r="H87" s="1387">
        <v>44803</v>
      </c>
      <c r="I87" s="1176">
        <v>5</v>
      </c>
      <c r="J87" s="1176" t="s">
        <v>698</v>
      </c>
      <c r="K87" s="1177" t="s">
        <v>772</v>
      </c>
      <c r="L87" s="1178" t="s">
        <v>737</v>
      </c>
      <c r="M87" s="1179">
        <f>600000000-150000000+50000000</f>
        <v>500000000</v>
      </c>
      <c r="N87" s="1189" t="s">
        <v>678</v>
      </c>
      <c r="O87" s="1174" t="s">
        <v>679</v>
      </c>
      <c r="P87" s="1207" t="s">
        <v>680</v>
      </c>
      <c r="Q87" s="1163"/>
      <c r="R87" s="1269">
        <v>0</v>
      </c>
      <c r="S87" s="1357"/>
      <c r="T87" s="1357">
        <f>+Tabla16[[#This Row],[CDPS A 31 JULIO 2022]]-Tabla16[[#This Row],[CDP]]</f>
        <v>0</v>
      </c>
      <c r="U87" s="1357"/>
      <c r="V87" s="1357"/>
      <c r="W87" s="1357"/>
    </row>
    <row r="88" spans="1:23" s="1207" customFormat="1" ht="105" x14ac:dyDescent="0.2">
      <c r="A88" s="1355">
        <v>2022042</v>
      </c>
      <c r="B88" s="1172">
        <v>7637</v>
      </c>
      <c r="C88" s="1356" t="s">
        <v>645</v>
      </c>
      <c r="D88" s="1173" t="s">
        <v>673</v>
      </c>
      <c r="E88" s="1174"/>
      <c r="F88" s="1175" t="s">
        <v>779</v>
      </c>
      <c r="G88" s="1176"/>
      <c r="H88" s="1176"/>
      <c r="I88" s="1176"/>
      <c r="J88" s="1176" t="s">
        <v>97</v>
      </c>
      <c r="K88" s="1177" t="s">
        <v>676</v>
      </c>
      <c r="L88" s="1178" t="s">
        <v>677</v>
      </c>
      <c r="M88" s="1179">
        <v>22500000</v>
      </c>
      <c r="N88" s="1189" t="s">
        <v>678</v>
      </c>
      <c r="O88" s="1174" t="s">
        <v>679</v>
      </c>
      <c r="P88" s="1207" t="s">
        <v>759</v>
      </c>
      <c r="Q88" s="1163"/>
      <c r="R88" s="1269">
        <v>53195750</v>
      </c>
      <c r="S88" s="1357">
        <v>53195750</v>
      </c>
      <c r="T88" s="1357">
        <f>+Tabla16[[#This Row],[CDPS A 31 JULIO 2022]]-Tabla16[[#This Row],[CDP]]</f>
        <v>0</v>
      </c>
      <c r="U88" s="1357">
        <v>53195750</v>
      </c>
      <c r="V88" s="1357">
        <v>53195750</v>
      </c>
      <c r="W88" s="1357"/>
    </row>
    <row r="89" spans="1:23" s="1207" customFormat="1" ht="105" x14ac:dyDescent="0.2">
      <c r="A89" s="1355">
        <v>2022043</v>
      </c>
      <c r="B89" s="1172">
        <v>7655</v>
      </c>
      <c r="C89" s="1356" t="s">
        <v>670</v>
      </c>
      <c r="D89" s="1190" t="s">
        <v>691</v>
      </c>
      <c r="E89" s="1174" t="s">
        <v>782</v>
      </c>
      <c r="F89" s="1389" t="s">
        <v>783</v>
      </c>
      <c r="G89" s="1390">
        <v>44575</v>
      </c>
      <c r="H89" s="1390">
        <v>44575</v>
      </c>
      <c r="I89" s="1176">
        <v>11.5</v>
      </c>
      <c r="J89" s="1176" t="s">
        <v>675</v>
      </c>
      <c r="K89" s="1177" t="s">
        <v>676</v>
      </c>
      <c r="L89" s="1178" t="s">
        <v>784</v>
      </c>
      <c r="M89" s="1179">
        <v>92000000</v>
      </c>
      <c r="N89" s="1386" t="s">
        <v>785</v>
      </c>
      <c r="O89" s="1174" t="s">
        <v>780</v>
      </c>
      <c r="P89" s="1207" t="s">
        <v>680</v>
      </c>
      <c r="Q89" s="1163"/>
      <c r="R89" s="1269">
        <v>92000000</v>
      </c>
      <c r="S89" s="1357">
        <v>92000000</v>
      </c>
      <c r="T89" s="1357">
        <f>+Tabla16[[#This Row],[CDPS A 31 JULIO 2022]]-Tabla16[[#This Row],[CDP]]</f>
        <v>0</v>
      </c>
      <c r="U89" s="1357">
        <v>92000000</v>
      </c>
      <c r="V89" s="1357">
        <v>35466667</v>
      </c>
      <c r="W89" s="1357"/>
    </row>
    <row r="90" spans="1:23" s="1207" customFormat="1" ht="105" x14ac:dyDescent="0.2">
      <c r="A90" s="1355">
        <v>2022044</v>
      </c>
      <c r="B90" s="1172">
        <v>7655</v>
      </c>
      <c r="C90" s="1356" t="s">
        <v>670</v>
      </c>
      <c r="D90" s="1190" t="s">
        <v>691</v>
      </c>
      <c r="E90" s="1174" t="s">
        <v>782</v>
      </c>
      <c r="F90" s="1389" t="s">
        <v>787</v>
      </c>
      <c r="G90" s="1390">
        <v>44575</v>
      </c>
      <c r="H90" s="1390">
        <v>44575</v>
      </c>
      <c r="I90" s="1176">
        <v>11.5</v>
      </c>
      <c r="J90" s="1176" t="s">
        <v>675</v>
      </c>
      <c r="K90" s="1177" t="s">
        <v>676</v>
      </c>
      <c r="L90" s="1178" t="s">
        <v>784</v>
      </c>
      <c r="M90" s="1179">
        <v>103500000</v>
      </c>
      <c r="N90" s="1386" t="s">
        <v>785</v>
      </c>
      <c r="O90" s="1174" t="s">
        <v>780</v>
      </c>
      <c r="P90" s="1207" t="s">
        <v>680</v>
      </c>
      <c r="Q90" s="1163"/>
      <c r="R90" s="1269">
        <v>103500000</v>
      </c>
      <c r="S90" s="1357">
        <v>103500000</v>
      </c>
      <c r="T90" s="1357">
        <f>+Tabla16[[#This Row],[CDPS A 31 JULIO 2022]]-Tabla16[[#This Row],[CDP]]</f>
        <v>0</v>
      </c>
      <c r="U90" s="1357">
        <v>103500000</v>
      </c>
      <c r="V90" s="1357">
        <v>41400000</v>
      </c>
      <c r="W90" s="1357"/>
    </row>
    <row r="91" spans="1:23" s="1207" customFormat="1" ht="105" x14ac:dyDescent="0.2">
      <c r="A91" s="1355">
        <v>2022045</v>
      </c>
      <c r="B91" s="1172">
        <v>7655</v>
      </c>
      <c r="C91" s="1356" t="s">
        <v>670</v>
      </c>
      <c r="D91" s="1190" t="s">
        <v>691</v>
      </c>
      <c r="E91" s="1174" t="s">
        <v>782</v>
      </c>
      <c r="F91" s="1389" t="s">
        <v>789</v>
      </c>
      <c r="G91" s="1390">
        <v>44575</v>
      </c>
      <c r="H91" s="1390">
        <v>44575</v>
      </c>
      <c r="I91" s="1176">
        <v>11.5</v>
      </c>
      <c r="J91" s="1176" t="s">
        <v>675</v>
      </c>
      <c r="K91" s="1177" t="s">
        <v>676</v>
      </c>
      <c r="L91" s="1178" t="s">
        <v>677</v>
      </c>
      <c r="M91" s="1179">
        <v>57500000</v>
      </c>
      <c r="N91" s="1386" t="s">
        <v>785</v>
      </c>
      <c r="O91" s="1174" t="s">
        <v>780</v>
      </c>
      <c r="P91" s="1207" t="s">
        <v>680</v>
      </c>
      <c r="Q91" s="1163"/>
      <c r="R91" s="1269">
        <v>57500000</v>
      </c>
      <c r="S91" s="1357">
        <v>57500000</v>
      </c>
      <c r="T91" s="1357">
        <f>+Tabla16[[#This Row],[CDPS A 31 JULIO 2022]]-Tabla16[[#This Row],[CDP]]</f>
        <v>0</v>
      </c>
      <c r="U91" s="1357">
        <v>57500000</v>
      </c>
      <c r="V91" s="1357">
        <v>22166667</v>
      </c>
      <c r="W91" s="1357"/>
    </row>
    <row r="92" spans="1:23" s="1207" customFormat="1" ht="105" x14ac:dyDescent="0.2">
      <c r="A92" s="1355">
        <v>2022046</v>
      </c>
      <c r="B92" s="1172">
        <v>7655</v>
      </c>
      <c r="C92" s="1356" t="s">
        <v>670</v>
      </c>
      <c r="D92" s="1190" t="s">
        <v>691</v>
      </c>
      <c r="E92" s="1174" t="s">
        <v>782</v>
      </c>
      <c r="F92" s="1389" t="s">
        <v>791</v>
      </c>
      <c r="G92" s="1390">
        <v>44575</v>
      </c>
      <c r="H92" s="1390">
        <v>44575</v>
      </c>
      <c r="I92" s="1176">
        <v>11.5</v>
      </c>
      <c r="J92" s="1176" t="s">
        <v>675</v>
      </c>
      <c r="K92" s="1177" t="s">
        <v>676</v>
      </c>
      <c r="L92" s="1178" t="s">
        <v>677</v>
      </c>
      <c r="M92" s="1179">
        <v>78200000</v>
      </c>
      <c r="N92" s="1386" t="s">
        <v>785</v>
      </c>
      <c r="O92" s="1174" t="s">
        <v>780</v>
      </c>
      <c r="P92" s="1207" t="s">
        <v>680</v>
      </c>
      <c r="Q92" s="1163"/>
      <c r="R92" s="1269">
        <v>78200000</v>
      </c>
      <c r="S92" s="1357">
        <v>78200000</v>
      </c>
      <c r="T92" s="1357">
        <f>+Tabla16[[#This Row],[CDPS A 31 JULIO 2022]]-Tabla16[[#This Row],[CDP]]</f>
        <v>0</v>
      </c>
      <c r="U92" s="1357">
        <v>78200000</v>
      </c>
      <c r="V92" s="1357">
        <v>30146667</v>
      </c>
      <c r="W92" s="1357"/>
    </row>
    <row r="93" spans="1:23" s="1207" customFormat="1" ht="105" x14ac:dyDescent="0.2">
      <c r="A93" s="1355">
        <v>2022047</v>
      </c>
      <c r="B93" s="1172">
        <v>7655</v>
      </c>
      <c r="C93" s="1356" t="s">
        <v>670</v>
      </c>
      <c r="D93" s="1190" t="s">
        <v>691</v>
      </c>
      <c r="E93" s="1174" t="s">
        <v>782</v>
      </c>
      <c r="F93" s="1389" t="s">
        <v>793</v>
      </c>
      <c r="G93" s="1390">
        <v>44575</v>
      </c>
      <c r="H93" s="1390">
        <v>44575</v>
      </c>
      <c r="I93" s="1176">
        <v>11.5</v>
      </c>
      <c r="J93" s="1176" t="s">
        <v>675</v>
      </c>
      <c r="K93" s="1177" t="s">
        <v>676</v>
      </c>
      <c r="L93" s="1178" t="s">
        <v>677</v>
      </c>
      <c r="M93" s="1179">
        <v>38525000</v>
      </c>
      <c r="N93" s="1386" t="s">
        <v>785</v>
      </c>
      <c r="O93" s="1174" t="s">
        <v>780</v>
      </c>
      <c r="P93" s="1207" t="s">
        <v>680</v>
      </c>
      <c r="Q93" s="1163"/>
      <c r="R93" s="1269">
        <v>38525000</v>
      </c>
      <c r="S93" s="1357">
        <v>38525000</v>
      </c>
      <c r="T93" s="1357">
        <f>+Tabla16[[#This Row],[CDPS A 31 JULIO 2022]]-Tabla16[[#This Row],[CDP]]</f>
        <v>0</v>
      </c>
      <c r="U93" s="1357">
        <v>38525000</v>
      </c>
      <c r="V93" s="1357">
        <v>15410000</v>
      </c>
      <c r="W93" s="1357"/>
    </row>
    <row r="94" spans="1:23" s="1207" customFormat="1" ht="105" x14ac:dyDescent="0.2">
      <c r="A94" s="1355">
        <v>2022048</v>
      </c>
      <c r="B94" s="1172">
        <v>7655</v>
      </c>
      <c r="C94" s="1356" t="s">
        <v>670</v>
      </c>
      <c r="D94" s="1190" t="s">
        <v>691</v>
      </c>
      <c r="E94" s="1174" t="s">
        <v>782</v>
      </c>
      <c r="F94" s="1389" t="s">
        <v>794</v>
      </c>
      <c r="G94" s="1390">
        <v>44575</v>
      </c>
      <c r="H94" s="1390">
        <v>44575</v>
      </c>
      <c r="I94" s="1176">
        <v>11.5</v>
      </c>
      <c r="J94" s="1176" t="s">
        <v>675</v>
      </c>
      <c r="K94" s="1177" t="s">
        <v>676</v>
      </c>
      <c r="L94" s="1178" t="s">
        <v>784</v>
      </c>
      <c r="M94" s="1179">
        <v>92000000</v>
      </c>
      <c r="N94" s="1386" t="s">
        <v>785</v>
      </c>
      <c r="O94" s="1174" t="s">
        <v>780</v>
      </c>
      <c r="P94" s="1207" t="s">
        <v>680</v>
      </c>
      <c r="Q94" s="1163"/>
      <c r="R94" s="1269">
        <v>92000000</v>
      </c>
      <c r="S94" s="1357">
        <v>92000000</v>
      </c>
      <c r="T94" s="1357">
        <f>+Tabla16[[#This Row],[CDPS A 31 JULIO 2022]]-Tabla16[[#This Row],[CDP]]</f>
        <v>0</v>
      </c>
      <c r="U94" s="1357">
        <v>92000000</v>
      </c>
      <c r="V94" s="1357">
        <v>36800000</v>
      </c>
      <c r="W94" s="1357"/>
    </row>
    <row r="95" spans="1:23" s="1207" customFormat="1" ht="105" x14ac:dyDescent="0.2">
      <c r="A95" s="1355">
        <v>2022050</v>
      </c>
      <c r="B95" s="1172">
        <v>7655</v>
      </c>
      <c r="C95" s="1356" t="s">
        <v>670</v>
      </c>
      <c r="D95" s="1190" t="s">
        <v>691</v>
      </c>
      <c r="E95" s="1174" t="s">
        <v>782</v>
      </c>
      <c r="F95" s="1389" t="s">
        <v>795</v>
      </c>
      <c r="G95" s="1390">
        <v>44575</v>
      </c>
      <c r="H95" s="1390">
        <v>44575</v>
      </c>
      <c r="I95" s="1176">
        <v>7</v>
      </c>
      <c r="J95" s="1176" t="s">
        <v>675</v>
      </c>
      <c r="K95" s="1177" t="s">
        <v>676</v>
      </c>
      <c r="L95" s="1178" t="s">
        <v>677</v>
      </c>
      <c r="M95" s="1179">
        <v>38500000</v>
      </c>
      <c r="N95" s="1386" t="s">
        <v>785</v>
      </c>
      <c r="O95" s="1174" t="s">
        <v>780</v>
      </c>
      <c r="P95" s="1207" t="s">
        <v>680</v>
      </c>
      <c r="Q95" s="1163"/>
      <c r="R95" s="1269">
        <v>38500000</v>
      </c>
      <c r="S95" s="1357">
        <v>38500000</v>
      </c>
      <c r="T95" s="1357">
        <f>+Tabla16[[#This Row],[CDPS A 31 JULIO 2022]]-Tabla16[[#This Row],[CDP]]</f>
        <v>0</v>
      </c>
      <c r="U95" s="1357">
        <v>38500000</v>
      </c>
      <c r="V95" s="1357">
        <v>20900000</v>
      </c>
      <c r="W95" s="1357"/>
    </row>
    <row r="96" spans="1:23" s="1207" customFormat="1" ht="105" x14ac:dyDescent="0.2">
      <c r="A96" s="1355">
        <v>2022051</v>
      </c>
      <c r="B96" s="1172">
        <v>7655</v>
      </c>
      <c r="C96" s="1356" t="s">
        <v>670</v>
      </c>
      <c r="D96" s="1190" t="s">
        <v>691</v>
      </c>
      <c r="E96" s="1174" t="s">
        <v>782</v>
      </c>
      <c r="F96" s="1389" t="s">
        <v>796</v>
      </c>
      <c r="G96" s="1390">
        <v>44575</v>
      </c>
      <c r="H96" s="1390">
        <v>44575</v>
      </c>
      <c r="I96" s="1176">
        <v>11.5</v>
      </c>
      <c r="J96" s="1176" t="s">
        <v>675</v>
      </c>
      <c r="K96" s="1177" t="s">
        <v>676</v>
      </c>
      <c r="L96" s="1178" t="s">
        <v>677</v>
      </c>
      <c r="M96" s="1179">
        <v>20700000</v>
      </c>
      <c r="N96" s="1386" t="s">
        <v>785</v>
      </c>
      <c r="O96" s="1174" t="s">
        <v>780</v>
      </c>
      <c r="P96" s="1207" t="s">
        <v>680</v>
      </c>
      <c r="Q96" s="1163"/>
      <c r="R96" s="1269">
        <v>20700000</v>
      </c>
      <c r="S96" s="1357">
        <v>20700000</v>
      </c>
      <c r="T96" s="1357">
        <f>+Tabla16[[#This Row],[CDPS A 31 JULIO 2022]]-Tabla16[[#This Row],[CDP]]</f>
        <v>0</v>
      </c>
      <c r="U96" s="1357">
        <v>20700000</v>
      </c>
      <c r="V96" s="1357">
        <v>7980000</v>
      </c>
      <c r="W96" s="1357"/>
    </row>
    <row r="97" spans="1:23" s="1207" customFormat="1" ht="105" x14ac:dyDescent="0.2">
      <c r="A97" s="1355">
        <v>2022053</v>
      </c>
      <c r="B97" s="1172">
        <v>7655</v>
      </c>
      <c r="C97" s="1356" t="s">
        <v>670</v>
      </c>
      <c r="D97" s="1190" t="s">
        <v>691</v>
      </c>
      <c r="E97" s="1174" t="s">
        <v>782</v>
      </c>
      <c r="F97" s="1389" t="s">
        <v>798</v>
      </c>
      <c r="G97" s="1390">
        <v>44575</v>
      </c>
      <c r="H97" s="1390">
        <v>44575</v>
      </c>
      <c r="I97" s="1176">
        <v>11.5</v>
      </c>
      <c r="J97" s="1176" t="s">
        <v>675</v>
      </c>
      <c r="K97" s="1177" t="s">
        <v>676</v>
      </c>
      <c r="L97" s="1178" t="s">
        <v>677</v>
      </c>
      <c r="M97" s="1179">
        <v>38525000</v>
      </c>
      <c r="N97" s="1386" t="s">
        <v>785</v>
      </c>
      <c r="O97" s="1174" t="s">
        <v>780</v>
      </c>
      <c r="P97" s="1207" t="s">
        <v>680</v>
      </c>
      <c r="Q97" s="1163"/>
      <c r="R97" s="1269">
        <v>38525000</v>
      </c>
      <c r="S97" s="1357">
        <v>38525000</v>
      </c>
      <c r="T97" s="1357">
        <f>+Tabla16[[#This Row],[CDPS A 31 JULIO 2022]]-Tabla16[[#This Row],[CDP]]</f>
        <v>0</v>
      </c>
      <c r="U97" s="1357">
        <v>38525000</v>
      </c>
      <c r="V97" s="1357">
        <v>13400000</v>
      </c>
      <c r="W97" s="1357"/>
    </row>
    <row r="98" spans="1:23" s="1207" customFormat="1" ht="105" x14ac:dyDescent="0.2">
      <c r="A98" s="1355">
        <v>2022054</v>
      </c>
      <c r="B98" s="1172">
        <v>7655</v>
      </c>
      <c r="C98" s="1356" t="s">
        <v>670</v>
      </c>
      <c r="D98" s="1190" t="s">
        <v>691</v>
      </c>
      <c r="E98" s="1174" t="s">
        <v>782</v>
      </c>
      <c r="F98" s="1389" t="s">
        <v>799</v>
      </c>
      <c r="G98" s="1390">
        <v>44575</v>
      </c>
      <c r="H98" s="1390">
        <v>44575</v>
      </c>
      <c r="I98" s="1176">
        <v>6</v>
      </c>
      <c r="J98" s="1176" t="s">
        <v>675</v>
      </c>
      <c r="K98" s="1177" t="s">
        <v>676</v>
      </c>
      <c r="L98" s="1178" t="s">
        <v>677</v>
      </c>
      <c r="M98" s="1179">
        <v>27000000</v>
      </c>
      <c r="N98" s="1386" t="s">
        <v>785</v>
      </c>
      <c r="O98" s="1174" t="s">
        <v>780</v>
      </c>
      <c r="P98" s="1207" t="s">
        <v>680</v>
      </c>
      <c r="Q98" s="1163"/>
      <c r="R98" s="1269">
        <v>27000000</v>
      </c>
      <c r="S98" s="1357">
        <v>27000000</v>
      </c>
      <c r="T98" s="1357">
        <f>+Tabla16[[#This Row],[CDPS A 31 JULIO 2022]]-Tabla16[[#This Row],[CDP]]</f>
        <v>0</v>
      </c>
      <c r="U98" s="1357">
        <v>27000000</v>
      </c>
      <c r="V98" s="1357"/>
      <c r="W98" s="1357"/>
    </row>
    <row r="99" spans="1:23" s="1207" customFormat="1" ht="105" x14ac:dyDescent="0.2">
      <c r="A99" s="1355">
        <v>2022055</v>
      </c>
      <c r="B99" s="1172">
        <v>7655</v>
      </c>
      <c r="C99" s="1356" t="s">
        <v>670</v>
      </c>
      <c r="D99" s="1190" t="s">
        <v>691</v>
      </c>
      <c r="E99" s="1174" t="s">
        <v>782</v>
      </c>
      <c r="F99" s="1389" t="s">
        <v>800</v>
      </c>
      <c r="G99" s="1390">
        <v>44575</v>
      </c>
      <c r="H99" s="1390">
        <v>44575</v>
      </c>
      <c r="I99" s="1176">
        <v>11.5</v>
      </c>
      <c r="J99" s="1176" t="s">
        <v>675</v>
      </c>
      <c r="K99" s="1177" t="s">
        <v>676</v>
      </c>
      <c r="L99" s="1178" t="s">
        <v>677</v>
      </c>
      <c r="M99" s="1179">
        <v>51750000</v>
      </c>
      <c r="N99" s="1386" t="s">
        <v>785</v>
      </c>
      <c r="O99" s="1174" t="s">
        <v>780</v>
      </c>
      <c r="P99" s="1207" t="s">
        <v>680</v>
      </c>
      <c r="Q99" s="1163"/>
      <c r="R99" s="1269">
        <v>51750000</v>
      </c>
      <c r="S99" s="1357">
        <v>51750000</v>
      </c>
      <c r="T99" s="1357">
        <f>+Tabla16[[#This Row],[CDPS A 31 JULIO 2022]]-Tabla16[[#This Row],[CDP]]</f>
        <v>0</v>
      </c>
      <c r="U99" s="1357">
        <v>51750000</v>
      </c>
      <c r="V99" s="1357">
        <v>18000000</v>
      </c>
      <c r="W99" s="1357"/>
    </row>
    <row r="100" spans="1:23" s="1207" customFormat="1" ht="105" x14ac:dyDescent="0.2">
      <c r="A100" s="1355">
        <v>2022056</v>
      </c>
      <c r="B100" s="1172">
        <v>7655</v>
      </c>
      <c r="C100" s="1356" t="s">
        <v>670</v>
      </c>
      <c r="D100" s="1190" t="s">
        <v>691</v>
      </c>
      <c r="E100" s="1174">
        <v>80111600</v>
      </c>
      <c r="F100" s="1389" t="s">
        <v>801</v>
      </c>
      <c r="G100" s="1390">
        <v>44575</v>
      </c>
      <c r="H100" s="1390">
        <v>44575</v>
      </c>
      <c r="I100" s="1176">
        <v>11.5</v>
      </c>
      <c r="J100" s="1176" t="s">
        <v>675</v>
      </c>
      <c r="K100" s="1177" t="s">
        <v>676</v>
      </c>
      <c r="L100" s="1178" t="s">
        <v>677</v>
      </c>
      <c r="M100" s="1179">
        <v>0</v>
      </c>
      <c r="N100" s="1386" t="s">
        <v>785</v>
      </c>
      <c r="O100" s="1174" t="s">
        <v>780</v>
      </c>
      <c r="P100" s="1207" t="s">
        <v>680</v>
      </c>
      <c r="Q100" s="1163"/>
      <c r="R100" s="1269">
        <v>0</v>
      </c>
      <c r="S100" s="1357"/>
      <c r="T100" s="1357">
        <f>+Tabla16[[#This Row],[CDPS A 31 JULIO 2022]]-Tabla16[[#This Row],[CDP]]</f>
        <v>0</v>
      </c>
      <c r="U100" s="1357"/>
      <c r="V100" s="1357"/>
      <c r="W100" s="1357"/>
    </row>
    <row r="101" spans="1:23" s="1207" customFormat="1" ht="105" x14ac:dyDescent="0.2">
      <c r="A101" s="1355">
        <v>2022057</v>
      </c>
      <c r="B101" s="1172">
        <v>7655</v>
      </c>
      <c r="C101" s="1356" t="s">
        <v>670</v>
      </c>
      <c r="D101" s="1190" t="s">
        <v>691</v>
      </c>
      <c r="E101" s="1174" t="s">
        <v>782</v>
      </c>
      <c r="F101" s="1389" t="s">
        <v>802</v>
      </c>
      <c r="G101" s="1390">
        <v>44575</v>
      </c>
      <c r="H101" s="1390">
        <v>44575</v>
      </c>
      <c r="I101" s="1176">
        <v>11.5</v>
      </c>
      <c r="J101" s="1176" t="s">
        <v>675</v>
      </c>
      <c r="K101" s="1177" t="s">
        <v>676</v>
      </c>
      <c r="L101" s="1178" t="s">
        <v>677</v>
      </c>
      <c r="M101" s="1179">
        <v>38525000</v>
      </c>
      <c r="N101" s="1386" t="s">
        <v>785</v>
      </c>
      <c r="O101" s="1174" t="s">
        <v>780</v>
      </c>
      <c r="P101" s="1207" t="s">
        <v>680</v>
      </c>
      <c r="Q101" s="1163"/>
      <c r="R101" s="1269">
        <v>38525000</v>
      </c>
      <c r="S101" s="1357">
        <v>38525000</v>
      </c>
      <c r="T101" s="1357">
        <f>+Tabla16[[#This Row],[CDPS A 31 JULIO 2022]]-Tabla16[[#This Row],[CDP]]</f>
        <v>0</v>
      </c>
      <c r="U101" s="1357">
        <v>38525000</v>
      </c>
      <c r="V101" s="1357">
        <v>14628333</v>
      </c>
      <c r="W101" s="1357"/>
    </row>
    <row r="102" spans="1:23" s="1207" customFormat="1" ht="105" x14ac:dyDescent="0.2">
      <c r="A102" s="1355">
        <v>2022058</v>
      </c>
      <c r="B102" s="1172">
        <v>7655</v>
      </c>
      <c r="C102" s="1356" t="s">
        <v>670</v>
      </c>
      <c r="D102" s="1190" t="s">
        <v>691</v>
      </c>
      <c r="E102" s="1174" t="s">
        <v>782</v>
      </c>
      <c r="F102" s="1389" t="s">
        <v>803</v>
      </c>
      <c r="G102" s="1390">
        <v>44575</v>
      </c>
      <c r="H102" s="1390">
        <v>44575</v>
      </c>
      <c r="I102" s="1176">
        <v>11.5</v>
      </c>
      <c r="J102" s="1176" t="s">
        <v>675</v>
      </c>
      <c r="K102" s="1177" t="s">
        <v>676</v>
      </c>
      <c r="L102" s="1178" t="s">
        <v>677</v>
      </c>
      <c r="M102" s="1179">
        <v>28175000</v>
      </c>
      <c r="N102" s="1386" t="s">
        <v>785</v>
      </c>
      <c r="O102" s="1174" t="s">
        <v>780</v>
      </c>
      <c r="P102" s="1207" t="s">
        <v>680</v>
      </c>
      <c r="Q102" s="1163"/>
      <c r="R102" s="1269">
        <v>28175000</v>
      </c>
      <c r="S102" s="1357">
        <v>28175000</v>
      </c>
      <c r="T102" s="1357">
        <f>+Tabla16[[#This Row],[CDPS A 31 JULIO 2022]]-Tabla16[[#This Row],[CDP]]</f>
        <v>0</v>
      </c>
      <c r="U102" s="1357">
        <v>28175000</v>
      </c>
      <c r="V102" s="1357">
        <v>10943333</v>
      </c>
      <c r="W102" s="1357"/>
    </row>
    <row r="103" spans="1:23" s="1207" customFormat="1" ht="105" x14ac:dyDescent="0.2">
      <c r="A103" s="1355">
        <v>2022059</v>
      </c>
      <c r="B103" s="1172">
        <v>7655</v>
      </c>
      <c r="C103" s="1356" t="s">
        <v>670</v>
      </c>
      <c r="D103" s="1190" t="s">
        <v>691</v>
      </c>
      <c r="E103" s="1174" t="s">
        <v>782</v>
      </c>
      <c r="F103" s="1389" t="s">
        <v>804</v>
      </c>
      <c r="G103" s="1390">
        <v>44575</v>
      </c>
      <c r="H103" s="1390">
        <v>44575</v>
      </c>
      <c r="I103" s="1176">
        <v>11.5</v>
      </c>
      <c r="J103" s="1176" t="s">
        <v>675</v>
      </c>
      <c r="K103" s="1177" t="s">
        <v>676</v>
      </c>
      <c r="L103" s="1178" t="s">
        <v>677</v>
      </c>
      <c r="M103" s="1179">
        <v>44275000</v>
      </c>
      <c r="N103" s="1386" t="s">
        <v>785</v>
      </c>
      <c r="O103" s="1174" t="s">
        <v>780</v>
      </c>
      <c r="P103" s="1207" t="s">
        <v>680</v>
      </c>
      <c r="Q103" s="1163"/>
      <c r="R103" s="1269">
        <v>44275000</v>
      </c>
      <c r="S103" s="1357">
        <v>44275000</v>
      </c>
      <c r="T103" s="1357">
        <f>+Tabla16[[#This Row],[CDPS A 31 JULIO 2022]]-Tabla16[[#This Row],[CDP]]</f>
        <v>0</v>
      </c>
      <c r="U103" s="1357">
        <v>44275000</v>
      </c>
      <c r="V103" s="1357">
        <v>16811667</v>
      </c>
      <c r="W103" s="1357"/>
    </row>
    <row r="104" spans="1:23" s="1207" customFormat="1" ht="105" x14ac:dyDescent="0.2">
      <c r="A104" s="1355">
        <v>2022060</v>
      </c>
      <c r="B104" s="1172">
        <v>7655</v>
      </c>
      <c r="C104" s="1356" t="s">
        <v>670</v>
      </c>
      <c r="D104" s="1190" t="s">
        <v>691</v>
      </c>
      <c r="E104" s="1174" t="s">
        <v>782</v>
      </c>
      <c r="F104" s="1389" t="s">
        <v>804</v>
      </c>
      <c r="G104" s="1390">
        <v>44575</v>
      </c>
      <c r="H104" s="1390">
        <v>44575</v>
      </c>
      <c r="I104" s="1176">
        <v>11.5</v>
      </c>
      <c r="J104" s="1176" t="s">
        <v>675</v>
      </c>
      <c r="K104" s="1177" t="s">
        <v>676</v>
      </c>
      <c r="L104" s="1178" t="s">
        <v>677</v>
      </c>
      <c r="M104" s="1179">
        <v>44275000</v>
      </c>
      <c r="N104" s="1386" t="s">
        <v>785</v>
      </c>
      <c r="O104" s="1174" t="s">
        <v>780</v>
      </c>
      <c r="P104" s="1207" t="s">
        <v>680</v>
      </c>
      <c r="Q104" s="1163"/>
      <c r="R104" s="1269">
        <v>44275000</v>
      </c>
      <c r="S104" s="1357">
        <v>44275000</v>
      </c>
      <c r="T104" s="1357">
        <f>+Tabla16[[#This Row],[CDPS A 31 JULIO 2022]]-Tabla16[[#This Row],[CDP]]</f>
        <v>0</v>
      </c>
      <c r="U104" s="1357">
        <v>44275000</v>
      </c>
      <c r="V104" s="1357">
        <v>15784999</v>
      </c>
      <c r="W104" s="1357"/>
    </row>
    <row r="105" spans="1:23" s="1207" customFormat="1" ht="105" x14ac:dyDescent="0.2">
      <c r="A105" s="1355">
        <v>2022061</v>
      </c>
      <c r="B105" s="1172">
        <v>7655</v>
      </c>
      <c r="C105" s="1356" t="s">
        <v>670</v>
      </c>
      <c r="D105" s="1190" t="s">
        <v>691</v>
      </c>
      <c r="E105" s="1174" t="s">
        <v>782</v>
      </c>
      <c r="F105" s="1389" t="s">
        <v>805</v>
      </c>
      <c r="G105" s="1390">
        <v>44575</v>
      </c>
      <c r="H105" s="1390">
        <v>44575</v>
      </c>
      <c r="I105" s="1176">
        <v>11.5</v>
      </c>
      <c r="J105" s="1176" t="s">
        <v>675</v>
      </c>
      <c r="K105" s="1177" t="s">
        <v>676</v>
      </c>
      <c r="L105" s="1178" t="s">
        <v>677</v>
      </c>
      <c r="M105" s="1179">
        <v>51750000</v>
      </c>
      <c r="N105" s="1386" t="s">
        <v>785</v>
      </c>
      <c r="O105" s="1174" t="s">
        <v>780</v>
      </c>
      <c r="P105" s="1207" t="s">
        <v>680</v>
      </c>
      <c r="Q105" s="1163"/>
      <c r="R105" s="1269">
        <v>51750000</v>
      </c>
      <c r="S105" s="1357">
        <v>51750000</v>
      </c>
      <c r="T105" s="1357">
        <f>+Tabla16[[#This Row],[CDPS A 31 JULIO 2022]]-Tabla16[[#This Row],[CDP]]</f>
        <v>0</v>
      </c>
      <c r="U105" s="1357">
        <v>51750000</v>
      </c>
      <c r="V105" s="1357">
        <v>17700000</v>
      </c>
      <c r="W105" s="1357"/>
    </row>
    <row r="106" spans="1:23" s="1207" customFormat="1" ht="105" x14ac:dyDescent="0.2">
      <c r="A106" s="1355">
        <v>2022062</v>
      </c>
      <c r="B106" s="1172">
        <v>7655</v>
      </c>
      <c r="C106" s="1356" t="s">
        <v>670</v>
      </c>
      <c r="D106" s="1190" t="s">
        <v>691</v>
      </c>
      <c r="E106" s="1174" t="s">
        <v>782</v>
      </c>
      <c r="F106" s="1389" t="s">
        <v>806</v>
      </c>
      <c r="G106" s="1390">
        <v>44575</v>
      </c>
      <c r="H106" s="1390">
        <v>44575</v>
      </c>
      <c r="I106" s="1176">
        <v>7</v>
      </c>
      <c r="J106" s="1176" t="s">
        <v>675</v>
      </c>
      <c r="K106" s="1177" t="s">
        <v>676</v>
      </c>
      <c r="L106" s="1178" t="s">
        <v>677</v>
      </c>
      <c r="M106" s="1179">
        <v>51100000</v>
      </c>
      <c r="N106" s="1386" t="s">
        <v>785</v>
      </c>
      <c r="O106" s="1174" t="s">
        <v>780</v>
      </c>
      <c r="P106" s="1207" t="s">
        <v>680</v>
      </c>
      <c r="Q106" s="1163"/>
      <c r="R106" s="1269">
        <v>51100000</v>
      </c>
      <c r="S106" s="1357">
        <v>51100000</v>
      </c>
      <c r="T106" s="1357">
        <f>+Tabla16[[#This Row],[CDPS A 31 JULIO 2022]]-Tabla16[[#This Row],[CDP]]</f>
        <v>0</v>
      </c>
      <c r="U106" s="1357">
        <v>51100000</v>
      </c>
      <c r="V106" s="1357">
        <v>31633333</v>
      </c>
      <c r="W106" s="1357"/>
    </row>
    <row r="107" spans="1:23" s="1207" customFormat="1" ht="105" x14ac:dyDescent="0.2">
      <c r="A107" s="1355">
        <v>2022063</v>
      </c>
      <c r="B107" s="1172">
        <v>7655</v>
      </c>
      <c r="C107" s="1356" t="s">
        <v>670</v>
      </c>
      <c r="D107" s="1190" t="s">
        <v>691</v>
      </c>
      <c r="E107" s="1174" t="s">
        <v>807</v>
      </c>
      <c r="F107" s="1389" t="s">
        <v>808</v>
      </c>
      <c r="G107" s="1390">
        <v>44630</v>
      </c>
      <c r="H107" s="1390">
        <v>44630</v>
      </c>
      <c r="I107" s="1176">
        <v>4</v>
      </c>
      <c r="J107" s="1176" t="s">
        <v>701</v>
      </c>
      <c r="K107" s="1177" t="s">
        <v>676</v>
      </c>
      <c r="L107" s="1178" t="s">
        <v>809</v>
      </c>
      <c r="M107" s="1179">
        <f>20000000-1622500-8377500</f>
        <v>10000000</v>
      </c>
      <c r="N107" s="1386" t="s">
        <v>785</v>
      </c>
      <c r="O107" s="1174" t="s">
        <v>780</v>
      </c>
      <c r="P107" s="1207" t="s">
        <v>680</v>
      </c>
      <c r="Q107" s="1163"/>
      <c r="R107" s="1269">
        <v>0</v>
      </c>
      <c r="S107" s="1357"/>
      <c r="T107" s="1357">
        <f>+Tabla16[[#This Row],[CDPS A 31 JULIO 2022]]-Tabla16[[#This Row],[CDP]]</f>
        <v>0</v>
      </c>
      <c r="U107" s="1357"/>
      <c r="V107" s="1357"/>
      <c r="W107" s="1357"/>
    </row>
    <row r="108" spans="1:23" s="1207" customFormat="1" ht="105" x14ac:dyDescent="0.2">
      <c r="A108" s="1355">
        <v>2022064</v>
      </c>
      <c r="B108" s="1172">
        <v>7655</v>
      </c>
      <c r="C108" s="1356" t="s">
        <v>670</v>
      </c>
      <c r="D108" s="1190" t="s">
        <v>691</v>
      </c>
      <c r="E108" s="1174" t="s">
        <v>810</v>
      </c>
      <c r="F108" s="1389" t="s">
        <v>811</v>
      </c>
      <c r="G108" s="1390">
        <v>44576</v>
      </c>
      <c r="H108" s="1390">
        <v>44576</v>
      </c>
      <c r="I108" s="1176" t="s">
        <v>97</v>
      </c>
      <c r="J108" s="1176" t="s">
        <v>689</v>
      </c>
      <c r="K108" s="1177" t="s">
        <v>676</v>
      </c>
      <c r="L108" s="1178" t="s">
        <v>677</v>
      </c>
      <c r="M108" s="1179">
        <v>20000000</v>
      </c>
      <c r="N108" s="1386" t="s">
        <v>785</v>
      </c>
      <c r="O108" s="1174" t="s">
        <v>780</v>
      </c>
      <c r="P108" s="1207" t="s">
        <v>750</v>
      </c>
      <c r="Q108" s="1163"/>
      <c r="R108" s="1269">
        <v>16142292</v>
      </c>
      <c r="S108" s="1357">
        <v>16142292</v>
      </c>
      <c r="T108" s="1357">
        <f>+Tabla16[[#This Row],[CDPS A 31 JULIO 2022]]-Tabla16[[#This Row],[CDP]]</f>
        <v>0</v>
      </c>
      <c r="U108" s="1357">
        <v>16142292</v>
      </c>
      <c r="V108" s="1357"/>
      <c r="W108" s="1357"/>
    </row>
    <row r="109" spans="1:23" s="1207" customFormat="1" ht="105" x14ac:dyDescent="0.2">
      <c r="A109" s="1355">
        <v>2022065</v>
      </c>
      <c r="B109" s="1172">
        <v>7655</v>
      </c>
      <c r="C109" s="1356" t="s">
        <v>670</v>
      </c>
      <c r="D109" s="1190" t="s">
        <v>691</v>
      </c>
      <c r="E109" s="1174" t="s">
        <v>810</v>
      </c>
      <c r="F109" s="1389" t="s">
        <v>812</v>
      </c>
      <c r="G109" s="1390">
        <v>44607</v>
      </c>
      <c r="H109" s="1390">
        <v>44607</v>
      </c>
      <c r="I109" s="1176">
        <v>10</v>
      </c>
      <c r="J109" s="1176" t="s">
        <v>689</v>
      </c>
      <c r="K109" s="1177" t="s">
        <v>676</v>
      </c>
      <c r="L109" s="1178" t="s">
        <v>677</v>
      </c>
      <c r="M109" s="1179">
        <v>140000000</v>
      </c>
      <c r="N109" s="1386" t="s">
        <v>785</v>
      </c>
      <c r="O109" s="1174" t="s">
        <v>780</v>
      </c>
      <c r="P109" s="1207" t="s">
        <v>680</v>
      </c>
      <c r="Q109" s="1163"/>
      <c r="R109" s="1269">
        <v>95712773</v>
      </c>
      <c r="S109" s="1357">
        <v>95712773</v>
      </c>
      <c r="T109" s="1357">
        <f>+Tabla16[[#This Row],[CDPS A 31 JULIO 2022]]-Tabla16[[#This Row],[CDP]]</f>
        <v>0</v>
      </c>
      <c r="U109" s="1357">
        <v>95712773</v>
      </c>
      <c r="V109" s="1357"/>
      <c r="W109" s="1357"/>
    </row>
    <row r="110" spans="1:23" s="1207" customFormat="1" ht="105" x14ac:dyDescent="0.2">
      <c r="A110" s="1355">
        <v>2022066</v>
      </c>
      <c r="B110" s="1172">
        <v>7655</v>
      </c>
      <c r="C110" s="1356" t="s">
        <v>670</v>
      </c>
      <c r="D110" s="1190" t="s">
        <v>691</v>
      </c>
      <c r="E110" s="1174">
        <v>76121900</v>
      </c>
      <c r="F110" s="1389" t="s">
        <v>813</v>
      </c>
      <c r="G110" s="1390">
        <v>44635</v>
      </c>
      <c r="H110" s="1390">
        <v>44635</v>
      </c>
      <c r="I110" s="1176">
        <v>12</v>
      </c>
      <c r="J110" s="1176" t="s">
        <v>701</v>
      </c>
      <c r="K110" s="1177" t="s">
        <v>676</v>
      </c>
      <c r="L110" s="1178" t="s">
        <v>677</v>
      </c>
      <c r="M110" s="1179">
        <f>2060000-2060000</f>
        <v>0</v>
      </c>
      <c r="N110" s="1386" t="s">
        <v>785</v>
      </c>
      <c r="O110" s="1174" t="s">
        <v>780</v>
      </c>
      <c r="P110" s="1207" t="s">
        <v>680</v>
      </c>
      <c r="Q110" s="1163"/>
      <c r="R110" s="1269">
        <v>0</v>
      </c>
      <c r="S110" s="1357"/>
      <c r="T110" s="1357">
        <f>+Tabla16[[#This Row],[CDPS A 31 JULIO 2022]]-Tabla16[[#This Row],[CDP]]</f>
        <v>0</v>
      </c>
      <c r="U110" s="1357"/>
      <c r="V110" s="1357"/>
      <c r="W110" s="1357"/>
    </row>
    <row r="111" spans="1:23" s="1207" customFormat="1" ht="105" x14ac:dyDescent="0.2">
      <c r="A111" s="1355">
        <v>2022067</v>
      </c>
      <c r="B111" s="1172">
        <v>7655</v>
      </c>
      <c r="C111" s="1356" t="s">
        <v>670</v>
      </c>
      <c r="D111" s="1190" t="s">
        <v>691</v>
      </c>
      <c r="E111" s="1174" t="s">
        <v>814</v>
      </c>
      <c r="F111" s="1389" t="s">
        <v>815</v>
      </c>
      <c r="G111" s="1390">
        <v>44635</v>
      </c>
      <c r="H111" s="1390">
        <v>44635</v>
      </c>
      <c r="I111" s="1176" t="s">
        <v>816</v>
      </c>
      <c r="J111" s="1176" t="s">
        <v>97</v>
      </c>
      <c r="K111" s="1177" t="s">
        <v>676</v>
      </c>
      <c r="L111" s="1178" t="s">
        <v>677</v>
      </c>
      <c r="M111" s="1179">
        <f>1110000-1110000</f>
        <v>0</v>
      </c>
      <c r="N111" s="1386" t="s">
        <v>785</v>
      </c>
      <c r="O111" s="1174" t="s">
        <v>780</v>
      </c>
      <c r="P111" s="1207" t="s">
        <v>680</v>
      </c>
      <c r="Q111" s="1163"/>
      <c r="R111" s="1269">
        <v>0</v>
      </c>
      <c r="S111" s="1357"/>
      <c r="T111" s="1357">
        <f>+Tabla16[[#This Row],[CDPS A 31 JULIO 2022]]-Tabla16[[#This Row],[CDP]]</f>
        <v>0</v>
      </c>
      <c r="U111" s="1357"/>
      <c r="V111" s="1357"/>
      <c r="W111" s="1357"/>
    </row>
    <row r="112" spans="1:23" s="1207" customFormat="1" ht="105" x14ac:dyDescent="0.2">
      <c r="A112" s="1355">
        <v>2022068</v>
      </c>
      <c r="B112" s="1172">
        <v>7655</v>
      </c>
      <c r="C112" s="1356" t="s">
        <v>670</v>
      </c>
      <c r="D112" s="1190" t="s">
        <v>691</v>
      </c>
      <c r="E112" s="1174" t="s">
        <v>782</v>
      </c>
      <c r="F112" s="1389" t="s">
        <v>817</v>
      </c>
      <c r="G112" s="1390">
        <v>44575</v>
      </c>
      <c r="H112" s="1390">
        <v>44575</v>
      </c>
      <c r="I112" s="1176">
        <v>11.5</v>
      </c>
      <c r="J112" s="1176" t="s">
        <v>675</v>
      </c>
      <c r="K112" s="1177" t="s">
        <v>676</v>
      </c>
      <c r="L112" s="1178" t="s">
        <v>677</v>
      </c>
      <c r="M112" s="1179">
        <v>44275000</v>
      </c>
      <c r="N112" s="1386" t="s">
        <v>785</v>
      </c>
      <c r="O112" s="1174" t="s">
        <v>780</v>
      </c>
      <c r="P112" s="1207" t="s">
        <v>680</v>
      </c>
      <c r="Q112" s="1163"/>
      <c r="R112" s="1269">
        <v>44275000</v>
      </c>
      <c r="S112" s="1357">
        <v>44275000</v>
      </c>
      <c r="T112" s="1357">
        <f>+Tabla16[[#This Row],[CDPS A 31 JULIO 2022]]-Tabla16[[#This Row],[CDP]]</f>
        <v>0</v>
      </c>
      <c r="U112" s="1357">
        <v>44275000</v>
      </c>
      <c r="V112" s="1357">
        <v>15400000</v>
      </c>
      <c r="W112" s="1357"/>
    </row>
    <row r="113" spans="1:23" s="1207" customFormat="1" ht="105" x14ac:dyDescent="0.2">
      <c r="A113" s="1355">
        <v>2022069</v>
      </c>
      <c r="B113" s="1172">
        <v>7655</v>
      </c>
      <c r="C113" s="1356" t="s">
        <v>670</v>
      </c>
      <c r="D113" s="1190" t="s">
        <v>691</v>
      </c>
      <c r="E113" s="1174" t="s">
        <v>782</v>
      </c>
      <c r="F113" s="1389" t="s">
        <v>818</v>
      </c>
      <c r="G113" s="1390">
        <v>44575</v>
      </c>
      <c r="H113" s="1390">
        <v>44575</v>
      </c>
      <c r="I113" s="1176">
        <v>11.5</v>
      </c>
      <c r="J113" s="1176" t="s">
        <v>675</v>
      </c>
      <c r="K113" s="1177" t="s">
        <v>676</v>
      </c>
      <c r="L113" s="1178" t="s">
        <v>784</v>
      </c>
      <c r="M113" s="1179">
        <v>47150000</v>
      </c>
      <c r="N113" s="1386" t="s">
        <v>785</v>
      </c>
      <c r="O113" s="1174" t="s">
        <v>780</v>
      </c>
      <c r="P113" s="1207" t="s">
        <v>680</v>
      </c>
      <c r="Q113" s="1163"/>
      <c r="R113" s="1269">
        <v>47150000</v>
      </c>
      <c r="S113" s="1357">
        <v>47150000</v>
      </c>
      <c r="T113" s="1357">
        <f>+Tabla16[[#This Row],[CDPS A 31 JULIO 2022]]-Tabla16[[#This Row],[CDP]]</f>
        <v>0</v>
      </c>
      <c r="U113" s="1357">
        <v>47150000</v>
      </c>
      <c r="V113" s="1357">
        <v>17356667</v>
      </c>
      <c r="W113" s="1357"/>
    </row>
    <row r="114" spans="1:23" s="1207" customFormat="1" ht="105" x14ac:dyDescent="0.2">
      <c r="A114" s="1355">
        <v>2022070</v>
      </c>
      <c r="B114" s="1172">
        <v>7655</v>
      </c>
      <c r="C114" s="1356" t="s">
        <v>670</v>
      </c>
      <c r="D114" s="1190" t="s">
        <v>691</v>
      </c>
      <c r="E114" s="1174" t="s">
        <v>782</v>
      </c>
      <c r="F114" s="1389" t="s">
        <v>818</v>
      </c>
      <c r="G114" s="1390">
        <v>44575</v>
      </c>
      <c r="H114" s="1390">
        <v>44575</v>
      </c>
      <c r="I114" s="1176">
        <v>11.5</v>
      </c>
      <c r="J114" s="1176" t="s">
        <v>675</v>
      </c>
      <c r="K114" s="1177" t="s">
        <v>676</v>
      </c>
      <c r="L114" s="1178" t="s">
        <v>677</v>
      </c>
      <c r="M114" s="1179">
        <v>63250000</v>
      </c>
      <c r="N114" s="1386" t="s">
        <v>785</v>
      </c>
      <c r="O114" s="1174" t="s">
        <v>780</v>
      </c>
      <c r="P114" s="1207" t="s">
        <v>680</v>
      </c>
      <c r="Q114" s="1163"/>
      <c r="R114" s="1269">
        <v>63250000</v>
      </c>
      <c r="S114" s="1357">
        <v>63250000</v>
      </c>
      <c r="T114" s="1357">
        <f>+Tabla16[[#This Row],[CDPS A 31 JULIO 2022]]-Tabla16[[#This Row],[CDP]]</f>
        <v>0</v>
      </c>
      <c r="U114" s="1357">
        <v>63250000</v>
      </c>
      <c r="V114" s="1357">
        <v>23283333</v>
      </c>
      <c r="W114" s="1357"/>
    </row>
    <row r="115" spans="1:23" s="1207" customFormat="1" ht="105" x14ac:dyDescent="0.2">
      <c r="A115" s="1355">
        <v>2022071</v>
      </c>
      <c r="B115" s="1172">
        <v>7655</v>
      </c>
      <c r="C115" s="1356" t="s">
        <v>670</v>
      </c>
      <c r="D115" s="1190" t="s">
        <v>691</v>
      </c>
      <c r="E115" s="1174" t="s">
        <v>782</v>
      </c>
      <c r="F115" s="1389" t="s">
        <v>818</v>
      </c>
      <c r="G115" s="1390">
        <v>44575</v>
      </c>
      <c r="H115" s="1390">
        <v>44575</v>
      </c>
      <c r="I115" s="1176">
        <v>11.5</v>
      </c>
      <c r="J115" s="1176" t="s">
        <v>675</v>
      </c>
      <c r="K115" s="1177" t="s">
        <v>676</v>
      </c>
      <c r="L115" s="1178" t="s">
        <v>677</v>
      </c>
      <c r="M115" s="1179">
        <v>63250000</v>
      </c>
      <c r="N115" s="1386" t="s">
        <v>785</v>
      </c>
      <c r="O115" s="1174" t="s">
        <v>780</v>
      </c>
      <c r="P115" s="1207" t="s">
        <v>680</v>
      </c>
      <c r="Q115" s="1163"/>
      <c r="R115" s="1269">
        <v>63250000</v>
      </c>
      <c r="S115" s="1357">
        <v>63250000</v>
      </c>
      <c r="T115" s="1357">
        <f>+Tabla16[[#This Row],[CDPS A 31 JULIO 2022]]-Tabla16[[#This Row],[CDP]]</f>
        <v>0</v>
      </c>
      <c r="U115" s="1357">
        <v>63250000</v>
      </c>
      <c r="V115" s="1357">
        <v>23283333</v>
      </c>
      <c r="W115" s="1357"/>
    </row>
    <row r="116" spans="1:23" s="1207" customFormat="1" ht="105" x14ac:dyDescent="0.2">
      <c r="A116" s="1355">
        <v>2022072</v>
      </c>
      <c r="B116" s="1172">
        <v>7655</v>
      </c>
      <c r="C116" s="1356" t="s">
        <v>670</v>
      </c>
      <c r="D116" s="1190" t="s">
        <v>691</v>
      </c>
      <c r="E116" s="1174" t="s">
        <v>782</v>
      </c>
      <c r="F116" s="1389" t="s">
        <v>819</v>
      </c>
      <c r="G116" s="1390">
        <v>44575</v>
      </c>
      <c r="H116" s="1390">
        <v>44575</v>
      </c>
      <c r="I116" s="1176">
        <v>6</v>
      </c>
      <c r="J116" s="1176" t="s">
        <v>675</v>
      </c>
      <c r="K116" s="1177" t="s">
        <v>676</v>
      </c>
      <c r="L116" s="1178" t="s">
        <v>677</v>
      </c>
      <c r="M116" s="1179">
        <v>16500000</v>
      </c>
      <c r="N116" s="1386" t="s">
        <v>785</v>
      </c>
      <c r="O116" s="1174" t="s">
        <v>780</v>
      </c>
      <c r="P116" s="1207" t="s">
        <v>680</v>
      </c>
      <c r="Q116" s="1163"/>
      <c r="R116" s="1269">
        <v>16500000</v>
      </c>
      <c r="S116" s="1357">
        <v>16500000</v>
      </c>
      <c r="T116" s="1357">
        <f>+Tabla16[[#This Row],[CDPS A 31 JULIO 2022]]-Tabla16[[#This Row],[CDP]]</f>
        <v>0</v>
      </c>
      <c r="U116" s="1357">
        <v>16500000</v>
      </c>
      <c r="V116" s="1357">
        <v>11916667</v>
      </c>
      <c r="W116" s="1357"/>
    </row>
    <row r="117" spans="1:23" s="1207" customFormat="1" ht="105" x14ac:dyDescent="0.2">
      <c r="A117" s="1355">
        <v>2022073</v>
      </c>
      <c r="B117" s="1172">
        <v>7655</v>
      </c>
      <c r="C117" s="1356" t="s">
        <v>670</v>
      </c>
      <c r="D117" s="1190" t="s">
        <v>691</v>
      </c>
      <c r="E117" s="1174" t="s">
        <v>782</v>
      </c>
      <c r="F117" s="1389" t="s">
        <v>818</v>
      </c>
      <c r="G117" s="1390">
        <v>44575</v>
      </c>
      <c r="H117" s="1390">
        <v>44575</v>
      </c>
      <c r="I117" s="1176">
        <v>11.5</v>
      </c>
      <c r="J117" s="1176" t="s">
        <v>675</v>
      </c>
      <c r="K117" s="1177" t="s">
        <v>676</v>
      </c>
      <c r="L117" s="1178" t="s">
        <v>677</v>
      </c>
      <c r="M117" s="1179">
        <v>63250000</v>
      </c>
      <c r="N117" s="1386" t="s">
        <v>785</v>
      </c>
      <c r="O117" s="1174" t="s">
        <v>780</v>
      </c>
      <c r="P117" s="1207" t="s">
        <v>680</v>
      </c>
      <c r="Q117" s="1163"/>
      <c r="R117" s="1269">
        <v>63250000</v>
      </c>
      <c r="S117" s="1357">
        <v>63250000</v>
      </c>
      <c r="T117" s="1357">
        <f>+Tabla16[[#This Row],[CDPS A 31 JULIO 2022]]-Tabla16[[#This Row],[CDP]]</f>
        <v>0</v>
      </c>
      <c r="U117" s="1357">
        <v>63250000</v>
      </c>
      <c r="V117" s="1357">
        <v>16500000</v>
      </c>
      <c r="W117" s="1357"/>
    </row>
    <row r="118" spans="1:23" s="1207" customFormat="1" ht="105" x14ac:dyDescent="0.2">
      <c r="A118" s="1355">
        <v>2022074</v>
      </c>
      <c r="B118" s="1172">
        <v>7655</v>
      </c>
      <c r="C118" s="1356" t="s">
        <v>670</v>
      </c>
      <c r="D118" s="1190" t="s">
        <v>691</v>
      </c>
      <c r="E118" s="1174" t="s">
        <v>782</v>
      </c>
      <c r="F118" s="1389" t="s">
        <v>818</v>
      </c>
      <c r="G118" s="1390">
        <v>44575</v>
      </c>
      <c r="H118" s="1390">
        <v>44575</v>
      </c>
      <c r="I118" s="1176">
        <v>11.5</v>
      </c>
      <c r="J118" s="1176" t="s">
        <v>675</v>
      </c>
      <c r="K118" s="1177" t="s">
        <v>676</v>
      </c>
      <c r="L118" s="1178" t="s">
        <v>677</v>
      </c>
      <c r="M118" s="1179">
        <v>58650000</v>
      </c>
      <c r="N118" s="1386" t="s">
        <v>785</v>
      </c>
      <c r="O118" s="1174" t="s">
        <v>780</v>
      </c>
      <c r="P118" s="1207" t="s">
        <v>680</v>
      </c>
      <c r="Q118" s="1163"/>
      <c r="R118" s="1269">
        <v>58650000</v>
      </c>
      <c r="S118" s="1357">
        <v>58650000</v>
      </c>
      <c r="T118" s="1357">
        <f>+Tabla16[[#This Row],[CDPS A 31 JULIO 2022]]-Tabla16[[#This Row],[CDP]]</f>
        <v>0</v>
      </c>
      <c r="U118" s="1357">
        <v>58650000</v>
      </c>
      <c r="V118" s="1357">
        <v>20400000</v>
      </c>
      <c r="W118" s="1357"/>
    </row>
    <row r="119" spans="1:23" s="1207" customFormat="1" ht="105" x14ac:dyDescent="0.2">
      <c r="A119" s="1355">
        <v>2022075</v>
      </c>
      <c r="B119" s="1172">
        <v>7655</v>
      </c>
      <c r="C119" s="1356" t="s">
        <v>670</v>
      </c>
      <c r="D119" s="1190" t="s">
        <v>691</v>
      </c>
      <c r="E119" s="1174" t="s">
        <v>782</v>
      </c>
      <c r="F119" s="1389" t="s">
        <v>819</v>
      </c>
      <c r="G119" s="1390">
        <v>44575</v>
      </c>
      <c r="H119" s="1390">
        <v>44575</v>
      </c>
      <c r="I119" s="1176">
        <v>11.5</v>
      </c>
      <c r="J119" s="1176" t="s">
        <v>675</v>
      </c>
      <c r="K119" s="1177" t="s">
        <v>676</v>
      </c>
      <c r="L119" s="1178" t="s">
        <v>677</v>
      </c>
      <c r="M119" s="1179">
        <v>31625000</v>
      </c>
      <c r="N119" s="1386" t="s">
        <v>785</v>
      </c>
      <c r="O119" s="1174" t="s">
        <v>780</v>
      </c>
      <c r="P119" s="1207" t="s">
        <v>680</v>
      </c>
      <c r="Q119" s="1163"/>
      <c r="R119" s="1269">
        <v>31625000</v>
      </c>
      <c r="S119" s="1357">
        <v>31625000</v>
      </c>
      <c r="T119" s="1357">
        <f>+Tabla16[[#This Row],[CDPS A 31 JULIO 2022]]-Tabla16[[#This Row],[CDP]]</f>
        <v>0</v>
      </c>
      <c r="U119" s="1357">
        <v>31625000</v>
      </c>
      <c r="V119" s="1357">
        <v>11550000</v>
      </c>
      <c r="W119" s="1357"/>
    </row>
    <row r="120" spans="1:23" s="1207" customFormat="1" ht="105" x14ac:dyDescent="0.2">
      <c r="A120" s="1355">
        <v>2022076</v>
      </c>
      <c r="B120" s="1172">
        <v>7655</v>
      </c>
      <c r="C120" s="1356" t="s">
        <v>670</v>
      </c>
      <c r="D120" s="1190" t="s">
        <v>691</v>
      </c>
      <c r="E120" s="1174" t="s">
        <v>782</v>
      </c>
      <c r="F120" s="1389" t="s">
        <v>820</v>
      </c>
      <c r="G120" s="1390">
        <v>44575</v>
      </c>
      <c r="H120" s="1390">
        <v>44575</v>
      </c>
      <c r="I120" s="1176">
        <v>11.5</v>
      </c>
      <c r="J120" s="1176" t="s">
        <v>675</v>
      </c>
      <c r="K120" s="1177" t="s">
        <v>676</v>
      </c>
      <c r="L120" s="1178" t="s">
        <v>677</v>
      </c>
      <c r="M120" s="1179">
        <v>28175000</v>
      </c>
      <c r="N120" s="1386" t="s">
        <v>785</v>
      </c>
      <c r="O120" s="1174" t="s">
        <v>780</v>
      </c>
      <c r="P120" s="1207" t="s">
        <v>680</v>
      </c>
      <c r="Q120" s="1163"/>
      <c r="R120" s="1269">
        <v>28175000</v>
      </c>
      <c r="S120" s="1357">
        <v>28175000</v>
      </c>
      <c r="T120" s="1357">
        <f>+Tabla16[[#This Row],[CDPS A 31 JULIO 2022]]-Tabla16[[#This Row],[CDP]]</f>
        <v>0</v>
      </c>
      <c r="U120" s="1357">
        <v>28175000</v>
      </c>
      <c r="V120" s="1357">
        <v>10371667</v>
      </c>
      <c r="W120" s="1357"/>
    </row>
    <row r="121" spans="1:23" s="1207" customFormat="1" ht="105" x14ac:dyDescent="0.2">
      <c r="A121" s="1355">
        <v>2022077</v>
      </c>
      <c r="B121" s="1172">
        <v>7655</v>
      </c>
      <c r="C121" s="1356" t="s">
        <v>670</v>
      </c>
      <c r="D121" s="1190" t="s">
        <v>691</v>
      </c>
      <c r="E121" s="1174" t="s">
        <v>782</v>
      </c>
      <c r="F121" s="1389" t="s">
        <v>820</v>
      </c>
      <c r="G121" s="1390">
        <v>44575</v>
      </c>
      <c r="H121" s="1390">
        <v>44575</v>
      </c>
      <c r="I121" s="1176">
        <v>11.5</v>
      </c>
      <c r="J121" s="1176" t="s">
        <v>675</v>
      </c>
      <c r="K121" s="1177" t="s">
        <v>676</v>
      </c>
      <c r="L121" s="1178" t="s">
        <v>677</v>
      </c>
      <c r="M121" s="1179">
        <v>28175000</v>
      </c>
      <c r="N121" s="1386" t="s">
        <v>785</v>
      </c>
      <c r="O121" s="1174" t="s">
        <v>780</v>
      </c>
      <c r="P121" s="1207" t="s">
        <v>680</v>
      </c>
      <c r="Q121" s="1163"/>
      <c r="R121" s="1269">
        <v>28175000</v>
      </c>
      <c r="S121" s="1357">
        <v>28175000</v>
      </c>
      <c r="T121" s="1357">
        <f>+Tabla16[[#This Row],[CDPS A 31 JULIO 2022]]-Tabla16[[#This Row],[CDP]]</f>
        <v>0</v>
      </c>
      <c r="U121" s="1357">
        <v>28175000</v>
      </c>
      <c r="V121" s="1357">
        <v>10616667</v>
      </c>
      <c r="W121" s="1357"/>
    </row>
    <row r="122" spans="1:23" s="1207" customFormat="1" ht="105" x14ac:dyDescent="0.2">
      <c r="A122" s="1355">
        <v>2022078</v>
      </c>
      <c r="B122" s="1172">
        <v>7655</v>
      </c>
      <c r="C122" s="1356" t="s">
        <v>670</v>
      </c>
      <c r="D122" s="1190" t="s">
        <v>691</v>
      </c>
      <c r="E122" s="1174" t="s">
        <v>782</v>
      </c>
      <c r="F122" s="1389" t="s">
        <v>821</v>
      </c>
      <c r="G122" s="1390">
        <v>44575</v>
      </c>
      <c r="H122" s="1390">
        <v>44575</v>
      </c>
      <c r="I122" s="1176">
        <v>11.5</v>
      </c>
      <c r="J122" s="1176" t="s">
        <v>675</v>
      </c>
      <c r="K122" s="1177" t="s">
        <v>676</v>
      </c>
      <c r="L122" s="1178" t="s">
        <v>677</v>
      </c>
      <c r="M122" s="1179">
        <v>24150000</v>
      </c>
      <c r="N122" s="1386" t="s">
        <v>785</v>
      </c>
      <c r="O122" s="1174" t="s">
        <v>780</v>
      </c>
      <c r="P122" s="1207" t="s">
        <v>680</v>
      </c>
      <c r="Q122" s="1163"/>
      <c r="R122" s="1269">
        <v>24150000</v>
      </c>
      <c r="S122" s="1357">
        <v>24150000</v>
      </c>
      <c r="T122" s="1357">
        <f>+Tabla16[[#This Row],[CDPS A 31 JULIO 2022]]-Tabla16[[#This Row],[CDP]]</f>
        <v>0</v>
      </c>
      <c r="U122" s="1357">
        <v>24150000</v>
      </c>
      <c r="V122" s="1357">
        <v>6300000</v>
      </c>
      <c r="W122" s="1357"/>
    </row>
    <row r="123" spans="1:23" s="1207" customFormat="1" ht="105" x14ac:dyDescent="0.2">
      <c r="A123" s="1355">
        <v>2022079</v>
      </c>
      <c r="B123" s="1172">
        <v>7655</v>
      </c>
      <c r="C123" s="1356" t="s">
        <v>670</v>
      </c>
      <c r="D123" s="1190" t="s">
        <v>691</v>
      </c>
      <c r="E123" s="1174" t="s">
        <v>782</v>
      </c>
      <c r="F123" s="1389" t="s">
        <v>822</v>
      </c>
      <c r="G123" s="1390">
        <v>44575</v>
      </c>
      <c r="H123" s="1390">
        <v>44575</v>
      </c>
      <c r="I123" s="1176">
        <v>11.5</v>
      </c>
      <c r="J123" s="1176" t="s">
        <v>675</v>
      </c>
      <c r="K123" s="1177" t="s">
        <v>676</v>
      </c>
      <c r="L123" s="1178" t="s">
        <v>677</v>
      </c>
      <c r="M123" s="1179">
        <v>57500000</v>
      </c>
      <c r="N123" s="1386" t="s">
        <v>785</v>
      </c>
      <c r="O123" s="1174" t="s">
        <v>780</v>
      </c>
      <c r="P123" s="1207" t="s">
        <v>680</v>
      </c>
      <c r="Q123" s="1163"/>
      <c r="R123" s="1269">
        <v>57500000</v>
      </c>
      <c r="S123" s="1357">
        <v>57500000</v>
      </c>
      <c r="T123" s="1357">
        <f>+Tabla16[[#This Row],[CDPS A 31 JULIO 2022]]-Tabla16[[#This Row],[CDP]]</f>
        <v>0</v>
      </c>
      <c r="U123" s="1357">
        <v>57500000</v>
      </c>
      <c r="V123" s="1357">
        <v>21166667</v>
      </c>
      <c r="W123" s="1357"/>
    </row>
    <row r="124" spans="1:23" s="1207" customFormat="1" ht="105" x14ac:dyDescent="0.2">
      <c r="A124" s="1355">
        <v>2022080</v>
      </c>
      <c r="B124" s="1172">
        <v>7655</v>
      </c>
      <c r="C124" s="1356" t="s">
        <v>670</v>
      </c>
      <c r="D124" s="1190" t="s">
        <v>691</v>
      </c>
      <c r="E124" s="1174" t="s">
        <v>782</v>
      </c>
      <c r="F124" s="1389" t="s">
        <v>823</v>
      </c>
      <c r="G124" s="1390">
        <v>44575</v>
      </c>
      <c r="H124" s="1390">
        <v>44575</v>
      </c>
      <c r="I124" s="1176">
        <v>11.5</v>
      </c>
      <c r="J124" s="1176" t="s">
        <v>675</v>
      </c>
      <c r="K124" s="1177" t="s">
        <v>676</v>
      </c>
      <c r="L124" s="1178" t="s">
        <v>677</v>
      </c>
      <c r="M124" s="1179">
        <v>83950000</v>
      </c>
      <c r="N124" s="1386" t="s">
        <v>785</v>
      </c>
      <c r="O124" s="1174" t="s">
        <v>780</v>
      </c>
      <c r="P124" s="1207" t="s">
        <v>680</v>
      </c>
      <c r="Q124" s="1163"/>
      <c r="R124" s="1269">
        <v>83950000</v>
      </c>
      <c r="S124" s="1357">
        <v>83950000</v>
      </c>
      <c r="T124" s="1357">
        <f>+Tabla16[[#This Row],[CDPS A 31 JULIO 2022]]-Tabla16[[#This Row],[CDP]]</f>
        <v>0</v>
      </c>
      <c r="U124" s="1357">
        <v>83950000</v>
      </c>
      <c r="V124" s="1357">
        <v>31876667</v>
      </c>
      <c r="W124" s="1357"/>
    </row>
    <row r="125" spans="1:23" s="1207" customFormat="1" ht="105" x14ac:dyDescent="0.2">
      <c r="A125" s="1355">
        <v>2022081</v>
      </c>
      <c r="B125" s="1172">
        <v>7655</v>
      </c>
      <c r="C125" s="1356" t="s">
        <v>670</v>
      </c>
      <c r="D125" s="1190" t="s">
        <v>691</v>
      </c>
      <c r="E125" s="1174" t="s">
        <v>782</v>
      </c>
      <c r="F125" s="1389" t="s">
        <v>824</v>
      </c>
      <c r="G125" s="1390">
        <v>44575</v>
      </c>
      <c r="H125" s="1390">
        <v>44575</v>
      </c>
      <c r="I125" s="1176">
        <v>11.5</v>
      </c>
      <c r="J125" s="1176" t="s">
        <v>675</v>
      </c>
      <c r="K125" s="1177" t="s">
        <v>676</v>
      </c>
      <c r="L125" s="1178" t="s">
        <v>677</v>
      </c>
      <c r="M125" s="1179">
        <v>28175000</v>
      </c>
      <c r="N125" s="1386" t="s">
        <v>785</v>
      </c>
      <c r="O125" s="1174" t="s">
        <v>780</v>
      </c>
      <c r="P125" s="1207" t="s">
        <v>680</v>
      </c>
      <c r="Q125" s="1163"/>
      <c r="R125" s="1269">
        <v>28175000</v>
      </c>
      <c r="S125" s="1357">
        <v>28175000</v>
      </c>
      <c r="T125" s="1357">
        <f>+Tabla16[[#This Row],[CDPS A 31 JULIO 2022]]-Tabla16[[#This Row],[CDP]]</f>
        <v>0</v>
      </c>
      <c r="U125" s="1357">
        <v>28175000</v>
      </c>
      <c r="V125" s="1357">
        <v>9228333</v>
      </c>
      <c r="W125" s="1357"/>
    </row>
    <row r="126" spans="1:23" s="1207" customFormat="1" ht="105" x14ac:dyDescent="0.2">
      <c r="A126" s="1355">
        <v>2022082</v>
      </c>
      <c r="B126" s="1172">
        <v>7655</v>
      </c>
      <c r="C126" s="1356" t="s">
        <v>670</v>
      </c>
      <c r="D126" s="1190" t="s">
        <v>691</v>
      </c>
      <c r="E126" s="1174" t="s">
        <v>782</v>
      </c>
      <c r="F126" s="1389" t="s">
        <v>820</v>
      </c>
      <c r="G126" s="1390">
        <v>44575</v>
      </c>
      <c r="H126" s="1390">
        <v>44575</v>
      </c>
      <c r="I126" s="1176">
        <v>11.5</v>
      </c>
      <c r="J126" s="1176" t="s">
        <v>675</v>
      </c>
      <c r="K126" s="1177" t="s">
        <v>676</v>
      </c>
      <c r="L126" s="1178" t="s">
        <v>677</v>
      </c>
      <c r="M126" s="1179">
        <v>28175000</v>
      </c>
      <c r="N126" s="1386" t="s">
        <v>785</v>
      </c>
      <c r="O126" s="1174" t="s">
        <v>780</v>
      </c>
      <c r="P126" s="1207" t="s">
        <v>680</v>
      </c>
      <c r="Q126" s="1163"/>
      <c r="R126" s="1269">
        <v>28175000</v>
      </c>
      <c r="S126" s="1357">
        <v>28175000</v>
      </c>
      <c r="T126" s="1357">
        <f>+Tabla16[[#This Row],[CDPS A 31 JULIO 2022]]-Tabla16[[#This Row],[CDP]]</f>
        <v>0</v>
      </c>
      <c r="U126" s="1357">
        <v>28175000</v>
      </c>
      <c r="V126" s="1357">
        <v>10371667</v>
      </c>
      <c r="W126" s="1357"/>
    </row>
    <row r="127" spans="1:23" s="1207" customFormat="1" ht="105" x14ac:dyDescent="0.2">
      <c r="A127" s="1355">
        <v>2022083</v>
      </c>
      <c r="B127" s="1172">
        <v>7655</v>
      </c>
      <c r="C127" s="1356" t="s">
        <v>670</v>
      </c>
      <c r="D127" s="1190" t="s">
        <v>691</v>
      </c>
      <c r="E127" s="1174" t="s">
        <v>782</v>
      </c>
      <c r="F127" s="1389" t="s">
        <v>820</v>
      </c>
      <c r="G127" s="1390">
        <v>44575</v>
      </c>
      <c r="H127" s="1390">
        <v>44575</v>
      </c>
      <c r="I127" s="1176">
        <v>11.5</v>
      </c>
      <c r="J127" s="1176" t="s">
        <v>675</v>
      </c>
      <c r="K127" s="1177" t="s">
        <v>676</v>
      </c>
      <c r="L127" s="1178" t="s">
        <v>677</v>
      </c>
      <c r="M127" s="1179">
        <v>28175000</v>
      </c>
      <c r="N127" s="1386" t="s">
        <v>785</v>
      </c>
      <c r="O127" s="1174" t="s">
        <v>780</v>
      </c>
      <c r="P127" s="1207" t="s">
        <v>680</v>
      </c>
      <c r="Q127" s="1163"/>
      <c r="R127" s="1269">
        <v>28175000</v>
      </c>
      <c r="S127" s="1357">
        <v>28175000</v>
      </c>
      <c r="T127" s="1357">
        <f>+Tabla16[[#This Row],[CDPS A 31 JULIO 2022]]-Tabla16[[#This Row],[CDP]]</f>
        <v>0</v>
      </c>
      <c r="U127" s="1357">
        <v>28175000</v>
      </c>
      <c r="V127" s="1357">
        <v>10290000</v>
      </c>
      <c r="W127" s="1357"/>
    </row>
    <row r="128" spans="1:23" s="1207" customFormat="1" ht="105" x14ac:dyDescent="0.2">
      <c r="A128" s="1355">
        <v>2022084</v>
      </c>
      <c r="B128" s="1172">
        <v>7655</v>
      </c>
      <c r="C128" s="1356" t="s">
        <v>670</v>
      </c>
      <c r="D128" s="1190" t="s">
        <v>691</v>
      </c>
      <c r="E128" s="1174" t="s">
        <v>782</v>
      </c>
      <c r="F128" s="1389" t="s">
        <v>820</v>
      </c>
      <c r="G128" s="1390">
        <v>44575</v>
      </c>
      <c r="H128" s="1390">
        <v>44575</v>
      </c>
      <c r="I128" s="1176">
        <v>11.5</v>
      </c>
      <c r="J128" s="1176" t="s">
        <v>675</v>
      </c>
      <c r="K128" s="1177" t="s">
        <v>676</v>
      </c>
      <c r="L128" s="1178" t="s">
        <v>677</v>
      </c>
      <c r="M128" s="1179">
        <v>28175000</v>
      </c>
      <c r="N128" s="1386" t="s">
        <v>785</v>
      </c>
      <c r="O128" s="1174" t="s">
        <v>780</v>
      </c>
      <c r="P128" s="1207" t="s">
        <v>680</v>
      </c>
      <c r="Q128" s="1163"/>
      <c r="R128" s="1269">
        <v>28175000</v>
      </c>
      <c r="S128" s="1357">
        <v>28175000</v>
      </c>
      <c r="T128" s="1357">
        <f>+Tabla16[[#This Row],[CDPS A 31 JULIO 2022]]-Tabla16[[#This Row],[CDP]]</f>
        <v>0</v>
      </c>
      <c r="U128" s="1357">
        <v>28175000</v>
      </c>
      <c r="V128" s="1357">
        <v>9800000</v>
      </c>
      <c r="W128" s="1357"/>
    </row>
    <row r="129" spans="1:23" s="1207" customFormat="1" ht="105" x14ac:dyDescent="0.2">
      <c r="A129" s="1355">
        <v>2022085</v>
      </c>
      <c r="B129" s="1172">
        <v>7655</v>
      </c>
      <c r="C129" s="1356" t="s">
        <v>670</v>
      </c>
      <c r="D129" s="1190" t="s">
        <v>691</v>
      </c>
      <c r="E129" s="1174" t="s">
        <v>782</v>
      </c>
      <c r="F129" s="1389" t="s">
        <v>825</v>
      </c>
      <c r="G129" s="1390">
        <v>44575</v>
      </c>
      <c r="H129" s="1390">
        <v>44575</v>
      </c>
      <c r="I129" s="1176">
        <v>11.5</v>
      </c>
      <c r="J129" s="1176" t="s">
        <v>675</v>
      </c>
      <c r="K129" s="1177" t="s">
        <v>676</v>
      </c>
      <c r="L129" s="1178" t="s">
        <v>677</v>
      </c>
      <c r="M129" s="1179">
        <v>78200000</v>
      </c>
      <c r="N129" s="1386" t="s">
        <v>785</v>
      </c>
      <c r="O129" s="1174" t="s">
        <v>780</v>
      </c>
      <c r="P129" s="1207" t="s">
        <v>680</v>
      </c>
      <c r="Q129" s="1163"/>
      <c r="R129" s="1269">
        <v>78200000</v>
      </c>
      <c r="S129" s="1357">
        <v>78200000</v>
      </c>
      <c r="T129" s="1357">
        <f>+Tabla16[[#This Row],[CDPS A 31 JULIO 2022]]-Tabla16[[#This Row],[CDP]]</f>
        <v>0</v>
      </c>
      <c r="U129" s="1357">
        <v>78200000</v>
      </c>
      <c r="V129" s="1357">
        <v>30146667</v>
      </c>
      <c r="W129" s="1357"/>
    </row>
    <row r="130" spans="1:23" s="1207" customFormat="1" ht="105" x14ac:dyDescent="0.2">
      <c r="A130" s="1355">
        <v>2022086</v>
      </c>
      <c r="B130" s="1172">
        <v>7655</v>
      </c>
      <c r="C130" s="1356" t="s">
        <v>670</v>
      </c>
      <c r="D130" s="1190" t="s">
        <v>691</v>
      </c>
      <c r="E130" s="1174" t="s">
        <v>782</v>
      </c>
      <c r="F130" s="1389" t="s">
        <v>826</v>
      </c>
      <c r="G130" s="1390">
        <v>44575</v>
      </c>
      <c r="H130" s="1390">
        <v>44575</v>
      </c>
      <c r="I130" s="1176">
        <v>11.5</v>
      </c>
      <c r="J130" s="1176" t="s">
        <v>675</v>
      </c>
      <c r="K130" s="1177" t="s">
        <v>676</v>
      </c>
      <c r="L130" s="1178" t="s">
        <v>677</v>
      </c>
      <c r="M130" s="1179">
        <v>36800000</v>
      </c>
      <c r="N130" s="1386" t="s">
        <v>785</v>
      </c>
      <c r="O130" s="1174" t="s">
        <v>780</v>
      </c>
      <c r="P130" s="1207" t="s">
        <v>680</v>
      </c>
      <c r="Q130" s="1163"/>
      <c r="R130" s="1269">
        <v>36800000</v>
      </c>
      <c r="S130" s="1357">
        <v>36800000</v>
      </c>
      <c r="T130" s="1357">
        <f>+Tabla16[[#This Row],[CDPS A 31 JULIO 2022]]-Tabla16[[#This Row],[CDP]]</f>
        <v>0</v>
      </c>
      <c r="U130" s="1357">
        <v>36800000</v>
      </c>
      <c r="V130" s="1357">
        <v>14186667</v>
      </c>
      <c r="W130" s="1357"/>
    </row>
    <row r="131" spans="1:23" s="1207" customFormat="1" ht="105" x14ac:dyDescent="0.2">
      <c r="A131" s="1355">
        <v>2022087</v>
      </c>
      <c r="B131" s="1172">
        <v>7655</v>
      </c>
      <c r="C131" s="1356" t="s">
        <v>670</v>
      </c>
      <c r="D131" s="1190" t="s">
        <v>691</v>
      </c>
      <c r="E131" s="1174" t="s">
        <v>782</v>
      </c>
      <c r="F131" s="1389" t="s">
        <v>827</v>
      </c>
      <c r="G131" s="1390">
        <v>44575</v>
      </c>
      <c r="H131" s="1390">
        <v>44575</v>
      </c>
      <c r="I131" s="1176">
        <v>11.5</v>
      </c>
      <c r="J131" s="1176" t="s">
        <v>675</v>
      </c>
      <c r="K131" s="1177" t="s">
        <v>676</v>
      </c>
      <c r="L131" s="1178" t="s">
        <v>677</v>
      </c>
      <c r="M131" s="1179">
        <v>58650000</v>
      </c>
      <c r="N131" s="1386" t="s">
        <v>785</v>
      </c>
      <c r="O131" s="1174" t="s">
        <v>780</v>
      </c>
      <c r="P131" s="1207" t="s">
        <v>680</v>
      </c>
      <c r="Q131" s="1163"/>
      <c r="R131" s="1269">
        <v>58650000</v>
      </c>
      <c r="S131" s="1357">
        <v>58650000</v>
      </c>
      <c r="T131" s="1357">
        <f>+Tabla16[[#This Row],[CDPS A 31 JULIO 2022]]-Tabla16[[#This Row],[CDP]]</f>
        <v>0</v>
      </c>
      <c r="U131" s="1357">
        <v>58650000</v>
      </c>
      <c r="V131" s="1357">
        <v>22270000</v>
      </c>
      <c r="W131" s="1357"/>
    </row>
    <row r="132" spans="1:23" s="1207" customFormat="1" ht="105" x14ac:dyDescent="0.2">
      <c r="A132" s="1355">
        <v>2022088</v>
      </c>
      <c r="B132" s="1172">
        <v>7655</v>
      </c>
      <c r="C132" s="1356" t="s">
        <v>670</v>
      </c>
      <c r="D132" s="1190" t="s">
        <v>691</v>
      </c>
      <c r="E132" s="1174" t="s">
        <v>782</v>
      </c>
      <c r="F132" s="1389" t="s">
        <v>828</v>
      </c>
      <c r="G132" s="1390">
        <v>44575</v>
      </c>
      <c r="H132" s="1390">
        <v>44575</v>
      </c>
      <c r="I132" s="1176">
        <v>11.5</v>
      </c>
      <c r="J132" s="1176" t="s">
        <v>675</v>
      </c>
      <c r="K132" s="1177" t="s">
        <v>676</v>
      </c>
      <c r="L132" s="1178" t="s">
        <v>677</v>
      </c>
      <c r="M132" s="1179">
        <v>38525000</v>
      </c>
      <c r="N132" s="1386" t="s">
        <v>785</v>
      </c>
      <c r="O132" s="1174" t="s">
        <v>780</v>
      </c>
      <c r="P132" s="1207" t="s">
        <v>680</v>
      </c>
      <c r="Q132" s="1163"/>
      <c r="R132" s="1269">
        <v>38525000</v>
      </c>
      <c r="S132" s="1357">
        <v>38525000</v>
      </c>
      <c r="T132" s="1357">
        <f>+Tabla16[[#This Row],[CDPS A 31 JULIO 2022]]-Tabla16[[#This Row],[CDP]]</f>
        <v>0</v>
      </c>
      <c r="U132" s="1357">
        <v>38525000</v>
      </c>
      <c r="V132" s="1357">
        <v>15298333</v>
      </c>
      <c r="W132" s="1357"/>
    </row>
    <row r="133" spans="1:23" s="1207" customFormat="1" ht="105" x14ac:dyDescent="0.2">
      <c r="A133" s="1355">
        <v>2022089</v>
      </c>
      <c r="B133" s="1172">
        <v>7655</v>
      </c>
      <c r="C133" s="1356" t="s">
        <v>670</v>
      </c>
      <c r="D133" s="1190" t="s">
        <v>691</v>
      </c>
      <c r="E133" s="1174" t="s">
        <v>782</v>
      </c>
      <c r="F133" s="1389" t="s">
        <v>829</v>
      </c>
      <c r="G133" s="1390">
        <v>44575</v>
      </c>
      <c r="H133" s="1390">
        <v>44575</v>
      </c>
      <c r="I133" s="1176">
        <v>11.5</v>
      </c>
      <c r="J133" s="1176" t="s">
        <v>675</v>
      </c>
      <c r="K133" s="1177" t="s">
        <v>676</v>
      </c>
      <c r="L133" s="1178" t="s">
        <v>677</v>
      </c>
      <c r="M133" s="1179">
        <v>48300000</v>
      </c>
      <c r="N133" s="1386" t="s">
        <v>785</v>
      </c>
      <c r="O133" s="1174" t="s">
        <v>780</v>
      </c>
      <c r="P133" s="1207" t="s">
        <v>680</v>
      </c>
      <c r="Q133" s="1163"/>
      <c r="R133" s="1269">
        <v>48300000</v>
      </c>
      <c r="S133" s="1357">
        <v>48300000</v>
      </c>
      <c r="T133" s="1357">
        <f>+Tabla16[[#This Row],[CDPS A 31 JULIO 2022]]-Tabla16[[#This Row],[CDP]]</f>
        <v>0</v>
      </c>
      <c r="U133" s="1357">
        <v>48300000</v>
      </c>
      <c r="V133" s="1357">
        <v>19180000</v>
      </c>
      <c r="W133" s="1357"/>
    </row>
    <row r="134" spans="1:23" s="1207" customFormat="1" ht="105" x14ac:dyDescent="0.2">
      <c r="A134" s="1355">
        <v>2022090</v>
      </c>
      <c r="B134" s="1172">
        <v>7655</v>
      </c>
      <c r="C134" s="1356" t="s">
        <v>670</v>
      </c>
      <c r="D134" s="1190" t="s">
        <v>691</v>
      </c>
      <c r="E134" s="1174" t="s">
        <v>782</v>
      </c>
      <c r="F134" s="1389" t="s">
        <v>830</v>
      </c>
      <c r="G134" s="1390">
        <v>44575</v>
      </c>
      <c r="H134" s="1390">
        <v>44575</v>
      </c>
      <c r="I134" s="1176">
        <v>6</v>
      </c>
      <c r="J134" s="1176" t="s">
        <v>675</v>
      </c>
      <c r="K134" s="1177" t="s">
        <v>676</v>
      </c>
      <c r="L134" s="1178" t="s">
        <v>677</v>
      </c>
      <c r="M134" s="1179">
        <f>36000000-12872500-2750000-20377500</f>
        <v>0</v>
      </c>
      <c r="N134" s="1386" t="s">
        <v>785</v>
      </c>
      <c r="O134" s="1174" t="s">
        <v>780</v>
      </c>
      <c r="P134" s="1207" t="s">
        <v>680</v>
      </c>
      <c r="Q134" s="1163"/>
      <c r="R134" s="1269">
        <v>0</v>
      </c>
      <c r="S134" s="1357"/>
      <c r="T134" s="1357">
        <f>+Tabla16[[#This Row],[CDPS A 31 JULIO 2022]]-Tabla16[[#This Row],[CDP]]</f>
        <v>0</v>
      </c>
      <c r="U134" s="1357"/>
      <c r="V134" s="1357"/>
      <c r="W134" s="1357"/>
    </row>
    <row r="135" spans="1:23" s="1207" customFormat="1" ht="105" x14ac:dyDescent="0.2">
      <c r="A135" s="1355">
        <v>2022091</v>
      </c>
      <c r="B135" s="1172">
        <v>7655</v>
      </c>
      <c r="C135" s="1356" t="s">
        <v>670</v>
      </c>
      <c r="D135" s="1190" t="s">
        <v>691</v>
      </c>
      <c r="E135" s="1174" t="s">
        <v>782</v>
      </c>
      <c r="F135" s="1389" t="s">
        <v>831</v>
      </c>
      <c r="G135" s="1390">
        <v>44575</v>
      </c>
      <c r="H135" s="1390">
        <v>44575</v>
      </c>
      <c r="I135" s="1176">
        <v>11.5</v>
      </c>
      <c r="J135" s="1176" t="s">
        <v>675</v>
      </c>
      <c r="K135" s="1177" t="s">
        <v>676</v>
      </c>
      <c r="L135" s="1178" t="s">
        <v>677</v>
      </c>
      <c r="M135" s="1179">
        <v>80500000</v>
      </c>
      <c r="N135" s="1386" t="s">
        <v>785</v>
      </c>
      <c r="O135" s="1174" t="s">
        <v>780</v>
      </c>
      <c r="P135" s="1207" t="s">
        <v>680</v>
      </c>
      <c r="Q135" s="1163"/>
      <c r="R135" s="1269">
        <v>80500000</v>
      </c>
      <c r="S135" s="1357">
        <v>80500000</v>
      </c>
      <c r="T135" s="1357">
        <f>+Tabla16[[#This Row],[CDPS A 31 JULIO 2022]]-Tabla16[[#This Row],[CDP]]</f>
        <v>0</v>
      </c>
      <c r="U135" s="1357">
        <v>80500000</v>
      </c>
      <c r="V135" s="1357">
        <v>21233333</v>
      </c>
      <c r="W135" s="1357"/>
    </row>
    <row r="136" spans="1:23" s="1207" customFormat="1" ht="105" x14ac:dyDescent="0.2">
      <c r="A136" s="1355">
        <v>2022092</v>
      </c>
      <c r="B136" s="1172">
        <v>7655</v>
      </c>
      <c r="C136" s="1356" t="s">
        <v>670</v>
      </c>
      <c r="D136" s="1190" t="s">
        <v>691</v>
      </c>
      <c r="E136" s="1174" t="s">
        <v>782</v>
      </c>
      <c r="F136" s="1389" t="s">
        <v>832</v>
      </c>
      <c r="G136" s="1390">
        <v>44575</v>
      </c>
      <c r="H136" s="1390">
        <v>44575</v>
      </c>
      <c r="I136" s="1176">
        <v>11.5</v>
      </c>
      <c r="J136" s="1176" t="s">
        <v>675</v>
      </c>
      <c r="K136" s="1177" t="s">
        <v>676</v>
      </c>
      <c r="L136" s="1178" t="s">
        <v>677</v>
      </c>
      <c r="M136" s="1179">
        <v>28175000</v>
      </c>
      <c r="N136" s="1386" t="s">
        <v>785</v>
      </c>
      <c r="O136" s="1174" t="s">
        <v>780</v>
      </c>
      <c r="P136" s="1207" t="s">
        <v>680</v>
      </c>
      <c r="Q136" s="1163"/>
      <c r="R136" s="1269">
        <v>28175000</v>
      </c>
      <c r="S136" s="1357">
        <v>28175000</v>
      </c>
      <c r="T136" s="1357">
        <f>+Tabla16[[#This Row],[CDPS A 31 JULIO 2022]]-Tabla16[[#This Row],[CDP]]</f>
        <v>0</v>
      </c>
      <c r="U136" s="1357">
        <v>28175000</v>
      </c>
      <c r="V136" s="1357">
        <v>10698333</v>
      </c>
      <c r="W136" s="1357"/>
    </row>
    <row r="137" spans="1:23" s="1207" customFormat="1" ht="105" x14ac:dyDescent="0.2">
      <c r="A137" s="1355">
        <v>2022093</v>
      </c>
      <c r="B137" s="1172">
        <v>7655</v>
      </c>
      <c r="C137" s="1356" t="s">
        <v>670</v>
      </c>
      <c r="D137" s="1190" t="s">
        <v>691</v>
      </c>
      <c r="E137" s="1174" t="s">
        <v>782</v>
      </c>
      <c r="F137" s="1389" t="s">
        <v>833</v>
      </c>
      <c r="G137" s="1390">
        <v>44575</v>
      </c>
      <c r="H137" s="1390">
        <v>44575</v>
      </c>
      <c r="I137" s="1176">
        <v>11.5</v>
      </c>
      <c r="J137" s="1176" t="s">
        <v>675</v>
      </c>
      <c r="K137" s="1177" t="s">
        <v>676</v>
      </c>
      <c r="L137" s="1178" t="s">
        <v>677</v>
      </c>
      <c r="M137" s="1179">
        <v>48300000</v>
      </c>
      <c r="N137" s="1386" t="s">
        <v>785</v>
      </c>
      <c r="O137" s="1174" t="s">
        <v>780</v>
      </c>
      <c r="P137" s="1207" t="s">
        <v>680</v>
      </c>
      <c r="Q137" s="1163"/>
      <c r="R137" s="1269">
        <v>48300000</v>
      </c>
      <c r="S137" s="1357">
        <v>48300000</v>
      </c>
      <c r="T137" s="1357">
        <f>+Tabla16[[#This Row],[CDPS A 31 JULIO 2022]]-Tabla16[[#This Row],[CDP]]</f>
        <v>0</v>
      </c>
      <c r="U137" s="1357">
        <v>48300000</v>
      </c>
      <c r="V137" s="1357">
        <v>18620000</v>
      </c>
      <c r="W137" s="1357"/>
    </row>
    <row r="138" spans="1:23" s="1207" customFormat="1" ht="105" x14ac:dyDescent="0.2">
      <c r="A138" s="1355">
        <v>2022094</v>
      </c>
      <c r="B138" s="1172">
        <v>7655</v>
      </c>
      <c r="C138" s="1356" t="s">
        <v>670</v>
      </c>
      <c r="D138" s="1190" t="s">
        <v>691</v>
      </c>
      <c r="E138" s="1174" t="s">
        <v>782</v>
      </c>
      <c r="F138" s="1389" t="s">
        <v>832</v>
      </c>
      <c r="G138" s="1390">
        <v>44575</v>
      </c>
      <c r="H138" s="1390">
        <v>44575</v>
      </c>
      <c r="I138" s="1176">
        <v>11.5</v>
      </c>
      <c r="J138" s="1176" t="s">
        <v>675</v>
      </c>
      <c r="K138" s="1177" t="s">
        <v>676</v>
      </c>
      <c r="L138" s="1178" t="s">
        <v>677</v>
      </c>
      <c r="M138" s="1179">
        <v>28175000</v>
      </c>
      <c r="N138" s="1386" t="s">
        <v>785</v>
      </c>
      <c r="O138" s="1174" t="s">
        <v>780</v>
      </c>
      <c r="P138" s="1207" t="s">
        <v>680</v>
      </c>
      <c r="Q138" s="1163"/>
      <c r="R138" s="1269">
        <v>28175000</v>
      </c>
      <c r="S138" s="1357">
        <v>28175000</v>
      </c>
      <c r="T138" s="1357">
        <f>+Tabla16[[#This Row],[CDPS A 31 JULIO 2022]]-Tabla16[[#This Row],[CDP]]</f>
        <v>0</v>
      </c>
      <c r="U138" s="1357">
        <v>28175000</v>
      </c>
      <c r="V138" s="1357">
        <v>10943333</v>
      </c>
      <c r="W138" s="1357"/>
    </row>
    <row r="139" spans="1:23" s="1207" customFormat="1" ht="105" x14ac:dyDescent="0.2">
      <c r="A139" s="1355">
        <v>2022095</v>
      </c>
      <c r="B139" s="1172">
        <v>7655</v>
      </c>
      <c r="C139" s="1356" t="s">
        <v>670</v>
      </c>
      <c r="D139" s="1190" t="s">
        <v>691</v>
      </c>
      <c r="E139" s="1174" t="s">
        <v>782</v>
      </c>
      <c r="F139" s="1389" t="s">
        <v>834</v>
      </c>
      <c r="G139" s="1390">
        <v>44575</v>
      </c>
      <c r="H139" s="1390">
        <v>44575</v>
      </c>
      <c r="I139" s="1176">
        <v>11.5</v>
      </c>
      <c r="J139" s="1176" t="s">
        <v>675</v>
      </c>
      <c r="K139" s="1177" t="s">
        <v>676</v>
      </c>
      <c r="L139" s="1178" t="s">
        <v>677</v>
      </c>
      <c r="M139" s="1179">
        <v>31625000</v>
      </c>
      <c r="N139" s="1386" t="s">
        <v>785</v>
      </c>
      <c r="O139" s="1174" t="s">
        <v>780</v>
      </c>
      <c r="P139" s="1207" t="s">
        <v>680</v>
      </c>
      <c r="Q139" s="1163"/>
      <c r="R139" s="1269">
        <v>31625000</v>
      </c>
      <c r="S139" s="1357">
        <v>31625000</v>
      </c>
      <c r="T139" s="1357">
        <f>+Tabla16[[#This Row],[CDPS A 31 JULIO 2022]]-Tabla16[[#This Row],[CDP]]</f>
        <v>0</v>
      </c>
      <c r="U139" s="1357">
        <v>31625000</v>
      </c>
      <c r="V139" s="1357">
        <v>11458333</v>
      </c>
      <c r="W139" s="1357"/>
    </row>
    <row r="140" spans="1:23" s="1207" customFormat="1" ht="105" x14ac:dyDescent="0.2">
      <c r="A140" s="1355">
        <v>2022096</v>
      </c>
      <c r="B140" s="1172">
        <v>7655</v>
      </c>
      <c r="C140" s="1356" t="s">
        <v>670</v>
      </c>
      <c r="D140" s="1190" t="s">
        <v>691</v>
      </c>
      <c r="E140" s="1174" t="s">
        <v>782</v>
      </c>
      <c r="F140" s="1389" t="s">
        <v>835</v>
      </c>
      <c r="G140" s="1390">
        <v>44575</v>
      </c>
      <c r="H140" s="1390">
        <v>44575</v>
      </c>
      <c r="I140" s="1176">
        <v>11.5</v>
      </c>
      <c r="J140" s="1176" t="s">
        <v>675</v>
      </c>
      <c r="K140" s="1177" t="s">
        <v>676</v>
      </c>
      <c r="L140" s="1178" t="s">
        <v>677</v>
      </c>
      <c r="M140" s="1179">
        <v>69000000</v>
      </c>
      <c r="N140" s="1386" t="s">
        <v>785</v>
      </c>
      <c r="O140" s="1174" t="s">
        <v>780</v>
      </c>
      <c r="P140" s="1207" t="s">
        <v>680</v>
      </c>
      <c r="Q140" s="1163"/>
      <c r="R140" s="1269">
        <v>69000000</v>
      </c>
      <c r="S140" s="1357">
        <v>69000000</v>
      </c>
      <c r="T140" s="1357">
        <f>+Tabla16[[#This Row],[CDPS A 31 JULIO 2022]]-Tabla16[[#This Row],[CDP]]</f>
        <v>0</v>
      </c>
      <c r="U140" s="1357">
        <v>69000000</v>
      </c>
      <c r="V140" s="1357">
        <v>26600000</v>
      </c>
      <c r="W140" s="1357"/>
    </row>
    <row r="141" spans="1:23" s="1207" customFormat="1" ht="105" x14ac:dyDescent="0.2">
      <c r="A141" s="1355">
        <v>2022097</v>
      </c>
      <c r="B141" s="1172">
        <v>7655</v>
      </c>
      <c r="C141" s="1356" t="s">
        <v>670</v>
      </c>
      <c r="D141" s="1190" t="s">
        <v>691</v>
      </c>
      <c r="E141" s="1174" t="s">
        <v>782</v>
      </c>
      <c r="F141" s="1389" t="s">
        <v>832</v>
      </c>
      <c r="G141" s="1390">
        <v>44575</v>
      </c>
      <c r="H141" s="1390">
        <v>44575</v>
      </c>
      <c r="I141" s="1176">
        <v>11.5</v>
      </c>
      <c r="J141" s="1176" t="s">
        <v>675</v>
      </c>
      <c r="K141" s="1177" t="s">
        <v>676</v>
      </c>
      <c r="L141" s="1178" t="s">
        <v>677</v>
      </c>
      <c r="M141" s="1179">
        <v>24150000</v>
      </c>
      <c r="N141" s="1386" t="s">
        <v>785</v>
      </c>
      <c r="O141" s="1174" t="s">
        <v>780</v>
      </c>
      <c r="P141" s="1207" t="s">
        <v>680</v>
      </c>
      <c r="Q141" s="1163"/>
      <c r="R141" s="1269">
        <v>24150000</v>
      </c>
      <c r="S141" s="1357">
        <v>24150000</v>
      </c>
      <c r="T141" s="1357">
        <f>+Tabla16[[#This Row],[CDPS A 31 JULIO 2022]]-Tabla16[[#This Row],[CDP]]</f>
        <v>0</v>
      </c>
      <c r="U141" s="1357">
        <v>24150000</v>
      </c>
      <c r="V141" s="1357">
        <v>9170000</v>
      </c>
      <c r="W141" s="1357"/>
    </row>
    <row r="142" spans="1:23" s="1207" customFormat="1" ht="105" x14ac:dyDescent="0.2">
      <c r="A142" s="1355">
        <v>2022098</v>
      </c>
      <c r="B142" s="1172">
        <v>7655</v>
      </c>
      <c r="C142" s="1356" t="s">
        <v>670</v>
      </c>
      <c r="D142" s="1190" t="s">
        <v>691</v>
      </c>
      <c r="E142" s="1174" t="s">
        <v>782</v>
      </c>
      <c r="F142" s="1389" t="s">
        <v>832</v>
      </c>
      <c r="G142" s="1390">
        <v>44575</v>
      </c>
      <c r="H142" s="1390">
        <v>44575</v>
      </c>
      <c r="I142" s="1176">
        <v>11.5</v>
      </c>
      <c r="J142" s="1176" t="s">
        <v>675</v>
      </c>
      <c r="K142" s="1177" t="s">
        <v>676</v>
      </c>
      <c r="L142" s="1178" t="s">
        <v>677</v>
      </c>
      <c r="M142" s="1179">
        <v>28175000</v>
      </c>
      <c r="N142" s="1386" t="s">
        <v>785</v>
      </c>
      <c r="O142" s="1174" t="s">
        <v>780</v>
      </c>
      <c r="P142" s="1207" t="s">
        <v>680</v>
      </c>
      <c r="Q142" s="1163"/>
      <c r="R142" s="1269">
        <v>28175000</v>
      </c>
      <c r="S142" s="1357">
        <v>28175000</v>
      </c>
      <c r="T142" s="1357">
        <f>+Tabla16[[#This Row],[CDPS A 31 JULIO 2022]]-Tabla16[[#This Row],[CDP]]</f>
        <v>0</v>
      </c>
      <c r="U142" s="1357">
        <v>28175000</v>
      </c>
      <c r="V142" s="1357">
        <v>10780000</v>
      </c>
      <c r="W142" s="1357"/>
    </row>
    <row r="143" spans="1:23" s="1207" customFormat="1" ht="105" x14ac:dyDescent="0.2">
      <c r="A143" s="1355">
        <v>2022099</v>
      </c>
      <c r="B143" s="1172">
        <v>7655</v>
      </c>
      <c r="C143" s="1356" t="s">
        <v>670</v>
      </c>
      <c r="D143" s="1190" t="s">
        <v>691</v>
      </c>
      <c r="E143" s="1174" t="s">
        <v>782</v>
      </c>
      <c r="F143" s="1389" t="s">
        <v>832</v>
      </c>
      <c r="G143" s="1390">
        <v>44575</v>
      </c>
      <c r="H143" s="1390">
        <v>44575</v>
      </c>
      <c r="I143" s="1176">
        <v>11.5</v>
      </c>
      <c r="J143" s="1176" t="s">
        <v>675</v>
      </c>
      <c r="K143" s="1177" t="s">
        <v>676</v>
      </c>
      <c r="L143" s="1178" t="s">
        <v>677</v>
      </c>
      <c r="M143" s="1179">
        <v>28175000</v>
      </c>
      <c r="N143" s="1386" t="s">
        <v>785</v>
      </c>
      <c r="O143" s="1174" t="s">
        <v>780</v>
      </c>
      <c r="P143" s="1207" t="s">
        <v>680</v>
      </c>
      <c r="Q143" s="1163"/>
      <c r="R143" s="1269">
        <v>28175000</v>
      </c>
      <c r="S143" s="1357">
        <v>28175000</v>
      </c>
      <c r="T143" s="1357">
        <f>+Tabla16[[#This Row],[CDPS A 31 JULIO 2022]]-Tabla16[[#This Row],[CDP]]</f>
        <v>0</v>
      </c>
      <c r="U143" s="1357">
        <v>28175000</v>
      </c>
      <c r="V143" s="1357">
        <v>10943333</v>
      </c>
      <c r="W143" s="1357"/>
    </row>
    <row r="144" spans="1:23" s="1207" customFormat="1" ht="105" x14ac:dyDescent="0.2">
      <c r="A144" s="1355">
        <v>2022100</v>
      </c>
      <c r="B144" s="1172">
        <v>7655</v>
      </c>
      <c r="C144" s="1356" t="s">
        <v>670</v>
      </c>
      <c r="D144" s="1190" t="s">
        <v>691</v>
      </c>
      <c r="E144" s="1174" t="s">
        <v>782</v>
      </c>
      <c r="F144" s="1389" t="s">
        <v>836</v>
      </c>
      <c r="G144" s="1390">
        <v>44575</v>
      </c>
      <c r="H144" s="1390">
        <v>44575</v>
      </c>
      <c r="I144" s="1176">
        <v>11.5</v>
      </c>
      <c r="J144" s="1176" t="s">
        <v>675</v>
      </c>
      <c r="K144" s="1177" t="s">
        <v>676</v>
      </c>
      <c r="L144" s="1178" t="s">
        <v>784</v>
      </c>
      <c r="M144" s="1179">
        <v>63250000</v>
      </c>
      <c r="N144" s="1386" t="s">
        <v>785</v>
      </c>
      <c r="O144" s="1174" t="s">
        <v>780</v>
      </c>
      <c r="P144" s="1207" t="s">
        <v>680</v>
      </c>
      <c r="Q144" s="1163"/>
      <c r="R144" s="1269">
        <v>63250000</v>
      </c>
      <c r="S144" s="1357">
        <v>63250000</v>
      </c>
      <c r="T144" s="1357">
        <f>+Tabla16[[#This Row],[CDPS A 31 JULIO 2022]]-Tabla16[[#This Row],[CDP]]</f>
        <v>0</v>
      </c>
      <c r="U144" s="1357">
        <v>63250000</v>
      </c>
      <c r="V144" s="1357">
        <v>23833333</v>
      </c>
      <c r="W144" s="1357"/>
    </row>
    <row r="145" spans="1:23" s="1207" customFormat="1" ht="105" x14ac:dyDescent="0.2">
      <c r="A145" s="1355">
        <v>2022101</v>
      </c>
      <c r="B145" s="1172">
        <v>7655</v>
      </c>
      <c r="C145" s="1356" t="s">
        <v>670</v>
      </c>
      <c r="D145" s="1190" t="s">
        <v>691</v>
      </c>
      <c r="E145" s="1174" t="s">
        <v>782</v>
      </c>
      <c r="F145" s="1389" t="s">
        <v>837</v>
      </c>
      <c r="G145" s="1390">
        <v>44575</v>
      </c>
      <c r="H145" s="1390">
        <v>44575</v>
      </c>
      <c r="I145" s="1176">
        <v>11.5</v>
      </c>
      <c r="J145" s="1176" t="s">
        <v>675</v>
      </c>
      <c r="K145" s="1177" t="s">
        <v>676</v>
      </c>
      <c r="L145" s="1178" t="s">
        <v>784</v>
      </c>
      <c r="M145" s="1179">
        <v>63250000</v>
      </c>
      <c r="N145" s="1386" t="s">
        <v>785</v>
      </c>
      <c r="O145" s="1174" t="s">
        <v>780</v>
      </c>
      <c r="P145" s="1207" t="s">
        <v>680</v>
      </c>
      <c r="Q145" s="1163"/>
      <c r="R145" s="1269">
        <v>63250000</v>
      </c>
      <c r="S145" s="1357">
        <v>63250000</v>
      </c>
      <c r="T145" s="1357">
        <f>+Tabla16[[#This Row],[CDPS A 31 JULIO 2022]]-Tabla16[[#This Row],[CDP]]</f>
        <v>0</v>
      </c>
      <c r="U145" s="1357">
        <v>63250000</v>
      </c>
      <c r="V145" s="1357">
        <v>22000000</v>
      </c>
      <c r="W145" s="1357"/>
    </row>
    <row r="146" spans="1:23" s="1207" customFormat="1" ht="105" x14ac:dyDescent="0.2">
      <c r="A146" s="1355">
        <v>2022102</v>
      </c>
      <c r="B146" s="1172">
        <v>7655</v>
      </c>
      <c r="C146" s="1356" t="s">
        <v>670</v>
      </c>
      <c r="D146" s="1190" t="s">
        <v>691</v>
      </c>
      <c r="E146" s="1174" t="s">
        <v>97</v>
      </c>
      <c r="F146" s="1389" t="s">
        <v>838</v>
      </c>
      <c r="G146" s="1390" t="s">
        <v>97</v>
      </c>
      <c r="H146" s="1390" t="s">
        <v>97</v>
      </c>
      <c r="I146" s="1176" t="s">
        <v>97</v>
      </c>
      <c r="J146" s="1176" t="s">
        <v>675</v>
      </c>
      <c r="K146" s="1177" t="s">
        <v>676</v>
      </c>
      <c r="L146" s="1178" t="s">
        <v>677</v>
      </c>
      <c r="M146" s="1179">
        <f>138627500-16250000-122377500</f>
        <v>0</v>
      </c>
      <c r="N146" s="1386" t="s">
        <v>785</v>
      </c>
      <c r="O146" s="1174" t="s">
        <v>780</v>
      </c>
      <c r="P146" s="1207" t="s">
        <v>750</v>
      </c>
      <c r="Q146" s="1163"/>
      <c r="R146" s="1269">
        <v>455800</v>
      </c>
      <c r="S146" s="1357">
        <v>455800</v>
      </c>
      <c r="T146" s="1357">
        <f>+Tabla16[[#This Row],[CDPS A 31 JULIO 2022]]-Tabla16[[#This Row],[CDP]]</f>
        <v>0</v>
      </c>
      <c r="U146" s="1357">
        <v>455800</v>
      </c>
      <c r="V146" s="1357">
        <v>455800</v>
      </c>
      <c r="W146" s="1357"/>
    </row>
    <row r="147" spans="1:23" s="1207" customFormat="1" ht="105" x14ac:dyDescent="0.2">
      <c r="A147" s="1355">
        <v>2022103</v>
      </c>
      <c r="B147" s="1172">
        <v>7655</v>
      </c>
      <c r="C147" s="1356" t="s">
        <v>670</v>
      </c>
      <c r="D147" s="1190" t="s">
        <v>691</v>
      </c>
      <c r="E147" s="1174" t="s">
        <v>782</v>
      </c>
      <c r="F147" s="1389" t="s">
        <v>839</v>
      </c>
      <c r="G147" s="1390">
        <v>44575</v>
      </c>
      <c r="H147" s="1390">
        <v>44575</v>
      </c>
      <c r="I147" s="1176">
        <v>7</v>
      </c>
      <c r="J147" s="1176" t="s">
        <v>675</v>
      </c>
      <c r="K147" s="1177" t="s">
        <v>676</v>
      </c>
      <c r="L147" s="1178" t="s">
        <v>677</v>
      </c>
      <c r="M147" s="1179">
        <v>31500000</v>
      </c>
      <c r="N147" s="1386" t="s">
        <v>785</v>
      </c>
      <c r="O147" s="1174" t="s">
        <v>780</v>
      </c>
      <c r="P147" s="1207" t="s">
        <v>680</v>
      </c>
      <c r="Q147" s="1163"/>
      <c r="R147" s="1269">
        <v>31500000</v>
      </c>
      <c r="S147" s="1357">
        <v>31500000</v>
      </c>
      <c r="T147" s="1357">
        <f>+Tabla16[[#This Row],[CDPS A 31 JULIO 2022]]-Tabla16[[#This Row],[CDP]]</f>
        <v>0</v>
      </c>
      <c r="U147" s="1357">
        <v>31500000</v>
      </c>
      <c r="V147" s="1357">
        <v>19050000</v>
      </c>
      <c r="W147" s="1357"/>
    </row>
    <row r="148" spans="1:23" s="1207" customFormat="1" ht="105" x14ac:dyDescent="0.2">
      <c r="A148" s="1355">
        <v>2022104</v>
      </c>
      <c r="B148" s="1172">
        <v>7655</v>
      </c>
      <c r="C148" s="1356" t="s">
        <v>670</v>
      </c>
      <c r="D148" s="1190" t="s">
        <v>691</v>
      </c>
      <c r="E148" s="1174" t="s">
        <v>782</v>
      </c>
      <c r="F148" s="1389" t="s">
        <v>840</v>
      </c>
      <c r="G148" s="1390">
        <v>44575</v>
      </c>
      <c r="H148" s="1390">
        <v>44575</v>
      </c>
      <c r="I148" s="1176">
        <v>11.5</v>
      </c>
      <c r="J148" s="1176" t="s">
        <v>675</v>
      </c>
      <c r="K148" s="1177" t="s">
        <v>676</v>
      </c>
      <c r="L148" s="1178" t="s">
        <v>677</v>
      </c>
      <c r="M148" s="1179">
        <v>38525000</v>
      </c>
      <c r="N148" s="1386" t="s">
        <v>785</v>
      </c>
      <c r="O148" s="1174" t="s">
        <v>780</v>
      </c>
      <c r="P148" s="1207" t="s">
        <v>680</v>
      </c>
      <c r="Q148" s="1163"/>
      <c r="R148" s="1269">
        <v>38525000</v>
      </c>
      <c r="S148" s="1357">
        <v>38525000</v>
      </c>
      <c r="T148" s="1357">
        <f>+Tabla16[[#This Row],[CDPS A 31 JULIO 2022]]-Tabla16[[#This Row],[CDP]]</f>
        <v>0</v>
      </c>
      <c r="U148" s="1357">
        <v>38525000</v>
      </c>
      <c r="V148" s="1357">
        <v>14740000</v>
      </c>
      <c r="W148" s="1357"/>
    </row>
    <row r="149" spans="1:23" s="1207" customFormat="1" ht="105" x14ac:dyDescent="0.2">
      <c r="A149" s="1355">
        <v>2022105</v>
      </c>
      <c r="B149" s="1172">
        <v>7655</v>
      </c>
      <c r="C149" s="1356" t="s">
        <v>670</v>
      </c>
      <c r="D149" s="1190" t="s">
        <v>691</v>
      </c>
      <c r="E149" s="1174" t="s">
        <v>782</v>
      </c>
      <c r="F149" s="1389" t="s">
        <v>840</v>
      </c>
      <c r="G149" s="1390">
        <v>44575</v>
      </c>
      <c r="H149" s="1390">
        <v>44575</v>
      </c>
      <c r="I149" s="1176">
        <v>11.5</v>
      </c>
      <c r="J149" s="1176" t="s">
        <v>675</v>
      </c>
      <c r="K149" s="1177" t="s">
        <v>676</v>
      </c>
      <c r="L149" s="1178" t="s">
        <v>677</v>
      </c>
      <c r="M149" s="1179">
        <v>28175000</v>
      </c>
      <c r="N149" s="1386" t="s">
        <v>785</v>
      </c>
      <c r="O149" s="1174" t="s">
        <v>780</v>
      </c>
      <c r="P149" s="1207" t="s">
        <v>680</v>
      </c>
      <c r="Q149" s="1163"/>
      <c r="R149" s="1269">
        <v>28175000</v>
      </c>
      <c r="S149" s="1357">
        <v>28175000</v>
      </c>
      <c r="T149" s="1357">
        <f>+Tabla16[[#This Row],[CDPS A 31 JULIO 2022]]-Tabla16[[#This Row],[CDP]]</f>
        <v>0</v>
      </c>
      <c r="U149" s="1357">
        <v>28175000</v>
      </c>
      <c r="V149" s="1357">
        <v>10616667</v>
      </c>
      <c r="W149" s="1357"/>
    </row>
    <row r="150" spans="1:23" s="1207" customFormat="1" ht="105" x14ac:dyDescent="0.2">
      <c r="A150" s="1355">
        <v>2022106</v>
      </c>
      <c r="B150" s="1172">
        <v>7655</v>
      </c>
      <c r="C150" s="1356" t="s">
        <v>670</v>
      </c>
      <c r="D150" s="1190" t="s">
        <v>691</v>
      </c>
      <c r="E150" s="1174" t="s">
        <v>782</v>
      </c>
      <c r="F150" s="1389" t="s">
        <v>841</v>
      </c>
      <c r="G150" s="1390">
        <v>44575</v>
      </c>
      <c r="H150" s="1390">
        <v>44575</v>
      </c>
      <c r="I150" s="1176">
        <v>11.5</v>
      </c>
      <c r="J150" s="1176" t="s">
        <v>675</v>
      </c>
      <c r="K150" s="1177" t="s">
        <v>676</v>
      </c>
      <c r="L150" s="1178" t="s">
        <v>677</v>
      </c>
      <c r="M150" s="1179">
        <v>44275000</v>
      </c>
      <c r="N150" s="1386" t="s">
        <v>785</v>
      </c>
      <c r="O150" s="1174" t="s">
        <v>780</v>
      </c>
      <c r="P150" s="1207" t="s">
        <v>680</v>
      </c>
      <c r="Q150" s="1163"/>
      <c r="R150" s="1269">
        <v>44275000</v>
      </c>
      <c r="S150" s="1357">
        <v>44275000</v>
      </c>
      <c r="T150" s="1357">
        <f>+Tabla16[[#This Row],[CDPS A 31 JULIO 2022]]-Tabla16[[#This Row],[CDP]]</f>
        <v>0</v>
      </c>
      <c r="U150" s="1357">
        <v>44275000</v>
      </c>
      <c r="V150" s="1357">
        <v>15528333</v>
      </c>
      <c r="W150" s="1357"/>
    </row>
    <row r="151" spans="1:23" s="1207" customFormat="1" ht="105" x14ac:dyDescent="0.2">
      <c r="A151" s="1355">
        <v>2022107</v>
      </c>
      <c r="B151" s="1172">
        <v>7655</v>
      </c>
      <c r="C151" s="1356" t="s">
        <v>670</v>
      </c>
      <c r="D151" s="1190" t="s">
        <v>691</v>
      </c>
      <c r="E151" s="1174" t="s">
        <v>782</v>
      </c>
      <c r="F151" s="1389" t="s">
        <v>842</v>
      </c>
      <c r="G151" s="1390">
        <v>44575</v>
      </c>
      <c r="H151" s="1390">
        <v>44575</v>
      </c>
      <c r="I151" s="1176">
        <v>7</v>
      </c>
      <c r="J151" s="1176" t="s">
        <v>675</v>
      </c>
      <c r="K151" s="1177" t="s">
        <v>676</v>
      </c>
      <c r="L151" s="1178" t="s">
        <v>677</v>
      </c>
      <c r="M151" s="1179">
        <v>31500000</v>
      </c>
      <c r="N151" s="1386" t="s">
        <v>785</v>
      </c>
      <c r="O151" s="1174" t="s">
        <v>780</v>
      </c>
      <c r="P151" s="1207" t="s">
        <v>680</v>
      </c>
      <c r="Q151" s="1163"/>
      <c r="R151" s="1269">
        <v>31500000</v>
      </c>
      <c r="S151" s="1357">
        <v>31500000</v>
      </c>
      <c r="T151" s="1357">
        <f>+Tabla16[[#This Row],[CDPS A 31 JULIO 2022]]-Tabla16[[#This Row],[CDP]]</f>
        <v>0</v>
      </c>
      <c r="U151" s="1357">
        <v>31500000</v>
      </c>
      <c r="V151" s="1357">
        <v>3450000</v>
      </c>
      <c r="W151" s="1357"/>
    </row>
    <row r="152" spans="1:23" s="1207" customFormat="1" ht="105" x14ac:dyDescent="0.2">
      <c r="A152" s="1355">
        <v>2022108</v>
      </c>
      <c r="B152" s="1172">
        <v>7655</v>
      </c>
      <c r="C152" s="1356" t="s">
        <v>670</v>
      </c>
      <c r="D152" s="1190" t="s">
        <v>691</v>
      </c>
      <c r="E152" s="1174" t="s">
        <v>782</v>
      </c>
      <c r="F152" s="1389" t="s">
        <v>843</v>
      </c>
      <c r="G152" s="1390">
        <v>44575</v>
      </c>
      <c r="H152" s="1390">
        <v>44575</v>
      </c>
      <c r="I152" s="1176">
        <v>12</v>
      </c>
      <c r="J152" s="1176" t="s">
        <v>675</v>
      </c>
      <c r="K152" s="1177" t="s">
        <v>676</v>
      </c>
      <c r="L152" s="1178" t="s">
        <v>677</v>
      </c>
      <c r="M152" s="1179">
        <v>29400000</v>
      </c>
      <c r="N152" s="1386" t="s">
        <v>785</v>
      </c>
      <c r="O152" s="1174" t="s">
        <v>780</v>
      </c>
      <c r="P152" s="1207" t="s">
        <v>680</v>
      </c>
      <c r="Q152" s="1163"/>
      <c r="R152" s="1269">
        <v>29400000</v>
      </c>
      <c r="S152" s="1357">
        <v>29400000</v>
      </c>
      <c r="T152" s="1357">
        <f>+Tabla16[[#This Row],[CDPS A 31 JULIO 2022]]-Tabla16[[#This Row],[CDP]]</f>
        <v>0</v>
      </c>
      <c r="U152" s="1357">
        <v>29400000</v>
      </c>
      <c r="V152" s="1357">
        <v>10371667</v>
      </c>
      <c r="W152" s="1357"/>
    </row>
    <row r="153" spans="1:23" s="1207" customFormat="1" ht="105" x14ac:dyDescent="0.2">
      <c r="A153" s="1355">
        <v>2022109</v>
      </c>
      <c r="B153" s="1172">
        <v>7655</v>
      </c>
      <c r="C153" s="1356" t="s">
        <v>670</v>
      </c>
      <c r="D153" s="1190" t="s">
        <v>691</v>
      </c>
      <c r="E153" s="1174" t="s">
        <v>782</v>
      </c>
      <c r="F153" s="1389" t="s">
        <v>844</v>
      </c>
      <c r="G153" s="1390">
        <v>44575</v>
      </c>
      <c r="H153" s="1390">
        <v>44575</v>
      </c>
      <c r="I153" s="1176">
        <v>12</v>
      </c>
      <c r="J153" s="1176" t="s">
        <v>675</v>
      </c>
      <c r="K153" s="1177" t="s">
        <v>676</v>
      </c>
      <c r="L153" s="1178" t="s">
        <v>677</v>
      </c>
      <c r="M153" s="1179">
        <v>84000000</v>
      </c>
      <c r="N153" s="1386" t="s">
        <v>785</v>
      </c>
      <c r="O153" s="1174" t="s">
        <v>780</v>
      </c>
      <c r="P153" s="1207" t="s">
        <v>680</v>
      </c>
      <c r="Q153" s="1163"/>
      <c r="R153" s="1269">
        <v>84000000</v>
      </c>
      <c r="S153" s="1357">
        <v>84000000</v>
      </c>
      <c r="T153" s="1357">
        <f>+Tabla16[[#This Row],[CDPS A 31 JULIO 2022]]-Tabla16[[#This Row],[CDP]]</f>
        <v>0</v>
      </c>
      <c r="U153" s="1357">
        <v>84000000</v>
      </c>
      <c r="V153" s="1357">
        <v>30566667</v>
      </c>
      <c r="W153" s="1357"/>
    </row>
    <row r="154" spans="1:23" s="1207" customFormat="1" ht="105" x14ac:dyDescent="0.2">
      <c r="A154" s="1355">
        <v>2022110</v>
      </c>
      <c r="B154" s="1172">
        <v>7655</v>
      </c>
      <c r="C154" s="1356" t="s">
        <v>670</v>
      </c>
      <c r="D154" s="1190" t="s">
        <v>691</v>
      </c>
      <c r="E154" s="1174" t="s">
        <v>782</v>
      </c>
      <c r="F154" s="1389" t="s">
        <v>845</v>
      </c>
      <c r="G154" s="1390">
        <v>44575</v>
      </c>
      <c r="H154" s="1390">
        <v>44575</v>
      </c>
      <c r="I154" s="1176">
        <v>12</v>
      </c>
      <c r="J154" s="1176" t="s">
        <v>675</v>
      </c>
      <c r="K154" s="1177" t="s">
        <v>676</v>
      </c>
      <c r="L154" s="1178" t="s">
        <v>677</v>
      </c>
      <c r="M154" s="1179">
        <v>40200000</v>
      </c>
      <c r="N154" s="1386" t="s">
        <v>785</v>
      </c>
      <c r="O154" s="1174" t="s">
        <v>780</v>
      </c>
      <c r="P154" s="1207" t="s">
        <v>680</v>
      </c>
      <c r="Q154" s="1163"/>
      <c r="R154" s="1269">
        <v>29400000</v>
      </c>
      <c r="S154" s="1357">
        <v>29400000</v>
      </c>
      <c r="T154" s="1357">
        <f>+Tabla16[[#This Row],[CDPS A 31 JULIO 2022]]-Tabla16[[#This Row],[CDP]]</f>
        <v>0</v>
      </c>
      <c r="U154" s="1357">
        <v>29400000</v>
      </c>
      <c r="V154" s="1357">
        <v>9800000</v>
      </c>
      <c r="W154" s="1357"/>
    </row>
    <row r="155" spans="1:23" s="1207" customFormat="1" ht="105" x14ac:dyDescent="0.2">
      <c r="A155" s="1355">
        <v>2022111</v>
      </c>
      <c r="B155" s="1172">
        <v>7655</v>
      </c>
      <c r="C155" s="1356" t="s">
        <v>670</v>
      </c>
      <c r="D155" s="1190" t="s">
        <v>691</v>
      </c>
      <c r="E155" s="1174" t="s">
        <v>782</v>
      </c>
      <c r="F155" s="1389" t="s">
        <v>843</v>
      </c>
      <c r="G155" s="1390">
        <v>44575</v>
      </c>
      <c r="H155" s="1390">
        <v>44575</v>
      </c>
      <c r="I155" s="1176">
        <v>12</v>
      </c>
      <c r="J155" s="1176" t="s">
        <v>675</v>
      </c>
      <c r="K155" s="1177" t="s">
        <v>676</v>
      </c>
      <c r="L155" s="1178" t="s">
        <v>677</v>
      </c>
      <c r="M155" s="1179">
        <v>29400000</v>
      </c>
      <c r="N155" s="1386" t="s">
        <v>785</v>
      </c>
      <c r="O155" s="1174" t="s">
        <v>780</v>
      </c>
      <c r="P155" s="1207" t="s">
        <v>680</v>
      </c>
      <c r="Q155" s="1163"/>
      <c r="R155" s="1269">
        <v>29400000</v>
      </c>
      <c r="S155" s="1357">
        <v>29400000</v>
      </c>
      <c r="T155" s="1357">
        <f>+Tabla16[[#This Row],[CDPS A 31 JULIO 2022]]-Tabla16[[#This Row],[CDP]]</f>
        <v>0</v>
      </c>
      <c r="U155" s="1357">
        <v>29400000</v>
      </c>
      <c r="V155" s="1357">
        <v>10371667</v>
      </c>
      <c r="W155" s="1357"/>
    </row>
    <row r="156" spans="1:23" s="1207" customFormat="1" ht="105" x14ac:dyDescent="0.2">
      <c r="A156" s="1355">
        <v>2022112</v>
      </c>
      <c r="B156" s="1172">
        <v>7655</v>
      </c>
      <c r="C156" s="1356" t="s">
        <v>670</v>
      </c>
      <c r="D156" s="1190" t="s">
        <v>691</v>
      </c>
      <c r="E156" s="1174" t="s">
        <v>782</v>
      </c>
      <c r="F156" s="1389" t="s">
        <v>846</v>
      </c>
      <c r="G156" s="1390">
        <v>44575</v>
      </c>
      <c r="H156" s="1390">
        <v>44575</v>
      </c>
      <c r="I156" s="1176">
        <v>12</v>
      </c>
      <c r="J156" s="1176" t="s">
        <v>675</v>
      </c>
      <c r="K156" s="1177" t="s">
        <v>676</v>
      </c>
      <c r="L156" s="1178" t="s">
        <v>677</v>
      </c>
      <c r="M156" s="1179">
        <v>29400000</v>
      </c>
      <c r="N156" s="1386" t="s">
        <v>785</v>
      </c>
      <c r="O156" s="1174" t="s">
        <v>780</v>
      </c>
      <c r="P156" s="1207" t="s">
        <v>680</v>
      </c>
      <c r="Q156" s="1163"/>
      <c r="R156" s="1269">
        <v>29400000</v>
      </c>
      <c r="S156" s="1357">
        <v>29400000</v>
      </c>
      <c r="T156" s="1357">
        <f>+Tabla16[[#This Row],[CDPS A 31 JULIO 2022]]-Tabla16[[#This Row],[CDP]]</f>
        <v>0</v>
      </c>
      <c r="U156" s="1357">
        <v>29400000</v>
      </c>
      <c r="V156" s="1357">
        <v>10698333</v>
      </c>
      <c r="W156" s="1357"/>
    </row>
    <row r="157" spans="1:23" s="1207" customFormat="1" ht="105" x14ac:dyDescent="0.2">
      <c r="A157" s="1355">
        <v>2022113</v>
      </c>
      <c r="B157" s="1172">
        <v>7655</v>
      </c>
      <c r="C157" s="1356" t="s">
        <v>670</v>
      </c>
      <c r="D157" s="1190" t="s">
        <v>691</v>
      </c>
      <c r="E157" s="1174" t="s">
        <v>782</v>
      </c>
      <c r="F157" s="1389" t="s">
        <v>846</v>
      </c>
      <c r="G157" s="1390">
        <v>44575</v>
      </c>
      <c r="H157" s="1390">
        <v>44575</v>
      </c>
      <c r="I157" s="1176">
        <v>12</v>
      </c>
      <c r="J157" s="1176" t="s">
        <v>675</v>
      </c>
      <c r="K157" s="1177" t="s">
        <v>676</v>
      </c>
      <c r="L157" s="1178" t="s">
        <v>677</v>
      </c>
      <c r="M157" s="1179">
        <v>29400000</v>
      </c>
      <c r="N157" s="1386" t="s">
        <v>785</v>
      </c>
      <c r="O157" s="1174" t="s">
        <v>780</v>
      </c>
      <c r="P157" s="1207" t="s">
        <v>680</v>
      </c>
      <c r="Q157" s="1163"/>
      <c r="R157" s="1269">
        <v>29400000</v>
      </c>
      <c r="S157" s="1357">
        <v>29400000</v>
      </c>
      <c r="T157" s="1357">
        <f>+Tabla16[[#This Row],[CDPS A 31 JULIO 2022]]-Tabla16[[#This Row],[CDP]]</f>
        <v>0</v>
      </c>
      <c r="U157" s="1357">
        <v>29400000</v>
      </c>
      <c r="V157" s="1357">
        <v>8738333</v>
      </c>
      <c r="W157" s="1357"/>
    </row>
    <row r="158" spans="1:23" s="1207" customFormat="1" ht="105" x14ac:dyDescent="0.2">
      <c r="A158" s="1355">
        <v>2022114</v>
      </c>
      <c r="B158" s="1172">
        <v>7655</v>
      </c>
      <c r="C158" s="1356" t="s">
        <v>670</v>
      </c>
      <c r="D158" s="1190" t="s">
        <v>691</v>
      </c>
      <c r="E158" s="1174" t="s">
        <v>782</v>
      </c>
      <c r="F158" s="1389" t="s">
        <v>847</v>
      </c>
      <c r="G158" s="1390">
        <v>44575</v>
      </c>
      <c r="H158" s="1390">
        <v>44575</v>
      </c>
      <c r="I158" s="1176">
        <v>12</v>
      </c>
      <c r="J158" s="1176" t="s">
        <v>675</v>
      </c>
      <c r="K158" s="1177" t="s">
        <v>676</v>
      </c>
      <c r="L158" s="1178" t="s">
        <v>677</v>
      </c>
      <c r="M158" s="1179">
        <v>29400000</v>
      </c>
      <c r="N158" s="1386" t="s">
        <v>785</v>
      </c>
      <c r="O158" s="1174" t="s">
        <v>780</v>
      </c>
      <c r="P158" s="1207" t="s">
        <v>680</v>
      </c>
      <c r="Q158" s="1163"/>
      <c r="R158" s="1269">
        <v>29400000</v>
      </c>
      <c r="S158" s="1357">
        <v>29400000</v>
      </c>
      <c r="T158" s="1357">
        <f>+Tabla16[[#This Row],[CDPS A 31 JULIO 2022]]-Tabla16[[#This Row],[CDP]]</f>
        <v>0</v>
      </c>
      <c r="U158" s="1357">
        <v>29400000</v>
      </c>
      <c r="V158" s="1357">
        <v>10371667</v>
      </c>
      <c r="W158" s="1357"/>
    </row>
    <row r="159" spans="1:23" s="1207" customFormat="1" ht="105" x14ac:dyDescent="0.2">
      <c r="A159" s="1355">
        <v>2022115</v>
      </c>
      <c r="B159" s="1172">
        <v>7655</v>
      </c>
      <c r="C159" s="1356" t="s">
        <v>670</v>
      </c>
      <c r="D159" s="1190" t="s">
        <v>691</v>
      </c>
      <c r="E159" s="1174" t="s">
        <v>782</v>
      </c>
      <c r="F159" s="1389" t="s">
        <v>846</v>
      </c>
      <c r="G159" s="1390">
        <v>44575</v>
      </c>
      <c r="H159" s="1390">
        <v>44575</v>
      </c>
      <c r="I159" s="1176">
        <v>12</v>
      </c>
      <c r="J159" s="1176" t="s">
        <v>675</v>
      </c>
      <c r="K159" s="1177" t="s">
        <v>676</v>
      </c>
      <c r="L159" s="1178" t="s">
        <v>677</v>
      </c>
      <c r="M159" s="1179">
        <v>29400000</v>
      </c>
      <c r="N159" s="1386" t="s">
        <v>785</v>
      </c>
      <c r="O159" s="1174" t="s">
        <v>780</v>
      </c>
      <c r="P159" s="1207" t="s">
        <v>680</v>
      </c>
      <c r="Q159" s="1163"/>
      <c r="R159" s="1269">
        <v>29400000</v>
      </c>
      <c r="S159" s="1357">
        <v>29400000</v>
      </c>
      <c r="T159" s="1357">
        <f>+Tabla16[[#This Row],[CDPS A 31 JULIO 2022]]-Tabla16[[#This Row],[CDP]]</f>
        <v>0</v>
      </c>
      <c r="U159" s="1357">
        <v>29400000</v>
      </c>
      <c r="V159" s="1357">
        <v>9636667</v>
      </c>
      <c r="W159" s="1357"/>
    </row>
    <row r="160" spans="1:23" s="1207" customFormat="1" ht="105" x14ac:dyDescent="0.2">
      <c r="A160" s="1355">
        <v>2022116</v>
      </c>
      <c r="B160" s="1172">
        <v>7655</v>
      </c>
      <c r="C160" s="1356" t="s">
        <v>670</v>
      </c>
      <c r="D160" s="1190" t="s">
        <v>691</v>
      </c>
      <c r="E160" s="1174" t="s">
        <v>782</v>
      </c>
      <c r="F160" s="1389" t="s">
        <v>846</v>
      </c>
      <c r="G160" s="1390">
        <v>44575</v>
      </c>
      <c r="H160" s="1390">
        <v>44575</v>
      </c>
      <c r="I160" s="1176">
        <v>12</v>
      </c>
      <c r="J160" s="1176" t="s">
        <v>675</v>
      </c>
      <c r="K160" s="1177" t="s">
        <v>676</v>
      </c>
      <c r="L160" s="1178" t="s">
        <v>677</v>
      </c>
      <c r="M160" s="1179">
        <v>29400000</v>
      </c>
      <c r="N160" s="1386" t="s">
        <v>785</v>
      </c>
      <c r="O160" s="1174" t="s">
        <v>780</v>
      </c>
      <c r="P160" s="1207" t="s">
        <v>680</v>
      </c>
      <c r="Q160" s="1163"/>
      <c r="R160" s="1269">
        <v>29400000</v>
      </c>
      <c r="S160" s="1357">
        <v>29400000</v>
      </c>
      <c r="T160" s="1357">
        <f>+Tabla16[[#This Row],[CDPS A 31 JULIO 2022]]-Tabla16[[#This Row],[CDP]]</f>
        <v>0</v>
      </c>
      <c r="U160" s="1357">
        <v>29400000</v>
      </c>
      <c r="V160" s="1357">
        <v>10780000</v>
      </c>
      <c r="W160" s="1357"/>
    </row>
    <row r="161" spans="1:23" s="1207" customFormat="1" ht="105" x14ac:dyDescent="0.2">
      <c r="A161" s="1355">
        <v>2022117</v>
      </c>
      <c r="B161" s="1172">
        <v>7655</v>
      </c>
      <c r="C161" s="1356" t="s">
        <v>670</v>
      </c>
      <c r="D161" s="1190" t="s">
        <v>691</v>
      </c>
      <c r="E161" s="1174" t="s">
        <v>782</v>
      </c>
      <c r="F161" s="1389" t="s">
        <v>846</v>
      </c>
      <c r="G161" s="1390">
        <v>44575</v>
      </c>
      <c r="H161" s="1390">
        <v>44575</v>
      </c>
      <c r="I161" s="1176">
        <v>12</v>
      </c>
      <c r="J161" s="1176" t="s">
        <v>675</v>
      </c>
      <c r="K161" s="1177" t="s">
        <v>676</v>
      </c>
      <c r="L161" s="1178" t="s">
        <v>677</v>
      </c>
      <c r="M161" s="1179">
        <v>29400000</v>
      </c>
      <c r="N161" s="1386" t="s">
        <v>785</v>
      </c>
      <c r="O161" s="1174" t="s">
        <v>780</v>
      </c>
      <c r="P161" s="1207" t="s">
        <v>680</v>
      </c>
      <c r="Q161" s="1163"/>
      <c r="R161" s="1269">
        <v>29400000</v>
      </c>
      <c r="S161" s="1357">
        <v>29400000</v>
      </c>
      <c r="T161" s="1357">
        <f>+Tabla16[[#This Row],[CDPS A 31 JULIO 2022]]-Tabla16[[#This Row],[CDP]]</f>
        <v>0</v>
      </c>
      <c r="U161" s="1357">
        <v>29400000</v>
      </c>
      <c r="V161" s="1357">
        <v>10371667</v>
      </c>
      <c r="W161" s="1357"/>
    </row>
    <row r="162" spans="1:23" s="1207" customFormat="1" ht="105" x14ac:dyDescent="0.2">
      <c r="A162" s="1355">
        <v>2022118</v>
      </c>
      <c r="B162" s="1172">
        <v>7655</v>
      </c>
      <c r="C162" s="1356" t="s">
        <v>670</v>
      </c>
      <c r="D162" s="1190" t="s">
        <v>691</v>
      </c>
      <c r="E162" s="1174" t="s">
        <v>782</v>
      </c>
      <c r="F162" s="1389" t="s">
        <v>846</v>
      </c>
      <c r="G162" s="1390">
        <v>44575</v>
      </c>
      <c r="H162" s="1390">
        <v>44575</v>
      </c>
      <c r="I162" s="1176">
        <v>12</v>
      </c>
      <c r="J162" s="1176" t="s">
        <v>675</v>
      </c>
      <c r="K162" s="1177" t="s">
        <v>676</v>
      </c>
      <c r="L162" s="1178" t="s">
        <v>677</v>
      </c>
      <c r="M162" s="1179">
        <v>29400000</v>
      </c>
      <c r="N162" s="1386" t="s">
        <v>785</v>
      </c>
      <c r="O162" s="1174" t="s">
        <v>780</v>
      </c>
      <c r="P162" s="1207" t="s">
        <v>680</v>
      </c>
      <c r="Q162" s="1163"/>
      <c r="R162" s="1269">
        <v>29400000</v>
      </c>
      <c r="S162" s="1357">
        <v>29400000</v>
      </c>
      <c r="T162" s="1357">
        <f>+Tabla16[[#This Row],[CDPS A 31 JULIO 2022]]-Tabla16[[#This Row],[CDP]]</f>
        <v>0</v>
      </c>
      <c r="U162" s="1357">
        <v>29400000</v>
      </c>
      <c r="V162" s="1357">
        <v>10208333</v>
      </c>
      <c r="W162" s="1357"/>
    </row>
    <row r="163" spans="1:23" s="1207" customFormat="1" ht="105" x14ac:dyDescent="0.2">
      <c r="A163" s="1355">
        <v>2022119</v>
      </c>
      <c r="B163" s="1172">
        <v>7655</v>
      </c>
      <c r="C163" s="1356" t="s">
        <v>670</v>
      </c>
      <c r="D163" s="1190" t="s">
        <v>691</v>
      </c>
      <c r="E163" s="1174" t="s">
        <v>782</v>
      </c>
      <c r="F163" s="1389" t="s">
        <v>846</v>
      </c>
      <c r="G163" s="1390">
        <v>44575</v>
      </c>
      <c r="H163" s="1390">
        <v>44575</v>
      </c>
      <c r="I163" s="1176">
        <v>12</v>
      </c>
      <c r="J163" s="1176" t="s">
        <v>675</v>
      </c>
      <c r="K163" s="1177" t="s">
        <v>676</v>
      </c>
      <c r="L163" s="1178" t="s">
        <v>677</v>
      </c>
      <c r="M163" s="1179">
        <v>29400000</v>
      </c>
      <c r="N163" s="1386" t="s">
        <v>785</v>
      </c>
      <c r="O163" s="1174" t="s">
        <v>780</v>
      </c>
      <c r="P163" s="1207" t="s">
        <v>680</v>
      </c>
      <c r="Q163" s="1163"/>
      <c r="R163" s="1269">
        <v>29400000</v>
      </c>
      <c r="S163" s="1357">
        <v>29400000</v>
      </c>
      <c r="T163" s="1357">
        <f>+Tabla16[[#This Row],[CDPS A 31 JULIO 2022]]-Tabla16[[#This Row],[CDP]]</f>
        <v>0</v>
      </c>
      <c r="U163" s="1357">
        <v>29400000</v>
      </c>
      <c r="V163" s="1357">
        <v>10371667</v>
      </c>
      <c r="W163" s="1357"/>
    </row>
    <row r="164" spans="1:23" s="1207" customFormat="1" ht="105" x14ac:dyDescent="0.2">
      <c r="A164" s="1355">
        <v>2022120</v>
      </c>
      <c r="B164" s="1172">
        <v>7655</v>
      </c>
      <c r="C164" s="1356" t="s">
        <v>670</v>
      </c>
      <c r="D164" s="1190" t="s">
        <v>691</v>
      </c>
      <c r="E164" s="1174" t="s">
        <v>782</v>
      </c>
      <c r="F164" s="1389" t="s">
        <v>843</v>
      </c>
      <c r="G164" s="1390">
        <v>44575</v>
      </c>
      <c r="H164" s="1390">
        <v>44575</v>
      </c>
      <c r="I164" s="1176">
        <v>12</v>
      </c>
      <c r="J164" s="1176" t="s">
        <v>675</v>
      </c>
      <c r="K164" s="1177" t="s">
        <v>676</v>
      </c>
      <c r="L164" s="1178" t="s">
        <v>677</v>
      </c>
      <c r="M164" s="1179">
        <v>29400000</v>
      </c>
      <c r="N164" s="1386" t="s">
        <v>785</v>
      </c>
      <c r="O164" s="1174" t="s">
        <v>780</v>
      </c>
      <c r="P164" s="1207" t="s">
        <v>680</v>
      </c>
      <c r="Q164" s="1163"/>
      <c r="R164" s="1269">
        <v>29400000</v>
      </c>
      <c r="S164" s="1357">
        <v>29400000</v>
      </c>
      <c r="T164" s="1357">
        <f>+Tabla16[[#This Row],[CDPS A 31 JULIO 2022]]-Tabla16[[#This Row],[CDP]]</f>
        <v>0</v>
      </c>
      <c r="U164" s="1357">
        <v>29400000</v>
      </c>
      <c r="V164" s="1357">
        <v>10371667</v>
      </c>
      <c r="W164" s="1357"/>
    </row>
    <row r="165" spans="1:23" s="1207" customFormat="1" ht="105" x14ac:dyDescent="0.2">
      <c r="A165" s="1355">
        <v>2022121</v>
      </c>
      <c r="B165" s="1172">
        <v>7655</v>
      </c>
      <c r="C165" s="1356" t="s">
        <v>670</v>
      </c>
      <c r="D165" s="1190" t="s">
        <v>691</v>
      </c>
      <c r="E165" s="1174" t="s">
        <v>782</v>
      </c>
      <c r="F165" s="1389" t="s">
        <v>843</v>
      </c>
      <c r="G165" s="1390">
        <v>44575</v>
      </c>
      <c r="H165" s="1390">
        <v>44575</v>
      </c>
      <c r="I165" s="1176">
        <v>12</v>
      </c>
      <c r="J165" s="1176" t="s">
        <v>675</v>
      </c>
      <c r="K165" s="1177" t="s">
        <v>676</v>
      </c>
      <c r="L165" s="1178" t="s">
        <v>677</v>
      </c>
      <c r="M165" s="1179">
        <v>29400000</v>
      </c>
      <c r="N165" s="1386" t="s">
        <v>785</v>
      </c>
      <c r="O165" s="1174" t="s">
        <v>780</v>
      </c>
      <c r="P165" s="1207" t="s">
        <v>680</v>
      </c>
      <c r="Q165" s="1163"/>
      <c r="R165" s="1269">
        <v>29400000</v>
      </c>
      <c r="S165" s="1357">
        <v>29400000</v>
      </c>
      <c r="T165" s="1357">
        <f>+Tabla16[[#This Row],[CDPS A 31 JULIO 2022]]-Tabla16[[#This Row],[CDP]]</f>
        <v>0</v>
      </c>
      <c r="U165" s="1357">
        <v>29400000</v>
      </c>
      <c r="V165" s="1357">
        <v>10780000</v>
      </c>
      <c r="W165" s="1357"/>
    </row>
    <row r="166" spans="1:23" s="1207" customFormat="1" ht="105" x14ac:dyDescent="0.2">
      <c r="A166" s="1355">
        <v>2022122</v>
      </c>
      <c r="B166" s="1172">
        <v>7655</v>
      </c>
      <c r="C166" s="1356" t="s">
        <v>670</v>
      </c>
      <c r="D166" s="1190" t="s">
        <v>691</v>
      </c>
      <c r="E166" s="1174" t="s">
        <v>782</v>
      </c>
      <c r="F166" s="1389" t="s">
        <v>843</v>
      </c>
      <c r="G166" s="1390">
        <v>44575</v>
      </c>
      <c r="H166" s="1390">
        <v>44575</v>
      </c>
      <c r="I166" s="1176">
        <v>12</v>
      </c>
      <c r="J166" s="1176" t="s">
        <v>675</v>
      </c>
      <c r="K166" s="1177" t="s">
        <v>676</v>
      </c>
      <c r="L166" s="1178" t="s">
        <v>677</v>
      </c>
      <c r="M166" s="1179">
        <v>29400000</v>
      </c>
      <c r="N166" s="1386" t="s">
        <v>785</v>
      </c>
      <c r="O166" s="1174" t="s">
        <v>780</v>
      </c>
      <c r="P166" s="1207" t="s">
        <v>680</v>
      </c>
      <c r="Q166" s="1163"/>
      <c r="R166" s="1269">
        <v>29400000</v>
      </c>
      <c r="S166" s="1357">
        <v>29400000</v>
      </c>
      <c r="T166" s="1357">
        <f>+Tabla16[[#This Row],[CDPS A 31 JULIO 2022]]-Tabla16[[#This Row],[CDP]]</f>
        <v>0</v>
      </c>
      <c r="U166" s="1357">
        <v>29400000</v>
      </c>
      <c r="V166" s="1357">
        <v>10780000</v>
      </c>
      <c r="W166" s="1357"/>
    </row>
    <row r="167" spans="1:23" s="1207" customFormat="1" ht="105" x14ac:dyDescent="0.2">
      <c r="A167" s="1355">
        <v>2022123</v>
      </c>
      <c r="B167" s="1172">
        <v>7655</v>
      </c>
      <c r="C167" s="1356" t="s">
        <v>670</v>
      </c>
      <c r="D167" s="1190" t="s">
        <v>691</v>
      </c>
      <c r="E167" s="1174" t="s">
        <v>782</v>
      </c>
      <c r="F167" s="1389" t="s">
        <v>843</v>
      </c>
      <c r="G167" s="1390">
        <v>44575</v>
      </c>
      <c r="H167" s="1390">
        <v>44575</v>
      </c>
      <c r="I167" s="1176">
        <v>12</v>
      </c>
      <c r="J167" s="1176" t="s">
        <v>675</v>
      </c>
      <c r="K167" s="1177" t="s">
        <v>676</v>
      </c>
      <c r="L167" s="1178" t="s">
        <v>677</v>
      </c>
      <c r="M167" s="1179">
        <v>29400000</v>
      </c>
      <c r="N167" s="1386" t="s">
        <v>785</v>
      </c>
      <c r="O167" s="1174" t="s">
        <v>780</v>
      </c>
      <c r="P167" s="1207" t="s">
        <v>680</v>
      </c>
      <c r="Q167" s="1163"/>
      <c r="R167" s="1269">
        <v>29400000</v>
      </c>
      <c r="S167" s="1357">
        <v>29400000</v>
      </c>
      <c r="T167" s="1357">
        <f>+Tabla16[[#This Row],[CDPS A 31 JULIO 2022]]-Tabla16[[#This Row],[CDP]]</f>
        <v>0</v>
      </c>
      <c r="U167" s="1357">
        <v>29400000</v>
      </c>
      <c r="V167" s="1357">
        <v>10780000</v>
      </c>
      <c r="W167" s="1357"/>
    </row>
    <row r="168" spans="1:23" s="1207" customFormat="1" ht="105" x14ac:dyDescent="0.2">
      <c r="A168" s="1355">
        <v>2022124</v>
      </c>
      <c r="B168" s="1172">
        <v>7655</v>
      </c>
      <c r="C168" s="1356" t="s">
        <v>670</v>
      </c>
      <c r="D168" s="1190" t="s">
        <v>691</v>
      </c>
      <c r="E168" s="1174" t="s">
        <v>782</v>
      </c>
      <c r="F168" s="1389" t="s">
        <v>846</v>
      </c>
      <c r="G168" s="1390">
        <v>44575</v>
      </c>
      <c r="H168" s="1390">
        <v>44575</v>
      </c>
      <c r="I168" s="1176">
        <v>12</v>
      </c>
      <c r="J168" s="1176" t="s">
        <v>675</v>
      </c>
      <c r="K168" s="1177" t="s">
        <v>676</v>
      </c>
      <c r="L168" s="1178" t="s">
        <v>677</v>
      </c>
      <c r="M168" s="1179">
        <v>29400000</v>
      </c>
      <c r="N168" s="1386" t="s">
        <v>785</v>
      </c>
      <c r="O168" s="1174" t="s">
        <v>780</v>
      </c>
      <c r="P168" s="1207" t="s">
        <v>680</v>
      </c>
      <c r="Q168" s="1163"/>
      <c r="R168" s="1269">
        <v>29400000</v>
      </c>
      <c r="S168" s="1357">
        <v>29400000</v>
      </c>
      <c r="T168" s="1357">
        <f>+Tabla16[[#This Row],[CDPS A 31 JULIO 2022]]-Tabla16[[#This Row],[CDP]]</f>
        <v>0</v>
      </c>
      <c r="U168" s="1357">
        <v>29400000</v>
      </c>
      <c r="V168" s="1357">
        <v>10371667</v>
      </c>
      <c r="W168" s="1357"/>
    </row>
    <row r="169" spans="1:23" s="1207" customFormat="1" ht="105" x14ac:dyDescent="0.2">
      <c r="A169" s="1355">
        <v>2022125</v>
      </c>
      <c r="B169" s="1172">
        <v>7655</v>
      </c>
      <c r="C169" s="1356" t="s">
        <v>670</v>
      </c>
      <c r="D169" s="1190" t="s">
        <v>691</v>
      </c>
      <c r="E169" s="1174" t="s">
        <v>782</v>
      </c>
      <c r="F169" s="1389" t="s">
        <v>843</v>
      </c>
      <c r="G169" s="1390">
        <v>44575</v>
      </c>
      <c r="H169" s="1390">
        <v>44575</v>
      </c>
      <c r="I169" s="1176">
        <v>12</v>
      </c>
      <c r="J169" s="1176" t="s">
        <v>675</v>
      </c>
      <c r="K169" s="1177" t="s">
        <v>676</v>
      </c>
      <c r="L169" s="1178" t="s">
        <v>677</v>
      </c>
      <c r="M169" s="1179">
        <v>29400000</v>
      </c>
      <c r="N169" s="1386" t="s">
        <v>785</v>
      </c>
      <c r="O169" s="1174" t="s">
        <v>780</v>
      </c>
      <c r="P169" s="1207" t="s">
        <v>680</v>
      </c>
      <c r="Q169" s="1163"/>
      <c r="R169" s="1269">
        <v>29400000</v>
      </c>
      <c r="S169" s="1357">
        <v>29400000</v>
      </c>
      <c r="T169" s="1357">
        <f>+Tabla16[[#This Row],[CDPS A 31 JULIO 2022]]-Tabla16[[#This Row],[CDP]]</f>
        <v>0</v>
      </c>
      <c r="U169" s="1357">
        <v>29400000</v>
      </c>
      <c r="V169" s="1357">
        <v>10126667</v>
      </c>
      <c r="W169" s="1357"/>
    </row>
    <row r="170" spans="1:23" s="1207" customFormat="1" ht="105" x14ac:dyDescent="0.2">
      <c r="A170" s="1355">
        <v>2022126</v>
      </c>
      <c r="B170" s="1172">
        <v>7655</v>
      </c>
      <c r="C170" s="1356" t="s">
        <v>670</v>
      </c>
      <c r="D170" s="1190" t="s">
        <v>691</v>
      </c>
      <c r="E170" s="1174" t="s">
        <v>782</v>
      </c>
      <c r="F170" s="1389" t="s">
        <v>846</v>
      </c>
      <c r="G170" s="1390">
        <v>44575</v>
      </c>
      <c r="H170" s="1390">
        <v>44575</v>
      </c>
      <c r="I170" s="1176">
        <v>12</v>
      </c>
      <c r="J170" s="1176" t="s">
        <v>675</v>
      </c>
      <c r="K170" s="1177" t="s">
        <v>676</v>
      </c>
      <c r="L170" s="1178" t="s">
        <v>677</v>
      </c>
      <c r="M170" s="1179">
        <v>29400000</v>
      </c>
      <c r="N170" s="1386" t="s">
        <v>785</v>
      </c>
      <c r="O170" s="1174" t="s">
        <v>780</v>
      </c>
      <c r="P170" s="1207" t="s">
        <v>680</v>
      </c>
      <c r="Q170" s="1163"/>
      <c r="R170" s="1269">
        <v>29400000</v>
      </c>
      <c r="S170" s="1357">
        <v>29400000</v>
      </c>
      <c r="T170" s="1357">
        <f>+Tabla16[[#This Row],[CDPS A 31 JULIO 2022]]-Tabla16[[#This Row],[CDP]]</f>
        <v>0</v>
      </c>
      <c r="U170" s="1357">
        <v>29400000</v>
      </c>
      <c r="V170" s="1357">
        <v>9800000</v>
      </c>
      <c r="W170" s="1357"/>
    </row>
    <row r="171" spans="1:23" s="1207" customFormat="1" ht="105" x14ac:dyDescent="0.2">
      <c r="A171" s="1355">
        <v>2022127</v>
      </c>
      <c r="B171" s="1172">
        <v>7655</v>
      </c>
      <c r="C171" s="1356" t="s">
        <v>670</v>
      </c>
      <c r="D171" s="1190" t="s">
        <v>691</v>
      </c>
      <c r="E171" s="1174" t="s">
        <v>782</v>
      </c>
      <c r="F171" s="1389" t="s">
        <v>843</v>
      </c>
      <c r="G171" s="1390">
        <v>44575</v>
      </c>
      <c r="H171" s="1390">
        <v>44575</v>
      </c>
      <c r="I171" s="1176">
        <v>12</v>
      </c>
      <c r="J171" s="1176" t="s">
        <v>675</v>
      </c>
      <c r="K171" s="1177" t="s">
        <v>676</v>
      </c>
      <c r="L171" s="1178" t="s">
        <v>677</v>
      </c>
      <c r="M171" s="1179">
        <v>29400000</v>
      </c>
      <c r="N171" s="1386" t="s">
        <v>785</v>
      </c>
      <c r="O171" s="1174" t="s">
        <v>780</v>
      </c>
      <c r="P171" s="1207" t="s">
        <v>680</v>
      </c>
      <c r="Q171" s="1163"/>
      <c r="R171" s="1269">
        <v>29400000</v>
      </c>
      <c r="S171" s="1357">
        <v>29400000</v>
      </c>
      <c r="T171" s="1357">
        <f>+Tabla16[[#This Row],[CDPS A 31 JULIO 2022]]-Tabla16[[#This Row],[CDP]]</f>
        <v>0</v>
      </c>
      <c r="U171" s="1357">
        <v>29400000</v>
      </c>
      <c r="V171" s="1357">
        <v>10371667</v>
      </c>
      <c r="W171" s="1357"/>
    </row>
    <row r="172" spans="1:23" s="1207" customFormat="1" ht="105" x14ac:dyDescent="0.2">
      <c r="A172" s="1355">
        <v>2022128</v>
      </c>
      <c r="B172" s="1172">
        <v>7655</v>
      </c>
      <c r="C172" s="1356" t="s">
        <v>670</v>
      </c>
      <c r="D172" s="1190" t="s">
        <v>691</v>
      </c>
      <c r="E172" s="1174" t="s">
        <v>782</v>
      </c>
      <c r="F172" s="1389" t="s">
        <v>843</v>
      </c>
      <c r="G172" s="1390">
        <v>44575</v>
      </c>
      <c r="H172" s="1390">
        <v>44575</v>
      </c>
      <c r="I172" s="1176">
        <v>12</v>
      </c>
      <c r="J172" s="1176" t="s">
        <v>675</v>
      </c>
      <c r="K172" s="1177" t="s">
        <v>676</v>
      </c>
      <c r="L172" s="1178" t="s">
        <v>677</v>
      </c>
      <c r="M172" s="1179">
        <v>29400000</v>
      </c>
      <c r="N172" s="1386" t="s">
        <v>785</v>
      </c>
      <c r="O172" s="1174" t="s">
        <v>780</v>
      </c>
      <c r="P172" s="1207" t="s">
        <v>680</v>
      </c>
      <c r="Q172" s="1163"/>
      <c r="R172" s="1269">
        <v>29400000</v>
      </c>
      <c r="S172" s="1357">
        <v>29400000</v>
      </c>
      <c r="T172" s="1357">
        <f>+Tabla16[[#This Row],[CDPS A 31 JULIO 2022]]-Tabla16[[#This Row],[CDP]]</f>
        <v>0</v>
      </c>
      <c r="U172" s="1357">
        <v>29400000</v>
      </c>
      <c r="V172" s="1357">
        <v>9310000</v>
      </c>
      <c r="W172" s="1357"/>
    </row>
    <row r="173" spans="1:23" s="1207" customFormat="1" ht="105" x14ac:dyDescent="0.2">
      <c r="A173" s="1355">
        <v>2022129</v>
      </c>
      <c r="B173" s="1172">
        <v>7655</v>
      </c>
      <c r="C173" s="1356" t="s">
        <v>670</v>
      </c>
      <c r="D173" s="1190" t="s">
        <v>691</v>
      </c>
      <c r="E173" s="1174" t="s">
        <v>782</v>
      </c>
      <c r="F173" s="1389" t="s">
        <v>843</v>
      </c>
      <c r="G173" s="1390">
        <v>44575</v>
      </c>
      <c r="H173" s="1390">
        <v>44575</v>
      </c>
      <c r="I173" s="1176">
        <v>12</v>
      </c>
      <c r="J173" s="1176" t="s">
        <v>675</v>
      </c>
      <c r="K173" s="1177" t="s">
        <v>676</v>
      </c>
      <c r="L173" s="1178" t="s">
        <v>677</v>
      </c>
      <c r="M173" s="1179">
        <v>29400000</v>
      </c>
      <c r="N173" s="1386" t="s">
        <v>785</v>
      </c>
      <c r="O173" s="1174" t="s">
        <v>780</v>
      </c>
      <c r="P173" s="1207" t="s">
        <v>680</v>
      </c>
      <c r="Q173" s="1163"/>
      <c r="R173" s="1269">
        <v>29400000</v>
      </c>
      <c r="S173" s="1357">
        <v>29400000</v>
      </c>
      <c r="T173" s="1357">
        <f>+Tabla16[[#This Row],[CDPS A 31 JULIO 2022]]-Tabla16[[#This Row],[CDP]]</f>
        <v>0</v>
      </c>
      <c r="U173" s="1357">
        <v>29400000</v>
      </c>
      <c r="V173" s="1357">
        <v>9800000</v>
      </c>
      <c r="W173" s="1357"/>
    </row>
    <row r="174" spans="1:23" s="1207" customFormat="1" ht="105" x14ac:dyDescent="0.2">
      <c r="A174" s="1355">
        <v>2022130</v>
      </c>
      <c r="B174" s="1172">
        <v>7655</v>
      </c>
      <c r="C174" s="1356" t="s">
        <v>670</v>
      </c>
      <c r="D174" s="1190" t="s">
        <v>691</v>
      </c>
      <c r="E174" s="1174" t="s">
        <v>782</v>
      </c>
      <c r="F174" s="1389" t="s">
        <v>843</v>
      </c>
      <c r="G174" s="1390">
        <v>44575</v>
      </c>
      <c r="H174" s="1390">
        <v>44575</v>
      </c>
      <c r="I174" s="1176">
        <v>12</v>
      </c>
      <c r="J174" s="1176" t="s">
        <v>675</v>
      </c>
      <c r="K174" s="1177" t="s">
        <v>676</v>
      </c>
      <c r="L174" s="1178" t="s">
        <v>677</v>
      </c>
      <c r="M174" s="1179">
        <v>29400000</v>
      </c>
      <c r="N174" s="1386" t="s">
        <v>785</v>
      </c>
      <c r="O174" s="1174" t="s">
        <v>780</v>
      </c>
      <c r="P174" s="1207" t="s">
        <v>680</v>
      </c>
      <c r="Q174" s="1163"/>
      <c r="R174" s="1269">
        <v>29400000</v>
      </c>
      <c r="S174" s="1357">
        <v>29400000</v>
      </c>
      <c r="T174" s="1357">
        <f>+Tabla16[[#This Row],[CDPS A 31 JULIO 2022]]-Tabla16[[#This Row],[CDP]]</f>
        <v>0</v>
      </c>
      <c r="U174" s="1357">
        <v>29400000</v>
      </c>
      <c r="V174" s="1357">
        <v>9800000</v>
      </c>
      <c r="W174" s="1357"/>
    </row>
    <row r="175" spans="1:23" s="1207" customFormat="1" ht="105" x14ac:dyDescent="0.2">
      <c r="A175" s="1355">
        <v>2022131</v>
      </c>
      <c r="B175" s="1172">
        <v>7655</v>
      </c>
      <c r="C175" s="1356" t="s">
        <v>670</v>
      </c>
      <c r="D175" s="1190" t="s">
        <v>691</v>
      </c>
      <c r="E175" s="1174" t="s">
        <v>782</v>
      </c>
      <c r="F175" s="1389" t="s">
        <v>843</v>
      </c>
      <c r="G175" s="1390">
        <v>44575</v>
      </c>
      <c r="H175" s="1390">
        <v>44575</v>
      </c>
      <c r="I175" s="1176">
        <v>12</v>
      </c>
      <c r="J175" s="1176" t="s">
        <v>675</v>
      </c>
      <c r="K175" s="1177" t="s">
        <v>676</v>
      </c>
      <c r="L175" s="1178" t="s">
        <v>677</v>
      </c>
      <c r="M175" s="1179">
        <v>29400000</v>
      </c>
      <c r="N175" s="1386" t="s">
        <v>785</v>
      </c>
      <c r="O175" s="1174" t="s">
        <v>780</v>
      </c>
      <c r="P175" s="1207" t="s">
        <v>680</v>
      </c>
      <c r="Q175" s="1163"/>
      <c r="R175" s="1269">
        <v>29400000</v>
      </c>
      <c r="S175" s="1357">
        <v>29400000</v>
      </c>
      <c r="T175" s="1357">
        <f>+Tabla16[[#This Row],[CDPS A 31 JULIO 2022]]-Tabla16[[#This Row],[CDP]]</f>
        <v>0</v>
      </c>
      <c r="U175" s="1357">
        <v>29400000</v>
      </c>
      <c r="V175" s="1357">
        <v>9800000</v>
      </c>
      <c r="W175" s="1357"/>
    </row>
    <row r="176" spans="1:23" s="1207" customFormat="1" ht="105" x14ac:dyDescent="0.2">
      <c r="A176" s="1355">
        <v>2022132</v>
      </c>
      <c r="B176" s="1172">
        <v>7655</v>
      </c>
      <c r="C176" s="1356" t="s">
        <v>670</v>
      </c>
      <c r="D176" s="1190" t="s">
        <v>691</v>
      </c>
      <c r="E176" s="1174" t="s">
        <v>782</v>
      </c>
      <c r="F176" s="1389" t="s">
        <v>848</v>
      </c>
      <c r="G176" s="1390">
        <v>44575</v>
      </c>
      <c r="H176" s="1390">
        <v>44575</v>
      </c>
      <c r="I176" s="1176">
        <v>12</v>
      </c>
      <c r="J176" s="1176" t="s">
        <v>675</v>
      </c>
      <c r="K176" s="1177" t="s">
        <v>676</v>
      </c>
      <c r="L176" s="1178" t="s">
        <v>677</v>
      </c>
      <c r="M176" s="1179">
        <v>87600000</v>
      </c>
      <c r="N176" s="1386" t="s">
        <v>785</v>
      </c>
      <c r="O176" s="1174" t="s">
        <v>780</v>
      </c>
      <c r="P176" s="1207" t="s">
        <v>680</v>
      </c>
      <c r="Q176" s="1163"/>
      <c r="R176" s="1269">
        <v>87600000</v>
      </c>
      <c r="S176" s="1357">
        <v>87600000</v>
      </c>
      <c r="T176" s="1357">
        <f>+Tabla16[[#This Row],[CDPS A 31 JULIO 2022]]-Tabla16[[#This Row],[CDP]]</f>
        <v>0</v>
      </c>
      <c r="U176" s="1357">
        <v>87600000</v>
      </c>
      <c r="V176" s="1357">
        <v>31876667</v>
      </c>
      <c r="W176" s="1357"/>
    </row>
    <row r="177" spans="1:23" s="1207" customFormat="1" ht="105" x14ac:dyDescent="0.2">
      <c r="A177" s="1355">
        <v>2022133</v>
      </c>
      <c r="B177" s="1172">
        <v>7655</v>
      </c>
      <c r="C177" s="1356" t="s">
        <v>670</v>
      </c>
      <c r="D177" s="1190" t="s">
        <v>691</v>
      </c>
      <c r="E177" s="1174" t="s">
        <v>782</v>
      </c>
      <c r="F177" s="1389" t="s">
        <v>849</v>
      </c>
      <c r="G177" s="1390">
        <v>44575</v>
      </c>
      <c r="H177" s="1390">
        <v>44575</v>
      </c>
      <c r="I177" s="1176">
        <v>7</v>
      </c>
      <c r="J177" s="1176" t="s">
        <v>675</v>
      </c>
      <c r="K177" s="1177" t="s">
        <v>676</v>
      </c>
      <c r="L177" s="1178" t="s">
        <v>677</v>
      </c>
      <c r="M177" s="1179">
        <v>42000000</v>
      </c>
      <c r="N177" s="1386" t="s">
        <v>785</v>
      </c>
      <c r="O177" s="1174" t="s">
        <v>780</v>
      </c>
      <c r="P177" s="1207" t="s">
        <v>680</v>
      </c>
      <c r="Q177" s="1163"/>
      <c r="R177" s="1269">
        <v>42000000</v>
      </c>
      <c r="S177" s="1357">
        <v>42000000</v>
      </c>
      <c r="T177" s="1357">
        <f>+Tabla16[[#This Row],[CDPS A 31 JULIO 2022]]-Tabla16[[#This Row],[CDP]]</f>
        <v>0</v>
      </c>
      <c r="U177" s="1357">
        <v>42000000</v>
      </c>
      <c r="V177" s="1357">
        <v>24000000</v>
      </c>
      <c r="W177" s="1357"/>
    </row>
    <row r="178" spans="1:23" s="1207" customFormat="1" ht="105" x14ac:dyDescent="0.2">
      <c r="A178" s="1355">
        <v>2022134</v>
      </c>
      <c r="B178" s="1172">
        <v>7655</v>
      </c>
      <c r="C178" s="1356" t="s">
        <v>670</v>
      </c>
      <c r="D178" s="1190" t="s">
        <v>691</v>
      </c>
      <c r="E178" s="1174" t="s">
        <v>782</v>
      </c>
      <c r="F178" s="1389" t="s">
        <v>850</v>
      </c>
      <c r="G178" s="1390">
        <v>44575</v>
      </c>
      <c r="H178" s="1390">
        <v>44575</v>
      </c>
      <c r="I178" s="1176">
        <v>11.5</v>
      </c>
      <c r="J178" s="1176" t="s">
        <v>675</v>
      </c>
      <c r="K178" s="1177" t="s">
        <v>676</v>
      </c>
      <c r="L178" s="1178" t="s">
        <v>677</v>
      </c>
      <c r="M178" s="1179">
        <v>64802500</v>
      </c>
      <c r="N178" s="1386" t="s">
        <v>785</v>
      </c>
      <c r="O178" s="1174" t="s">
        <v>780</v>
      </c>
      <c r="P178" s="1207" t="s">
        <v>680</v>
      </c>
      <c r="Q178" s="1163"/>
      <c r="R178" s="1269">
        <v>64802500</v>
      </c>
      <c r="S178" s="1357">
        <v>64802500</v>
      </c>
      <c r="T178" s="1357">
        <f>+Tabla16[[#This Row],[CDPS A 31 JULIO 2022]]-Tabla16[[#This Row],[CDP]]</f>
        <v>0</v>
      </c>
      <c r="U178" s="1357">
        <v>64802500</v>
      </c>
      <c r="V178" s="1357">
        <v>22540000</v>
      </c>
      <c r="W178" s="1357"/>
    </row>
    <row r="179" spans="1:23" s="1207" customFormat="1" ht="105" x14ac:dyDescent="0.2">
      <c r="A179" s="1355">
        <v>2022135</v>
      </c>
      <c r="B179" s="1172">
        <v>7655</v>
      </c>
      <c r="C179" s="1356" t="s">
        <v>670</v>
      </c>
      <c r="D179" s="1190" t="s">
        <v>691</v>
      </c>
      <c r="E179" s="1174" t="s">
        <v>782</v>
      </c>
      <c r="F179" s="1389" t="s">
        <v>850</v>
      </c>
      <c r="G179" s="1390">
        <v>44575</v>
      </c>
      <c r="H179" s="1390">
        <v>44575</v>
      </c>
      <c r="I179" s="1176">
        <v>7</v>
      </c>
      <c r="J179" s="1176" t="s">
        <v>675</v>
      </c>
      <c r="K179" s="1177" t="s">
        <v>676</v>
      </c>
      <c r="L179" s="1178" t="s">
        <v>677</v>
      </c>
      <c r="M179" s="1179">
        <f>31500000-24452500</f>
        <v>7047500</v>
      </c>
      <c r="N179" s="1386" t="s">
        <v>785</v>
      </c>
      <c r="O179" s="1174" t="s">
        <v>780</v>
      </c>
      <c r="P179" s="1207" t="s">
        <v>680</v>
      </c>
      <c r="Q179" s="1163"/>
      <c r="R179" s="1269">
        <v>0</v>
      </c>
      <c r="S179" s="1357"/>
      <c r="T179" s="1357">
        <f>+Tabla16[[#This Row],[CDPS A 31 JULIO 2022]]-Tabla16[[#This Row],[CDP]]</f>
        <v>0</v>
      </c>
      <c r="U179" s="1357"/>
      <c r="V179" s="1357"/>
      <c r="W179" s="1357"/>
    </row>
    <row r="180" spans="1:23" s="1207" customFormat="1" ht="105" x14ac:dyDescent="0.2">
      <c r="A180" s="1355">
        <v>2022136</v>
      </c>
      <c r="B180" s="1172">
        <v>7655</v>
      </c>
      <c r="C180" s="1356" t="s">
        <v>670</v>
      </c>
      <c r="D180" s="1190" t="s">
        <v>691</v>
      </c>
      <c r="E180" s="1174" t="s">
        <v>782</v>
      </c>
      <c r="F180" s="1389" t="s">
        <v>851</v>
      </c>
      <c r="G180" s="1390">
        <v>44575</v>
      </c>
      <c r="H180" s="1390">
        <v>44575</v>
      </c>
      <c r="I180" s="1176">
        <v>11.5</v>
      </c>
      <c r="J180" s="1176" t="s">
        <v>675</v>
      </c>
      <c r="K180" s="1177" t="s">
        <v>676</v>
      </c>
      <c r="L180" s="1178" t="s">
        <v>677</v>
      </c>
      <c r="M180" s="1179">
        <v>28175000</v>
      </c>
      <c r="N180" s="1386" t="s">
        <v>785</v>
      </c>
      <c r="O180" s="1174" t="s">
        <v>780</v>
      </c>
      <c r="P180" s="1207" t="s">
        <v>680</v>
      </c>
      <c r="Q180" s="1163"/>
      <c r="R180" s="1269">
        <v>0</v>
      </c>
      <c r="S180" s="1357"/>
      <c r="T180" s="1357">
        <f>+Tabla16[[#This Row],[CDPS A 31 JULIO 2022]]-Tabla16[[#This Row],[CDP]]</f>
        <v>0</v>
      </c>
      <c r="U180" s="1357"/>
      <c r="V180" s="1357"/>
      <c r="W180" s="1357"/>
    </row>
    <row r="181" spans="1:23" s="1207" customFormat="1" ht="105" x14ac:dyDescent="0.2">
      <c r="A181" s="1355">
        <v>2022137</v>
      </c>
      <c r="B181" s="1172">
        <v>7655</v>
      </c>
      <c r="C181" s="1356" t="s">
        <v>670</v>
      </c>
      <c r="D181" s="1190" t="s">
        <v>691</v>
      </c>
      <c r="E181" s="1174" t="s">
        <v>782</v>
      </c>
      <c r="F181" s="1389" t="s">
        <v>852</v>
      </c>
      <c r="G181" s="1390">
        <v>44575</v>
      </c>
      <c r="H181" s="1390">
        <v>44575</v>
      </c>
      <c r="I181" s="1176">
        <v>11.5</v>
      </c>
      <c r="J181" s="1176" t="s">
        <v>675</v>
      </c>
      <c r="K181" s="1177" t="s">
        <v>676</v>
      </c>
      <c r="L181" s="1178" t="s">
        <v>677</v>
      </c>
      <c r="M181" s="1179">
        <v>83950000</v>
      </c>
      <c r="N181" s="1386" t="s">
        <v>785</v>
      </c>
      <c r="O181" s="1174" t="s">
        <v>780</v>
      </c>
      <c r="P181" s="1207" t="s">
        <v>680</v>
      </c>
      <c r="Q181" s="1163"/>
      <c r="R181" s="1269">
        <v>83950000</v>
      </c>
      <c r="S181" s="1357">
        <v>83950000</v>
      </c>
      <c r="T181" s="1357">
        <f>+Tabla16[[#This Row],[CDPS A 31 JULIO 2022]]-Tabla16[[#This Row],[CDP]]</f>
        <v>0</v>
      </c>
      <c r="U181" s="1357">
        <v>83950000</v>
      </c>
      <c r="V181" s="1357">
        <v>29200000</v>
      </c>
      <c r="W181" s="1357"/>
    </row>
    <row r="182" spans="1:23" s="1207" customFormat="1" ht="105" x14ac:dyDescent="0.2">
      <c r="A182" s="1355">
        <v>2022138</v>
      </c>
      <c r="B182" s="1172">
        <v>7655</v>
      </c>
      <c r="C182" s="1356" t="s">
        <v>670</v>
      </c>
      <c r="D182" s="1190" t="s">
        <v>691</v>
      </c>
      <c r="E182" s="1174" t="s">
        <v>782</v>
      </c>
      <c r="F182" s="1389" t="s">
        <v>853</v>
      </c>
      <c r="G182" s="1390">
        <v>44575</v>
      </c>
      <c r="H182" s="1390">
        <v>44575</v>
      </c>
      <c r="I182" s="1176">
        <v>11.5</v>
      </c>
      <c r="J182" s="1176" t="s">
        <v>675</v>
      </c>
      <c r="K182" s="1177" t="s">
        <v>676</v>
      </c>
      <c r="L182" s="1178" t="s">
        <v>677</v>
      </c>
      <c r="M182" s="1179">
        <v>44275000</v>
      </c>
      <c r="N182" s="1386" t="s">
        <v>785</v>
      </c>
      <c r="O182" s="1174" t="s">
        <v>780</v>
      </c>
      <c r="P182" s="1207" t="s">
        <v>680</v>
      </c>
      <c r="Q182" s="1163"/>
      <c r="R182" s="1269">
        <v>44275000</v>
      </c>
      <c r="S182" s="1357">
        <v>44275000</v>
      </c>
      <c r="T182" s="1357">
        <f>+Tabla16[[#This Row],[CDPS A 31 JULIO 2022]]-Tabla16[[#This Row],[CDP]]</f>
        <v>0</v>
      </c>
      <c r="U182" s="1357">
        <v>44275000</v>
      </c>
      <c r="V182" s="1357">
        <v>16041667</v>
      </c>
      <c r="W182" s="1357"/>
    </row>
    <row r="183" spans="1:23" s="1207" customFormat="1" ht="105" x14ac:dyDescent="0.2">
      <c r="A183" s="1355">
        <v>2022139</v>
      </c>
      <c r="B183" s="1172">
        <v>7655</v>
      </c>
      <c r="C183" s="1356" t="s">
        <v>670</v>
      </c>
      <c r="D183" s="1190" t="s">
        <v>691</v>
      </c>
      <c r="E183" s="1174" t="s">
        <v>782</v>
      </c>
      <c r="F183" s="1389" t="s">
        <v>853</v>
      </c>
      <c r="G183" s="1390">
        <v>44575</v>
      </c>
      <c r="H183" s="1390">
        <v>44575</v>
      </c>
      <c r="I183" s="1176">
        <v>11.5</v>
      </c>
      <c r="J183" s="1176" t="s">
        <v>675</v>
      </c>
      <c r="K183" s="1177" t="s">
        <v>676</v>
      </c>
      <c r="L183" s="1178" t="s">
        <v>677</v>
      </c>
      <c r="M183" s="1179">
        <v>58650000</v>
      </c>
      <c r="N183" s="1386" t="s">
        <v>785</v>
      </c>
      <c r="O183" s="1174" t="s">
        <v>780</v>
      </c>
      <c r="P183" s="1207" t="s">
        <v>680</v>
      </c>
      <c r="Q183" s="1163"/>
      <c r="R183" s="1269">
        <v>58650000</v>
      </c>
      <c r="S183" s="1357">
        <v>58650000</v>
      </c>
      <c r="T183" s="1357">
        <f>+Tabla16[[#This Row],[CDPS A 31 JULIO 2022]]-Tabla16[[#This Row],[CDP]]</f>
        <v>0</v>
      </c>
      <c r="U183" s="1357">
        <v>58650000</v>
      </c>
      <c r="V183" s="1357">
        <v>21080000</v>
      </c>
      <c r="W183" s="1357"/>
    </row>
    <row r="184" spans="1:23" s="1207" customFormat="1" ht="105" x14ac:dyDescent="0.2">
      <c r="A184" s="1355">
        <v>2022140</v>
      </c>
      <c r="B184" s="1172">
        <v>7655</v>
      </c>
      <c r="C184" s="1356" t="s">
        <v>670</v>
      </c>
      <c r="D184" s="1190" t="s">
        <v>697</v>
      </c>
      <c r="E184" s="1174">
        <v>80111600</v>
      </c>
      <c r="F184" s="1389" t="s">
        <v>854</v>
      </c>
      <c r="G184" s="1390">
        <v>44562</v>
      </c>
      <c r="H184" s="1390">
        <v>44592</v>
      </c>
      <c r="I184" s="1176">
        <v>8</v>
      </c>
      <c r="J184" s="1176" t="s">
        <v>675</v>
      </c>
      <c r="K184" s="1177" t="s">
        <v>676</v>
      </c>
      <c r="L184" s="1178" t="s">
        <v>677</v>
      </c>
      <c r="M184" s="1179">
        <v>26496000</v>
      </c>
      <c r="N184" s="1386" t="s">
        <v>785</v>
      </c>
      <c r="O184" s="1174" t="s">
        <v>780</v>
      </c>
      <c r="P184" s="1207" t="s">
        <v>680</v>
      </c>
      <c r="Q184" s="1163"/>
      <c r="R184" s="1269">
        <v>26496000</v>
      </c>
      <c r="S184" s="1357">
        <v>26496000</v>
      </c>
      <c r="T184" s="1357">
        <f>+Tabla16[[#This Row],[CDPS A 31 JULIO 2022]]-Tabla16[[#This Row],[CDP]]</f>
        <v>0</v>
      </c>
      <c r="U184" s="1357">
        <v>26496000</v>
      </c>
      <c r="V184" s="1357">
        <v>14793600</v>
      </c>
      <c r="W184" s="1357"/>
    </row>
    <row r="185" spans="1:23" s="1207" customFormat="1" ht="105" x14ac:dyDescent="0.2">
      <c r="A185" s="1355">
        <v>2022141</v>
      </c>
      <c r="B185" s="1172">
        <v>7655</v>
      </c>
      <c r="C185" s="1356" t="s">
        <v>670</v>
      </c>
      <c r="D185" s="1190" t="s">
        <v>697</v>
      </c>
      <c r="E185" s="1174">
        <v>80111600</v>
      </c>
      <c r="F185" s="1389" t="s">
        <v>855</v>
      </c>
      <c r="G185" s="1390">
        <v>44562</v>
      </c>
      <c r="H185" s="1390">
        <v>44592</v>
      </c>
      <c r="I185" s="1176">
        <v>8</v>
      </c>
      <c r="J185" s="1176" t="s">
        <v>675</v>
      </c>
      <c r="K185" s="1177" t="s">
        <v>676</v>
      </c>
      <c r="L185" s="1178" t="s">
        <v>677</v>
      </c>
      <c r="M185" s="1179">
        <v>34776000</v>
      </c>
      <c r="N185" s="1386" t="s">
        <v>785</v>
      </c>
      <c r="O185" s="1174" t="s">
        <v>780</v>
      </c>
      <c r="P185" s="1207" t="s">
        <v>680</v>
      </c>
      <c r="Q185" s="1163"/>
      <c r="R185" s="1269">
        <v>34776000</v>
      </c>
      <c r="S185" s="1357">
        <v>34776000</v>
      </c>
      <c r="T185" s="1357">
        <f>+Tabla16[[#This Row],[CDPS A 31 JULIO 2022]]-Tabla16[[#This Row],[CDP]]</f>
        <v>0</v>
      </c>
      <c r="U185" s="1357">
        <v>34776000</v>
      </c>
      <c r="V185" s="1357">
        <v>19416600</v>
      </c>
      <c r="W185" s="1357"/>
    </row>
    <row r="186" spans="1:23" s="1207" customFormat="1" ht="105" x14ac:dyDescent="0.2">
      <c r="A186" s="1355">
        <v>2022142</v>
      </c>
      <c r="B186" s="1172">
        <v>7655</v>
      </c>
      <c r="C186" s="1356" t="s">
        <v>670</v>
      </c>
      <c r="D186" s="1190" t="s">
        <v>697</v>
      </c>
      <c r="E186" s="1174">
        <v>80111600</v>
      </c>
      <c r="F186" s="1389" t="s">
        <v>856</v>
      </c>
      <c r="G186" s="1390">
        <v>44562</v>
      </c>
      <c r="H186" s="1390">
        <v>44592</v>
      </c>
      <c r="I186" s="1176">
        <v>11</v>
      </c>
      <c r="J186" s="1176" t="s">
        <v>675</v>
      </c>
      <c r="K186" s="1177" t="s">
        <v>676</v>
      </c>
      <c r="L186" s="1178" t="s">
        <v>677</v>
      </c>
      <c r="M186" s="1179">
        <f>56100000-10200000</f>
        <v>45900000</v>
      </c>
      <c r="N186" s="1386" t="s">
        <v>785</v>
      </c>
      <c r="O186" s="1174" t="s">
        <v>780</v>
      </c>
      <c r="P186" s="1207" t="s">
        <v>680</v>
      </c>
      <c r="Q186" s="1163"/>
      <c r="R186" s="1269">
        <v>45900000</v>
      </c>
      <c r="S186" s="1357">
        <v>45900000</v>
      </c>
      <c r="T186" s="1357">
        <f>+Tabla16[[#This Row],[CDPS A 31 JULIO 2022]]-Tabla16[[#This Row],[CDP]]</f>
        <v>0</v>
      </c>
      <c r="U186" s="1357">
        <v>45900000</v>
      </c>
      <c r="V186" s="1357">
        <v>22780000</v>
      </c>
      <c r="W186" s="1357"/>
    </row>
    <row r="187" spans="1:23" s="1207" customFormat="1" ht="105" x14ac:dyDescent="0.2">
      <c r="A187" s="1355">
        <v>2022143</v>
      </c>
      <c r="B187" s="1172">
        <v>7655</v>
      </c>
      <c r="C187" s="1356" t="s">
        <v>670</v>
      </c>
      <c r="D187" s="1190" t="s">
        <v>697</v>
      </c>
      <c r="E187" s="1174">
        <v>80111600</v>
      </c>
      <c r="F187" s="1389" t="s">
        <v>857</v>
      </c>
      <c r="G187" s="1390">
        <v>44562</v>
      </c>
      <c r="H187" s="1390">
        <v>44592</v>
      </c>
      <c r="I187" s="1176">
        <v>11</v>
      </c>
      <c r="J187" s="1176" t="s">
        <v>675</v>
      </c>
      <c r="K187" s="1177" t="s">
        <v>676</v>
      </c>
      <c r="L187" s="1178" t="s">
        <v>677</v>
      </c>
      <c r="M187" s="1179">
        <f>47817000-13041000</f>
        <v>34776000</v>
      </c>
      <c r="N187" s="1386" t="s">
        <v>785</v>
      </c>
      <c r="O187" s="1174" t="s">
        <v>780</v>
      </c>
      <c r="P187" s="1207" t="s">
        <v>680</v>
      </c>
      <c r="Q187" s="1163"/>
      <c r="R187" s="1269">
        <v>34776000</v>
      </c>
      <c r="S187" s="1357">
        <v>34776000</v>
      </c>
      <c r="T187" s="1357">
        <f>+Tabla16[[#This Row],[CDPS A 31 JULIO 2022]]-Tabla16[[#This Row],[CDP]]</f>
        <v>0</v>
      </c>
      <c r="U187" s="1357">
        <v>34776000</v>
      </c>
      <c r="V187" s="1357">
        <v>19416600</v>
      </c>
      <c r="W187" s="1357"/>
    </row>
    <row r="188" spans="1:23" s="1207" customFormat="1" ht="105" x14ac:dyDescent="0.2">
      <c r="A188" s="1355">
        <v>2022144</v>
      </c>
      <c r="B188" s="1172">
        <v>7655</v>
      </c>
      <c r="C188" s="1356" t="s">
        <v>670</v>
      </c>
      <c r="D188" s="1190" t="s">
        <v>697</v>
      </c>
      <c r="E188" s="1174">
        <v>80111600</v>
      </c>
      <c r="F188" s="1389" t="s">
        <v>855</v>
      </c>
      <c r="G188" s="1390">
        <v>44562</v>
      </c>
      <c r="H188" s="1390">
        <v>44592</v>
      </c>
      <c r="I188" s="1176">
        <v>11</v>
      </c>
      <c r="J188" s="1176" t="s">
        <v>675</v>
      </c>
      <c r="K188" s="1177" t="s">
        <v>676</v>
      </c>
      <c r="L188" s="1178" t="s">
        <v>677</v>
      </c>
      <c r="M188" s="1179">
        <f>56100000-21324000</f>
        <v>34776000</v>
      </c>
      <c r="N188" s="1386" t="s">
        <v>785</v>
      </c>
      <c r="O188" s="1174" t="s">
        <v>780</v>
      </c>
      <c r="P188" s="1207" t="s">
        <v>680</v>
      </c>
      <c r="Q188" s="1163"/>
      <c r="R188" s="1269">
        <v>34776000</v>
      </c>
      <c r="S188" s="1357">
        <v>34776000</v>
      </c>
      <c r="T188" s="1357">
        <f>+Tabla16[[#This Row],[CDPS A 31 JULIO 2022]]-Tabla16[[#This Row],[CDP]]</f>
        <v>0</v>
      </c>
      <c r="U188" s="1357">
        <v>34776000</v>
      </c>
      <c r="V188" s="1357">
        <v>17388000</v>
      </c>
      <c r="W188" s="1357"/>
    </row>
    <row r="189" spans="1:23" s="1207" customFormat="1" ht="105" x14ac:dyDescent="0.2">
      <c r="A189" s="1355">
        <v>2022145</v>
      </c>
      <c r="B189" s="1172">
        <v>7655</v>
      </c>
      <c r="C189" s="1356" t="s">
        <v>670</v>
      </c>
      <c r="D189" s="1190" t="s">
        <v>697</v>
      </c>
      <c r="E189" s="1174">
        <v>80111600</v>
      </c>
      <c r="F189" s="1389" t="s">
        <v>857</v>
      </c>
      <c r="G189" s="1390">
        <v>44562</v>
      </c>
      <c r="H189" s="1390">
        <v>44592</v>
      </c>
      <c r="I189" s="1176">
        <v>7</v>
      </c>
      <c r="J189" s="1176" t="s">
        <v>675</v>
      </c>
      <c r="K189" s="1177" t="s">
        <v>676</v>
      </c>
      <c r="L189" s="1178" t="s">
        <v>677</v>
      </c>
      <c r="M189" s="1179">
        <v>27895000</v>
      </c>
      <c r="N189" s="1386" t="s">
        <v>785</v>
      </c>
      <c r="O189" s="1174" t="s">
        <v>780</v>
      </c>
      <c r="P189" s="1207" t="s">
        <v>680</v>
      </c>
      <c r="Q189" s="1163"/>
      <c r="R189" s="1269">
        <v>27895000</v>
      </c>
      <c r="S189" s="1357">
        <v>27895000</v>
      </c>
      <c r="T189" s="1357">
        <f>+Tabla16[[#This Row],[CDPS A 31 JULIO 2022]]-Tabla16[[#This Row],[CDP]]</f>
        <v>0</v>
      </c>
      <c r="U189" s="1357">
        <v>27895000</v>
      </c>
      <c r="V189" s="1357">
        <v>17799667</v>
      </c>
      <c r="W189" s="1357"/>
    </row>
    <row r="190" spans="1:23" s="1207" customFormat="1" ht="105" x14ac:dyDescent="0.2">
      <c r="A190" s="1355">
        <v>2022146</v>
      </c>
      <c r="B190" s="1172">
        <v>7655</v>
      </c>
      <c r="C190" s="1356" t="s">
        <v>670</v>
      </c>
      <c r="D190" s="1190" t="s">
        <v>697</v>
      </c>
      <c r="E190" s="1174">
        <v>80111600</v>
      </c>
      <c r="F190" s="1389" t="s">
        <v>857</v>
      </c>
      <c r="G190" s="1390">
        <v>44562</v>
      </c>
      <c r="H190" s="1390">
        <v>44592</v>
      </c>
      <c r="I190" s="1176">
        <v>7</v>
      </c>
      <c r="J190" s="1176" t="s">
        <v>675</v>
      </c>
      <c r="K190" s="1177" t="s">
        <v>676</v>
      </c>
      <c r="L190" s="1178" t="s">
        <v>677</v>
      </c>
      <c r="M190" s="1179">
        <v>26950000</v>
      </c>
      <c r="N190" s="1386" t="s">
        <v>785</v>
      </c>
      <c r="O190" s="1174" t="s">
        <v>780</v>
      </c>
      <c r="P190" s="1207" t="s">
        <v>680</v>
      </c>
      <c r="Q190" s="1163"/>
      <c r="R190" s="1269">
        <v>26950000</v>
      </c>
      <c r="S190" s="1357">
        <v>26950000</v>
      </c>
      <c r="T190" s="1357">
        <f>+Tabla16[[#This Row],[CDPS A 31 JULIO 2022]]-Tabla16[[#This Row],[CDP]]</f>
        <v>0</v>
      </c>
      <c r="U190" s="1357">
        <v>26950000</v>
      </c>
      <c r="V190" s="1357">
        <v>8598333</v>
      </c>
      <c r="W190" s="1357"/>
    </row>
    <row r="191" spans="1:23" s="1207" customFormat="1" ht="105" x14ac:dyDescent="0.2">
      <c r="A191" s="1355">
        <v>2022147</v>
      </c>
      <c r="B191" s="1172">
        <v>7655</v>
      </c>
      <c r="C191" s="1356" t="s">
        <v>670</v>
      </c>
      <c r="D191" s="1190" t="s">
        <v>697</v>
      </c>
      <c r="E191" s="1174">
        <v>80111600</v>
      </c>
      <c r="F191" s="1389" t="s">
        <v>858</v>
      </c>
      <c r="G191" s="1390">
        <v>44562</v>
      </c>
      <c r="H191" s="1390">
        <v>44592</v>
      </c>
      <c r="I191" s="1176">
        <v>8</v>
      </c>
      <c r="J191" s="1176" t="s">
        <v>675</v>
      </c>
      <c r="K191" s="1177" t="s">
        <v>676</v>
      </c>
      <c r="L191" s="1178" t="s">
        <v>677</v>
      </c>
      <c r="M191" s="1179">
        <f>19600000-2450000</f>
        <v>17150000</v>
      </c>
      <c r="N191" s="1386" t="s">
        <v>785</v>
      </c>
      <c r="O191" s="1174" t="s">
        <v>780</v>
      </c>
      <c r="P191" s="1207" t="s">
        <v>680</v>
      </c>
      <c r="Q191" s="1163"/>
      <c r="R191" s="1269">
        <v>17150000</v>
      </c>
      <c r="S191" s="1357">
        <v>17150000</v>
      </c>
      <c r="T191" s="1357">
        <f>+Tabla16[[#This Row],[CDPS A 31 JULIO 2022]]-Tabla16[[#This Row],[CDP]]</f>
        <v>0</v>
      </c>
      <c r="U191" s="1357">
        <v>17150000</v>
      </c>
      <c r="V191" s="1357">
        <v>10943333</v>
      </c>
      <c r="W191" s="1357"/>
    </row>
    <row r="192" spans="1:23" s="1207" customFormat="1" ht="105" x14ac:dyDescent="0.2">
      <c r="A192" s="1355">
        <v>2022148</v>
      </c>
      <c r="B192" s="1172">
        <v>7655</v>
      </c>
      <c r="C192" s="1356" t="s">
        <v>670</v>
      </c>
      <c r="D192" s="1190" t="s">
        <v>697</v>
      </c>
      <c r="E192" s="1174">
        <v>80111600</v>
      </c>
      <c r="F192" s="1389" t="s">
        <v>859</v>
      </c>
      <c r="G192" s="1390">
        <v>44562</v>
      </c>
      <c r="H192" s="1390">
        <v>44592</v>
      </c>
      <c r="I192" s="1176">
        <v>8</v>
      </c>
      <c r="J192" s="1176" t="s">
        <v>675</v>
      </c>
      <c r="K192" s="1177" t="s">
        <v>676</v>
      </c>
      <c r="L192" s="1178" t="s">
        <v>677</v>
      </c>
      <c r="M192" s="1179">
        <f>40800000-5100000</f>
        <v>35700000</v>
      </c>
      <c r="N192" s="1386" t="s">
        <v>785</v>
      </c>
      <c r="O192" s="1174" t="s">
        <v>780</v>
      </c>
      <c r="P192" s="1207" t="s">
        <v>680</v>
      </c>
      <c r="Q192" s="1163"/>
      <c r="R192" s="1269">
        <v>35700000</v>
      </c>
      <c r="S192" s="1357">
        <v>35700000</v>
      </c>
      <c r="T192" s="1357">
        <f>+Tabla16[[#This Row],[CDPS A 31 JULIO 2022]]-Tabla16[[#This Row],[CDP]]</f>
        <v>0</v>
      </c>
      <c r="U192" s="1357">
        <v>35700000</v>
      </c>
      <c r="V192" s="1357">
        <v>21420000</v>
      </c>
      <c r="W192" s="1357"/>
    </row>
    <row r="193" spans="1:23" s="1207" customFormat="1" ht="105" x14ac:dyDescent="0.2">
      <c r="A193" s="1355">
        <v>2022149</v>
      </c>
      <c r="B193" s="1172">
        <v>7655</v>
      </c>
      <c r="C193" s="1356" t="s">
        <v>670</v>
      </c>
      <c r="D193" s="1190" t="s">
        <v>697</v>
      </c>
      <c r="E193" s="1174">
        <v>80111600</v>
      </c>
      <c r="F193" s="1389" t="s">
        <v>860</v>
      </c>
      <c r="G193" s="1390">
        <v>44562</v>
      </c>
      <c r="H193" s="1390">
        <v>44592</v>
      </c>
      <c r="I193" s="1176">
        <v>11</v>
      </c>
      <c r="J193" s="1176" t="s">
        <v>675</v>
      </c>
      <c r="K193" s="1177" t="s">
        <v>676</v>
      </c>
      <c r="L193" s="1178" t="s">
        <v>677</v>
      </c>
      <c r="M193" s="1179">
        <f>56100000-10200000</f>
        <v>45900000</v>
      </c>
      <c r="N193" s="1386" t="s">
        <v>785</v>
      </c>
      <c r="O193" s="1174" t="s">
        <v>780</v>
      </c>
      <c r="P193" s="1207" t="s">
        <v>680</v>
      </c>
      <c r="Q193" s="1163"/>
      <c r="R193" s="1269">
        <v>45900000</v>
      </c>
      <c r="S193" s="1357">
        <v>45900000</v>
      </c>
      <c r="T193" s="1357">
        <f>+Tabla16[[#This Row],[CDPS A 31 JULIO 2022]]-Tabla16[[#This Row],[CDP]]</f>
        <v>0</v>
      </c>
      <c r="U193" s="1357">
        <v>45900000</v>
      </c>
      <c r="V193" s="1357">
        <v>21250000</v>
      </c>
      <c r="W193" s="1357"/>
    </row>
    <row r="194" spans="1:23" s="1207" customFormat="1" ht="105" x14ac:dyDescent="0.2">
      <c r="A194" s="1355">
        <v>2022150</v>
      </c>
      <c r="B194" s="1172">
        <v>7655</v>
      </c>
      <c r="C194" s="1356" t="s">
        <v>670</v>
      </c>
      <c r="D194" s="1190" t="s">
        <v>697</v>
      </c>
      <c r="E194" s="1174">
        <v>80111600</v>
      </c>
      <c r="F194" s="1389" t="s">
        <v>859</v>
      </c>
      <c r="G194" s="1390">
        <v>44562</v>
      </c>
      <c r="H194" s="1390">
        <v>44592</v>
      </c>
      <c r="I194" s="1176">
        <v>7</v>
      </c>
      <c r="J194" s="1176" t="s">
        <v>675</v>
      </c>
      <c r="K194" s="1177" t="s">
        <v>676</v>
      </c>
      <c r="L194" s="1178" t="s">
        <v>677</v>
      </c>
      <c r="M194" s="1179">
        <v>35700000</v>
      </c>
      <c r="N194" s="1386" t="s">
        <v>785</v>
      </c>
      <c r="O194" s="1174" t="s">
        <v>780</v>
      </c>
      <c r="P194" s="1207" t="s">
        <v>680</v>
      </c>
      <c r="Q194" s="1163"/>
      <c r="R194" s="1269">
        <v>35700000</v>
      </c>
      <c r="S194" s="1357">
        <v>35700000</v>
      </c>
      <c r="T194" s="1357">
        <f>+Tabla16[[#This Row],[CDPS A 31 JULIO 2022]]-Tabla16[[#This Row],[CDP]]</f>
        <v>0</v>
      </c>
      <c r="U194" s="1357">
        <v>35700000</v>
      </c>
      <c r="V194" s="1357">
        <v>21080000</v>
      </c>
      <c r="W194" s="1357"/>
    </row>
    <row r="195" spans="1:23" s="1207" customFormat="1" ht="105" x14ac:dyDescent="0.2">
      <c r="A195" s="1355">
        <v>2022151</v>
      </c>
      <c r="B195" s="1172">
        <v>7655</v>
      </c>
      <c r="C195" s="1356" t="s">
        <v>670</v>
      </c>
      <c r="D195" s="1190" t="s">
        <v>697</v>
      </c>
      <c r="E195" s="1174">
        <v>80111600</v>
      </c>
      <c r="F195" s="1389" t="s">
        <v>861</v>
      </c>
      <c r="G195" s="1390">
        <v>44562</v>
      </c>
      <c r="H195" s="1390">
        <v>44592</v>
      </c>
      <c r="I195" s="1176">
        <v>8</v>
      </c>
      <c r="J195" s="1176" t="s">
        <v>675</v>
      </c>
      <c r="K195" s="1177" t="s">
        <v>676</v>
      </c>
      <c r="L195" s="1178" t="s">
        <v>677</v>
      </c>
      <c r="M195" s="1179">
        <v>41400000</v>
      </c>
      <c r="N195" s="1386" t="s">
        <v>785</v>
      </c>
      <c r="O195" s="1174" t="s">
        <v>780</v>
      </c>
      <c r="P195" s="1207" t="s">
        <v>680</v>
      </c>
      <c r="Q195" s="1163"/>
      <c r="R195" s="1269">
        <v>41400000</v>
      </c>
      <c r="S195" s="1357">
        <v>41400000</v>
      </c>
      <c r="T195" s="1357">
        <f>+Tabla16[[#This Row],[CDPS A 31 JULIO 2022]]-Tabla16[[#This Row],[CDP]]</f>
        <v>0</v>
      </c>
      <c r="U195" s="1357">
        <v>41400000</v>
      </c>
      <c r="V195" s="1357">
        <v>22942500</v>
      </c>
      <c r="W195" s="1357"/>
    </row>
    <row r="196" spans="1:23" s="1207" customFormat="1" ht="105" x14ac:dyDescent="0.2">
      <c r="A196" s="1355">
        <v>2022152</v>
      </c>
      <c r="B196" s="1172">
        <v>7655</v>
      </c>
      <c r="C196" s="1356" t="s">
        <v>670</v>
      </c>
      <c r="D196" s="1190" t="s">
        <v>697</v>
      </c>
      <c r="E196" s="1174">
        <v>80111600</v>
      </c>
      <c r="F196" s="1389" t="s">
        <v>862</v>
      </c>
      <c r="G196" s="1390">
        <v>44562</v>
      </c>
      <c r="H196" s="1390">
        <v>44592</v>
      </c>
      <c r="I196" s="1176">
        <v>8</v>
      </c>
      <c r="J196" s="1176" t="s">
        <v>675</v>
      </c>
      <c r="K196" s="1177" t="s">
        <v>676</v>
      </c>
      <c r="L196" s="1178" t="s">
        <v>677</v>
      </c>
      <c r="M196" s="1179">
        <v>45544000</v>
      </c>
      <c r="N196" s="1386" t="s">
        <v>785</v>
      </c>
      <c r="O196" s="1174" t="s">
        <v>780</v>
      </c>
      <c r="P196" s="1207" t="s">
        <v>680</v>
      </c>
      <c r="Q196" s="1163"/>
      <c r="R196" s="1269">
        <v>45544000</v>
      </c>
      <c r="S196" s="1357">
        <v>45544000</v>
      </c>
      <c r="T196" s="1357">
        <f>+Tabla16[[#This Row],[CDPS A 31 JULIO 2022]]-Tabla16[[#This Row],[CDP]]</f>
        <v>0</v>
      </c>
      <c r="U196" s="1357">
        <v>45544000</v>
      </c>
      <c r="V196" s="1357">
        <v>25238967</v>
      </c>
      <c r="W196" s="1357"/>
    </row>
    <row r="197" spans="1:23" s="1207" customFormat="1" ht="105" x14ac:dyDescent="0.2">
      <c r="A197" s="1355">
        <v>2022153</v>
      </c>
      <c r="B197" s="1172">
        <v>7655</v>
      </c>
      <c r="C197" s="1356" t="s">
        <v>670</v>
      </c>
      <c r="D197" s="1190" t="s">
        <v>697</v>
      </c>
      <c r="E197" s="1174">
        <v>80111600</v>
      </c>
      <c r="F197" s="1389" t="s">
        <v>863</v>
      </c>
      <c r="G197" s="1390">
        <v>44562</v>
      </c>
      <c r="H197" s="1390">
        <v>44592</v>
      </c>
      <c r="I197" s="1176">
        <v>7</v>
      </c>
      <c r="J197" s="1176" t="s">
        <v>675</v>
      </c>
      <c r="K197" s="1177" t="s">
        <v>676</v>
      </c>
      <c r="L197" s="1178" t="s">
        <v>677</v>
      </c>
      <c r="M197" s="1179">
        <v>23184000</v>
      </c>
      <c r="N197" s="1386" t="s">
        <v>785</v>
      </c>
      <c r="O197" s="1174" t="s">
        <v>780</v>
      </c>
      <c r="P197" s="1207" t="s">
        <v>680</v>
      </c>
      <c r="Q197" s="1163"/>
      <c r="R197" s="1269">
        <v>23184000</v>
      </c>
      <c r="S197" s="1357">
        <v>23184000</v>
      </c>
      <c r="T197" s="1357">
        <f>+Tabla16[[#This Row],[CDPS A 31 JULIO 2022]]-Tabla16[[#This Row],[CDP]]</f>
        <v>0</v>
      </c>
      <c r="U197" s="1357">
        <v>23184000</v>
      </c>
      <c r="V197" s="1357">
        <v>14462400</v>
      </c>
      <c r="W197" s="1357"/>
    </row>
    <row r="198" spans="1:23" s="1207" customFormat="1" ht="105" x14ac:dyDescent="0.2">
      <c r="A198" s="1355">
        <v>2022154</v>
      </c>
      <c r="B198" s="1172">
        <v>7655</v>
      </c>
      <c r="C198" s="1356" t="s">
        <v>670</v>
      </c>
      <c r="D198" s="1190" t="s">
        <v>697</v>
      </c>
      <c r="E198" s="1174">
        <v>80111600</v>
      </c>
      <c r="F198" s="1389" t="s">
        <v>864</v>
      </c>
      <c r="G198" s="1390">
        <v>44562</v>
      </c>
      <c r="H198" s="1390">
        <v>44592</v>
      </c>
      <c r="I198" s="1176">
        <v>7</v>
      </c>
      <c r="J198" s="1176" t="s">
        <v>675</v>
      </c>
      <c r="K198" s="1177" t="s">
        <v>676</v>
      </c>
      <c r="L198" s="1178" t="s">
        <v>677</v>
      </c>
      <c r="M198" s="1179">
        <v>30429000</v>
      </c>
      <c r="N198" s="1386" t="s">
        <v>785</v>
      </c>
      <c r="O198" s="1174" t="s">
        <v>780</v>
      </c>
      <c r="P198" s="1207" t="s">
        <v>680</v>
      </c>
      <c r="Q198" s="1163"/>
      <c r="R198" s="1269">
        <v>30429000</v>
      </c>
      <c r="S198" s="1357">
        <v>30429000</v>
      </c>
      <c r="T198" s="1357">
        <f>+Tabla16[[#This Row],[CDPS A 31 JULIO 2022]]-Tabla16[[#This Row],[CDP]]</f>
        <v>0</v>
      </c>
      <c r="U198" s="1357">
        <v>30429000</v>
      </c>
      <c r="V198" s="1357">
        <v>19271700</v>
      </c>
      <c r="W198" s="1357"/>
    </row>
    <row r="199" spans="1:23" s="1207" customFormat="1" ht="105" x14ac:dyDescent="0.2">
      <c r="A199" s="1355">
        <v>2022155</v>
      </c>
      <c r="B199" s="1172">
        <v>7655</v>
      </c>
      <c r="C199" s="1356" t="s">
        <v>670</v>
      </c>
      <c r="D199" s="1190" t="s">
        <v>697</v>
      </c>
      <c r="E199" s="1174">
        <v>80111600</v>
      </c>
      <c r="F199" s="1389" t="s">
        <v>865</v>
      </c>
      <c r="G199" s="1390">
        <v>44562</v>
      </c>
      <c r="H199" s="1390">
        <v>44592</v>
      </c>
      <c r="I199" s="1176">
        <v>11</v>
      </c>
      <c r="J199" s="1176" t="s">
        <v>675</v>
      </c>
      <c r="K199" s="1177" t="s">
        <v>676</v>
      </c>
      <c r="L199" s="1178" t="s">
        <v>677</v>
      </c>
      <c r="M199" s="1179">
        <f>83600000-43826667</f>
        <v>39773333</v>
      </c>
      <c r="N199" s="1386" t="s">
        <v>785</v>
      </c>
      <c r="O199" s="1174" t="s">
        <v>780</v>
      </c>
      <c r="P199" s="1207" t="s">
        <v>680</v>
      </c>
      <c r="Q199" s="1163"/>
      <c r="R199" s="1269">
        <v>68400000</v>
      </c>
      <c r="S199" s="1357">
        <v>68400000</v>
      </c>
      <c r="T199" s="1357">
        <f>+Tabla16[[#This Row],[CDPS A 31 JULIO 2022]]-Tabla16[[#This Row],[CDP]]</f>
        <v>0</v>
      </c>
      <c r="U199" s="1357">
        <v>68400000</v>
      </c>
      <c r="V199" s="1357">
        <v>32173333</v>
      </c>
      <c r="W199" s="1357"/>
    </row>
    <row r="200" spans="1:23" s="1207" customFormat="1" ht="105" x14ac:dyDescent="0.2">
      <c r="A200" s="1355">
        <v>2022156</v>
      </c>
      <c r="B200" s="1172">
        <v>7655</v>
      </c>
      <c r="C200" s="1356" t="s">
        <v>670</v>
      </c>
      <c r="D200" s="1190" t="s">
        <v>697</v>
      </c>
      <c r="E200" s="1174">
        <v>80111600</v>
      </c>
      <c r="F200" s="1389" t="s">
        <v>866</v>
      </c>
      <c r="G200" s="1390">
        <v>44562</v>
      </c>
      <c r="H200" s="1390">
        <v>44592</v>
      </c>
      <c r="I200" s="1176">
        <v>7</v>
      </c>
      <c r="J200" s="1176" t="s">
        <v>675</v>
      </c>
      <c r="K200" s="1177" t="s">
        <v>676</v>
      </c>
      <c r="L200" s="1178" t="s">
        <v>677</v>
      </c>
      <c r="M200" s="1179">
        <v>26950000</v>
      </c>
      <c r="N200" s="1386" t="s">
        <v>785</v>
      </c>
      <c r="O200" s="1174" t="s">
        <v>780</v>
      </c>
      <c r="P200" s="1207" t="s">
        <v>680</v>
      </c>
      <c r="Q200" s="1163"/>
      <c r="R200" s="1269">
        <v>26950000</v>
      </c>
      <c r="S200" s="1357">
        <v>26950000</v>
      </c>
      <c r="T200" s="1357">
        <f>+Tabla16[[#This Row],[CDPS A 31 JULIO 2022]]-Tabla16[[#This Row],[CDP]]</f>
        <v>0</v>
      </c>
      <c r="U200" s="1357">
        <v>26950000</v>
      </c>
      <c r="V200" s="1357">
        <v>15400000</v>
      </c>
      <c r="W200" s="1357"/>
    </row>
    <row r="201" spans="1:23" s="1207" customFormat="1" ht="105" x14ac:dyDescent="0.2">
      <c r="A201" s="1355">
        <v>2022157</v>
      </c>
      <c r="B201" s="1172">
        <v>7655</v>
      </c>
      <c r="C201" s="1356" t="s">
        <v>670</v>
      </c>
      <c r="D201" s="1190" t="s">
        <v>697</v>
      </c>
      <c r="E201" s="1174">
        <v>80111600</v>
      </c>
      <c r="F201" s="1389" t="s">
        <v>861</v>
      </c>
      <c r="G201" s="1390">
        <v>44562</v>
      </c>
      <c r="H201" s="1390">
        <v>44592</v>
      </c>
      <c r="I201" s="1176">
        <v>7</v>
      </c>
      <c r="J201" s="1176" t="s">
        <v>675</v>
      </c>
      <c r="K201" s="1177" t="s">
        <v>676</v>
      </c>
      <c r="L201" s="1178" t="s">
        <v>677</v>
      </c>
      <c r="M201" s="1179">
        <v>36225000</v>
      </c>
      <c r="N201" s="1386" t="s">
        <v>785</v>
      </c>
      <c r="O201" s="1174" t="s">
        <v>780</v>
      </c>
      <c r="P201" s="1207" t="s">
        <v>680</v>
      </c>
      <c r="Q201" s="1163"/>
      <c r="R201" s="1269">
        <v>36225000</v>
      </c>
      <c r="S201" s="1357">
        <v>36225000</v>
      </c>
      <c r="T201" s="1357">
        <f>+Tabla16[[#This Row],[CDPS A 31 JULIO 2022]]-Tabla16[[#This Row],[CDP]]</f>
        <v>0</v>
      </c>
      <c r="U201" s="1357">
        <v>36225000</v>
      </c>
      <c r="V201" s="1357">
        <v>22425000</v>
      </c>
      <c r="W201" s="1357"/>
    </row>
    <row r="202" spans="1:23" s="1207" customFormat="1" ht="105" x14ac:dyDescent="0.2">
      <c r="A202" s="1355">
        <v>2022158</v>
      </c>
      <c r="B202" s="1172">
        <v>7655</v>
      </c>
      <c r="C202" s="1356" t="s">
        <v>670</v>
      </c>
      <c r="D202" s="1190" t="s">
        <v>697</v>
      </c>
      <c r="E202" s="1174">
        <v>80111600</v>
      </c>
      <c r="F202" s="1389" t="s">
        <v>862</v>
      </c>
      <c r="G202" s="1390">
        <v>44562</v>
      </c>
      <c r="H202" s="1390">
        <v>44592</v>
      </c>
      <c r="I202" s="1176">
        <v>8</v>
      </c>
      <c r="J202" s="1176" t="s">
        <v>675</v>
      </c>
      <c r="K202" s="1177" t="s">
        <v>676</v>
      </c>
      <c r="L202" s="1178" t="s">
        <v>677</v>
      </c>
      <c r="M202" s="1179">
        <v>45544000</v>
      </c>
      <c r="N202" s="1386" t="s">
        <v>785</v>
      </c>
      <c r="O202" s="1174" t="s">
        <v>780</v>
      </c>
      <c r="P202" s="1207" t="s">
        <v>680</v>
      </c>
      <c r="Q202" s="1163"/>
      <c r="R202" s="1269">
        <v>45544000</v>
      </c>
      <c r="S202" s="1357">
        <v>45544000</v>
      </c>
      <c r="T202" s="1357">
        <f>+Tabla16[[#This Row],[CDPS A 31 JULIO 2022]]-Tabla16[[#This Row],[CDP]]</f>
        <v>0</v>
      </c>
      <c r="U202" s="1357">
        <v>45544000</v>
      </c>
      <c r="V202" s="1357">
        <v>24100367</v>
      </c>
      <c r="W202" s="1357"/>
    </row>
    <row r="203" spans="1:23" s="1207" customFormat="1" ht="105" x14ac:dyDescent="0.2">
      <c r="A203" s="1355">
        <v>2022159</v>
      </c>
      <c r="B203" s="1172">
        <v>7655</v>
      </c>
      <c r="C203" s="1356" t="s">
        <v>670</v>
      </c>
      <c r="D203" s="1190" t="s">
        <v>697</v>
      </c>
      <c r="E203" s="1174">
        <v>80111600</v>
      </c>
      <c r="F203" s="1389" t="s">
        <v>867</v>
      </c>
      <c r="G203" s="1390">
        <v>44562</v>
      </c>
      <c r="H203" s="1390">
        <v>44592</v>
      </c>
      <c r="I203" s="1176">
        <v>8</v>
      </c>
      <c r="J203" s="1176" t="s">
        <v>675</v>
      </c>
      <c r="K203" s="1177" t="s">
        <v>676</v>
      </c>
      <c r="L203" s="1178" t="s">
        <v>677</v>
      </c>
      <c r="M203" s="1179">
        <f>19600000-4900000</f>
        <v>14700000</v>
      </c>
      <c r="N203" s="1386" t="s">
        <v>785</v>
      </c>
      <c r="O203" s="1174" t="s">
        <v>780</v>
      </c>
      <c r="P203" s="1207" t="s">
        <v>680</v>
      </c>
      <c r="Q203" s="1163"/>
      <c r="R203" s="1269">
        <v>14700000</v>
      </c>
      <c r="S203" s="1357">
        <v>14700000</v>
      </c>
      <c r="T203" s="1357">
        <f>+Tabla16[[#This Row],[CDPS A 31 JULIO 2022]]-Tabla16[[#This Row],[CDP]]</f>
        <v>0</v>
      </c>
      <c r="U203" s="1357">
        <v>14700000</v>
      </c>
      <c r="V203" s="1357">
        <v>10698333</v>
      </c>
      <c r="W203" s="1357"/>
    </row>
    <row r="204" spans="1:23" s="1207" customFormat="1" ht="105" x14ac:dyDescent="0.2">
      <c r="A204" s="1355">
        <v>2022160</v>
      </c>
      <c r="B204" s="1172">
        <v>7655</v>
      </c>
      <c r="C204" s="1356" t="s">
        <v>670</v>
      </c>
      <c r="D204" s="1190" t="s">
        <v>697</v>
      </c>
      <c r="E204" s="1174">
        <v>80111600</v>
      </c>
      <c r="F204" s="1389" t="s">
        <v>868</v>
      </c>
      <c r="G204" s="1390">
        <v>44562</v>
      </c>
      <c r="H204" s="1390">
        <v>44592</v>
      </c>
      <c r="I204" s="1176">
        <v>11</v>
      </c>
      <c r="J204" s="1176" t="s">
        <v>675</v>
      </c>
      <c r="K204" s="1177" t="s">
        <v>676</v>
      </c>
      <c r="L204" s="1178" t="s">
        <v>677</v>
      </c>
      <c r="M204" s="1179">
        <v>31306000</v>
      </c>
      <c r="N204" s="1386" t="s">
        <v>785</v>
      </c>
      <c r="O204" s="1174" t="s">
        <v>780</v>
      </c>
      <c r="P204" s="1207" t="s">
        <v>680</v>
      </c>
      <c r="Q204" s="1163"/>
      <c r="R204" s="1269">
        <v>31306000</v>
      </c>
      <c r="S204" s="1357">
        <v>31306000</v>
      </c>
      <c r="T204" s="1357">
        <f>+Tabla16[[#This Row],[CDPS A 31 JULIO 2022]]-Tabla16[[#This Row],[CDP]]</f>
        <v>0</v>
      </c>
      <c r="U204" s="1357">
        <v>31306000</v>
      </c>
      <c r="V204" s="1357">
        <v>12048067</v>
      </c>
      <c r="W204" s="1357"/>
    </row>
    <row r="205" spans="1:23" s="1207" customFormat="1" ht="105" x14ac:dyDescent="0.2">
      <c r="A205" s="1355">
        <v>2022161</v>
      </c>
      <c r="B205" s="1172">
        <v>7655</v>
      </c>
      <c r="C205" s="1356" t="s">
        <v>670</v>
      </c>
      <c r="D205" s="1190" t="s">
        <v>697</v>
      </c>
      <c r="E205" s="1174">
        <v>80111600</v>
      </c>
      <c r="F205" s="1389" t="s">
        <v>869</v>
      </c>
      <c r="G205" s="1390">
        <v>44562</v>
      </c>
      <c r="H205" s="1390">
        <v>44592</v>
      </c>
      <c r="I205" s="1176">
        <v>8</v>
      </c>
      <c r="J205" s="1176" t="s">
        <v>675</v>
      </c>
      <c r="K205" s="1177" t="s">
        <v>676</v>
      </c>
      <c r="L205" s="1178" t="s">
        <v>677</v>
      </c>
      <c r="M205" s="1179">
        <v>34776000</v>
      </c>
      <c r="N205" s="1386" t="s">
        <v>785</v>
      </c>
      <c r="O205" s="1174" t="s">
        <v>780</v>
      </c>
      <c r="P205" s="1207" t="s">
        <v>680</v>
      </c>
      <c r="Q205" s="1163"/>
      <c r="R205" s="1269">
        <v>34776000</v>
      </c>
      <c r="S205" s="1357">
        <v>34776000</v>
      </c>
      <c r="T205" s="1357">
        <f>+Tabla16[[#This Row],[CDPS A 31 JULIO 2022]]-Tabla16[[#This Row],[CDP]]</f>
        <v>0</v>
      </c>
      <c r="U205" s="1357">
        <v>34776000</v>
      </c>
      <c r="V205" s="1357">
        <v>18402300</v>
      </c>
      <c r="W205" s="1357"/>
    </row>
    <row r="206" spans="1:23" s="1207" customFormat="1" ht="105" x14ac:dyDescent="0.2">
      <c r="A206" s="1355">
        <v>2022162</v>
      </c>
      <c r="B206" s="1172">
        <v>7655</v>
      </c>
      <c r="C206" s="1356" t="s">
        <v>670</v>
      </c>
      <c r="D206" s="1190" t="s">
        <v>697</v>
      </c>
      <c r="E206" s="1174">
        <v>80111600</v>
      </c>
      <c r="F206" s="1389" t="s">
        <v>870</v>
      </c>
      <c r="G206" s="1390">
        <v>44562</v>
      </c>
      <c r="H206" s="1390">
        <v>44592</v>
      </c>
      <c r="I206" s="1176">
        <v>8</v>
      </c>
      <c r="J206" s="1176" t="s">
        <v>675</v>
      </c>
      <c r="K206" s="1177" t="s">
        <v>676</v>
      </c>
      <c r="L206" s="1178" t="s">
        <v>677</v>
      </c>
      <c r="M206" s="1179">
        <f>34776000-4347000</f>
        <v>30429000</v>
      </c>
      <c r="N206" s="1386" t="s">
        <v>785</v>
      </c>
      <c r="O206" s="1174" t="s">
        <v>780</v>
      </c>
      <c r="P206" s="1207" t="s">
        <v>680</v>
      </c>
      <c r="Q206" s="1163"/>
      <c r="R206" s="1269">
        <v>30429000</v>
      </c>
      <c r="S206" s="1357">
        <v>30429000</v>
      </c>
      <c r="T206" s="1357">
        <f>+Tabla16[[#This Row],[CDPS A 31 JULIO 2022]]-Tabla16[[#This Row],[CDP]]</f>
        <v>0</v>
      </c>
      <c r="U206" s="1357">
        <v>30429000</v>
      </c>
      <c r="V206" s="1357">
        <v>18981900</v>
      </c>
      <c r="W206" s="1357"/>
    </row>
    <row r="207" spans="1:23" s="1207" customFormat="1" ht="105" x14ac:dyDescent="0.2">
      <c r="A207" s="1355">
        <v>2022163</v>
      </c>
      <c r="B207" s="1172">
        <v>7655</v>
      </c>
      <c r="C207" s="1356" t="s">
        <v>670</v>
      </c>
      <c r="D207" s="1190" t="s">
        <v>697</v>
      </c>
      <c r="E207" s="1174">
        <v>80111600</v>
      </c>
      <c r="F207" s="1389" t="s">
        <v>871</v>
      </c>
      <c r="G207" s="1390">
        <v>44562</v>
      </c>
      <c r="H207" s="1390">
        <v>44592</v>
      </c>
      <c r="I207" s="1176">
        <v>11</v>
      </c>
      <c r="J207" s="1176" t="s">
        <v>675</v>
      </c>
      <c r="K207" s="1177" t="s">
        <v>676</v>
      </c>
      <c r="L207" s="1178" t="s">
        <v>677</v>
      </c>
      <c r="M207" s="1179">
        <v>36850000</v>
      </c>
      <c r="N207" s="1386" t="s">
        <v>785</v>
      </c>
      <c r="O207" s="1174" t="s">
        <v>780</v>
      </c>
      <c r="P207" s="1207" t="s">
        <v>680</v>
      </c>
      <c r="Q207" s="1163"/>
      <c r="R207" s="1269">
        <v>21735000</v>
      </c>
      <c r="S207" s="1357">
        <v>21735000</v>
      </c>
      <c r="T207" s="1357">
        <f>+Tabla16[[#This Row],[CDPS A 31 JULIO 2022]]-Tabla16[[#This Row],[CDP]]</f>
        <v>0</v>
      </c>
      <c r="U207" s="1357">
        <v>21735000</v>
      </c>
      <c r="V207" s="1357">
        <v>13558500</v>
      </c>
      <c r="W207" s="1357"/>
    </row>
    <row r="208" spans="1:23" s="1207" customFormat="1" ht="105" x14ac:dyDescent="0.2">
      <c r="A208" s="1355">
        <v>2022164</v>
      </c>
      <c r="B208" s="1172">
        <v>7655</v>
      </c>
      <c r="C208" s="1356" t="s">
        <v>670</v>
      </c>
      <c r="D208" s="1190" t="s">
        <v>697</v>
      </c>
      <c r="E208" s="1174">
        <v>80111600</v>
      </c>
      <c r="F208" s="1389" t="s">
        <v>872</v>
      </c>
      <c r="G208" s="1390">
        <v>44562</v>
      </c>
      <c r="H208" s="1390">
        <v>44592</v>
      </c>
      <c r="I208" s="1176">
        <v>7</v>
      </c>
      <c r="J208" s="1176" t="s">
        <v>675</v>
      </c>
      <c r="K208" s="1177" t="s">
        <v>676</v>
      </c>
      <c r="L208" s="1178" t="s">
        <v>677</v>
      </c>
      <c r="M208" s="1179">
        <f>26950000-2100000</f>
        <v>24850000</v>
      </c>
      <c r="N208" s="1386" t="s">
        <v>785</v>
      </c>
      <c r="O208" s="1174" t="s">
        <v>780</v>
      </c>
      <c r="P208" s="1207" t="s">
        <v>680</v>
      </c>
      <c r="Q208" s="1163"/>
      <c r="R208" s="1269">
        <v>24850000</v>
      </c>
      <c r="S208" s="1357">
        <v>24850000</v>
      </c>
      <c r="T208" s="1357">
        <f>+Tabla16[[#This Row],[CDPS A 31 JULIO 2022]]-Tabla16[[#This Row],[CDP]]</f>
        <v>0</v>
      </c>
      <c r="U208" s="1357">
        <v>24850000</v>
      </c>
      <c r="V208" s="1357">
        <v>15383333</v>
      </c>
      <c r="W208" s="1357"/>
    </row>
    <row r="209" spans="1:23" s="1207" customFormat="1" ht="105" x14ac:dyDescent="0.2">
      <c r="A209" s="1355">
        <v>2022165</v>
      </c>
      <c r="B209" s="1172">
        <v>7655</v>
      </c>
      <c r="C209" s="1356" t="s">
        <v>670</v>
      </c>
      <c r="D209" s="1190" t="s">
        <v>697</v>
      </c>
      <c r="E209" s="1174">
        <v>80111600</v>
      </c>
      <c r="F209" s="1389" t="s">
        <v>873</v>
      </c>
      <c r="G209" s="1390">
        <v>44562</v>
      </c>
      <c r="H209" s="1390">
        <v>44592</v>
      </c>
      <c r="I209" s="1176">
        <v>8</v>
      </c>
      <c r="J209" s="1176" t="s">
        <v>675</v>
      </c>
      <c r="K209" s="1177" t="s">
        <v>676</v>
      </c>
      <c r="L209" s="1178" t="s">
        <v>677</v>
      </c>
      <c r="M209" s="1179">
        <v>41400000</v>
      </c>
      <c r="N209" s="1386" t="s">
        <v>785</v>
      </c>
      <c r="O209" s="1174" t="s">
        <v>780</v>
      </c>
      <c r="P209" s="1207" t="s">
        <v>680</v>
      </c>
      <c r="Q209" s="1163"/>
      <c r="R209" s="1269">
        <v>41400000</v>
      </c>
      <c r="S209" s="1357">
        <v>41400000</v>
      </c>
      <c r="T209" s="1357">
        <f>+Tabla16[[#This Row],[CDPS A 31 JULIO 2022]]-Tabla16[[#This Row],[CDP]]</f>
        <v>0</v>
      </c>
      <c r="U209" s="1357">
        <v>41400000</v>
      </c>
      <c r="V209" s="1357">
        <v>22597500</v>
      </c>
      <c r="W209" s="1357"/>
    </row>
    <row r="210" spans="1:23" s="1207" customFormat="1" ht="105" x14ac:dyDescent="0.2">
      <c r="A210" s="1355">
        <v>2022166</v>
      </c>
      <c r="B210" s="1172">
        <v>7655</v>
      </c>
      <c r="C210" s="1356" t="s">
        <v>670</v>
      </c>
      <c r="D210" s="1190" t="s">
        <v>697</v>
      </c>
      <c r="E210" s="1174">
        <v>80111600</v>
      </c>
      <c r="F210" s="1389" t="s">
        <v>874</v>
      </c>
      <c r="G210" s="1390">
        <v>44562</v>
      </c>
      <c r="H210" s="1390">
        <v>44592</v>
      </c>
      <c r="I210" s="1176">
        <v>8</v>
      </c>
      <c r="J210" s="1176" t="s">
        <v>675</v>
      </c>
      <c r="K210" s="1177" t="s">
        <v>676</v>
      </c>
      <c r="L210" s="1178" t="s">
        <v>677</v>
      </c>
      <c r="M210" s="1179">
        <f>41400000-13282500</f>
        <v>28117500</v>
      </c>
      <c r="N210" s="1386" t="s">
        <v>785</v>
      </c>
      <c r="O210" s="1174" t="s">
        <v>780</v>
      </c>
      <c r="P210" s="1207" t="s">
        <v>680</v>
      </c>
      <c r="Q210" s="1163"/>
      <c r="R210" s="1269">
        <v>36225000</v>
      </c>
      <c r="S210" s="1357">
        <v>36225000</v>
      </c>
      <c r="T210" s="1357">
        <f>+Tabla16[[#This Row],[CDPS A 31 JULIO 2022]]-Tabla16[[#This Row],[CDP]]</f>
        <v>0</v>
      </c>
      <c r="U210" s="1357">
        <v>36225000</v>
      </c>
      <c r="V210" s="1357">
        <v>22942500</v>
      </c>
      <c r="W210" s="1357"/>
    </row>
    <row r="211" spans="1:23" s="1207" customFormat="1" ht="105" x14ac:dyDescent="0.2">
      <c r="A211" s="1355">
        <v>2022167</v>
      </c>
      <c r="B211" s="1172">
        <v>7655</v>
      </c>
      <c r="C211" s="1356" t="s">
        <v>670</v>
      </c>
      <c r="D211" s="1190" t="s">
        <v>697</v>
      </c>
      <c r="E211" s="1174">
        <v>80111600</v>
      </c>
      <c r="F211" s="1389" t="s">
        <v>875</v>
      </c>
      <c r="G211" s="1390">
        <v>44562</v>
      </c>
      <c r="H211" s="1390">
        <v>44592</v>
      </c>
      <c r="I211" s="1176">
        <v>11</v>
      </c>
      <c r="J211" s="1176" t="s">
        <v>675</v>
      </c>
      <c r="K211" s="1177" t="s">
        <v>676</v>
      </c>
      <c r="L211" s="1178" t="s">
        <v>677</v>
      </c>
      <c r="M211" s="1179">
        <v>80036000</v>
      </c>
      <c r="N211" s="1386" t="s">
        <v>785</v>
      </c>
      <c r="O211" s="1174" t="s">
        <v>780</v>
      </c>
      <c r="P211" s="1207" t="s">
        <v>680</v>
      </c>
      <c r="Q211" s="1163"/>
      <c r="R211" s="1269">
        <v>80036000</v>
      </c>
      <c r="S211" s="1357">
        <v>80036000</v>
      </c>
      <c r="T211" s="1357">
        <f>+Tabla16[[#This Row],[CDPS A 31 JULIO 2022]]-Tabla16[[#This Row],[CDP]]</f>
        <v>0</v>
      </c>
      <c r="U211" s="1357">
        <v>80036000</v>
      </c>
      <c r="V211" s="1357">
        <v>32499467</v>
      </c>
      <c r="W211" s="1357"/>
    </row>
    <row r="212" spans="1:23" s="1207" customFormat="1" ht="105" x14ac:dyDescent="0.2">
      <c r="A212" s="1355">
        <v>2022168</v>
      </c>
      <c r="B212" s="1172">
        <v>7655</v>
      </c>
      <c r="C212" s="1356" t="s">
        <v>670</v>
      </c>
      <c r="D212" s="1190" t="s">
        <v>697</v>
      </c>
      <c r="E212" s="1174">
        <v>80111600</v>
      </c>
      <c r="F212" s="1389" t="s">
        <v>873</v>
      </c>
      <c r="G212" s="1390">
        <v>44562</v>
      </c>
      <c r="H212" s="1390">
        <v>44592</v>
      </c>
      <c r="I212" s="1176">
        <v>10</v>
      </c>
      <c r="J212" s="1176" t="s">
        <v>675</v>
      </c>
      <c r="K212" s="1177" t="s">
        <v>676</v>
      </c>
      <c r="L212" s="1178" t="s">
        <v>677</v>
      </c>
      <c r="M212" s="1179">
        <v>60000000</v>
      </c>
      <c r="N212" s="1386" t="s">
        <v>785</v>
      </c>
      <c r="O212" s="1174" t="s">
        <v>780</v>
      </c>
      <c r="P212" s="1207" t="s">
        <v>680</v>
      </c>
      <c r="Q212" s="1163"/>
      <c r="R212" s="1269">
        <v>60000000</v>
      </c>
      <c r="S212" s="1357">
        <v>60000000</v>
      </c>
      <c r="T212" s="1357">
        <f>+Tabla16[[#This Row],[CDPS A 31 JULIO 2022]]-Tabla16[[#This Row],[CDP]]</f>
        <v>0</v>
      </c>
      <c r="U212" s="1357">
        <v>60000000</v>
      </c>
      <c r="V212" s="1357">
        <v>25400000</v>
      </c>
      <c r="W212" s="1357"/>
    </row>
    <row r="213" spans="1:23" s="1207" customFormat="1" ht="105" x14ac:dyDescent="0.2">
      <c r="A213" s="1355">
        <v>2022169</v>
      </c>
      <c r="B213" s="1172">
        <v>7655</v>
      </c>
      <c r="C213" s="1356" t="s">
        <v>670</v>
      </c>
      <c r="D213" s="1190" t="s">
        <v>697</v>
      </c>
      <c r="E213" s="1174">
        <v>80111600</v>
      </c>
      <c r="F213" s="1389" t="s">
        <v>871</v>
      </c>
      <c r="G213" s="1390">
        <v>44562</v>
      </c>
      <c r="H213" s="1390">
        <v>44592</v>
      </c>
      <c r="I213" s="1176">
        <v>11</v>
      </c>
      <c r="J213" s="1176" t="s">
        <v>675</v>
      </c>
      <c r="K213" s="1177" t="s">
        <v>676</v>
      </c>
      <c r="L213" s="1178" t="s">
        <v>677</v>
      </c>
      <c r="M213" s="1179">
        <f>34155000-11385000-1035000</f>
        <v>21735000</v>
      </c>
      <c r="N213" s="1386" t="s">
        <v>785</v>
      </c>
      <c r="O213" s="1174" t="s">
        <v>780</v>
      </c>
      <c r="P213" s="1207" t="s">
        <v>680</v>
      </c>
      <c r="Q213" s="1163"/>
      <c r="R213" s="1269">
        <v>36850000</v>
      </c>
      <c r="S213" s="1357">
        <v>36850000</v>
      </c>
      <c r="T213" s="1357">
        <f>+Tabla16[[#This Row],[CDPS A 31 JULIO 2022]]-Tabla16[[#This Row],[CDP]]</f>
        <v>0</v>
      </c>
      <c r="U213" s="1357">
        <v>36850000</v>
      </c>
      <c r="V213" s="1357">
        <v>14181667</v>
      </c>
      <c r="W213" s="1357"/>
    </row>
    <row r="214" spans="1:23" s="1207" customFormat="1" ht="105" x14ac:dyDescent="0.2">
      <c r="A214" s="1355">
        <v>2022170</v>
      </c>
      <c r="B214" s="1172">
        <v>7655</v>
      </c>
      <c r="C214" s="1356" t="s">
        <v>670</v>
      </c>
      <c r="D214" s="1190" t="s">
        <v>697</v>
      </c>
      <c r="E214" s="1174">
        <v>80111600</v>
      </c>
      <c r="F214" s="1389" t="s">
        <v>874</v>
      </c>
      <c r="G214" s="1390">
        <v>44562</v>
      </c>
      <c r="H214" s="1390">
        <v>44592</v>
      </c>
      <c r="I214" s="1176">
        <v>6</v>
      </c>
      <c r="J214" s="1176" t="s">
        <v>675</v>
      </c>
      <c r="K214" s="1177" t="s">
        <v>676</v>
      </c>
      <c r="L214" s="1178" t="s">
        <v>677</v>
      </c>
      <c r="M214" s="1179">
        <v>26082000</v>
      </c>
      <c r="N214" s="1386" t="s">
        <v>785</v>
      </c>
      <c r="O214" s="1174" t="s">
        <v>780</v>
      </c>
      <c r="P214" s="1207" t="s">
        <v>680</v>
      </c>
      <c r="Q214" s="1163"/>
      <c r="R214" s="1269">
        <v>26082000</v>
      </c>
      <c r="S214" s="1357">
        <v>26082000</v>
      </c>
      <c r="T214" s="1357">
        <f>+Tabla16[[#This Row],[CDPS A 31 JULIO 2022]]-Tabla16[[#This Row],[CDP]]</f>
        <v>0</v>
      </c>
      <c r="U214" s="1357">
        <v>26082000</v>
      </c>
      <c r="V214" s="1357">
        <v>18257400</v>
      </c>
      <c r="W214" s="1357"/>
    </row>
    <row r="215" spans="1:23" s="1207" customFormat="1" ht="105" x14ac:dyDescent="0.2">
      <c r="A215" s="1355">
        <v>2022171</v>
      </c>
      <c r="B215" s="1172">
        <v>7655</v>
      </c>
      <c r="C215" s="1356" t="s">
        <v>670</v>
      </c>
      <c r="D215" s="1190" t="s">
        <v>697</v>
      </c>
      <c r="E215" s="1174">
        <v>80111600</v>
      </c>
      <c r="F215" s="1389" t="s">
        <v>876</v>
      </c>
      <c r="G215" s="1390">
        <v>44562</v>
      </c>
      <c r="H215" s="1390">
        <v>44592</v>
      </c>
      <c r="I215" s="1176">
        <v>7</v>
      </c>
      <c r="J215" s="1176" t="s">
        <v>675</v>
      </c>
      <c r="K215" s="1177" t="s">
        <v>676</v>
      </c>
      <c r="L215" s="1178" t="s">
        <v>677</v>
      </c>
      <c r="M215" s="1179">
        <v>36225000</v>
      </c>
      <c r="N215" s="1386" t="s">
        <v>785</v>
      </c>
      <c r="O215" s="1174" t="s">
        <v>780</v>
      </c>
      <c r="P215" s="1207" t="s">
        <v>680</v>
      </c>
      <c r="Q215" s="1163"/>
      <c r="R215" s="1269">
        <v>36225000</v>
      </c>
      <c r="S215" s="1357">
        <v>36225000</v>
      </c>
      <c r="T215" s="1357">
        <f>+Tabla16[[#This Row],[CDPS A 31 JULIO 2022]]-Tabla16[[#This Row],[CDP]]</f>
        <v>0</v>
      </c>
      <c r="U215" s="1357">
        <v>36225000</v>
      </c>
      <c r="V215" s="1357">
        <v>18975000</v>
      </c>
      <c r="W215" s="1357"/>
    </row>
    <row r="216" spans="1:23" s="1207" customFormat="1" ht="105" x14ac:dyDescent="0.2">
      <c r="A216" s="1355">
        <v>2022172</v>
      </c>
      <c r="B216" s="1172">
        <v>7655</v>
      </c>
      <c r="C216" s="1356" t="s">
        <v>670</v>
      </c>
      <c r="D216" s="1190" t="s">
        <v>697</v>
      </c>
      <c r="E216" s="1174">
        <v>80111600</v>
      </c>
      <c r="F216" s="1389" t="s">
        <v>873</v>
      </c>
      <c r="G216" s="1390">
        <v>44562</v>
      </c>
      <c r="H216" s="1390">
        <v>44592</v>
      </c>
      <c r="I216" s="1176">
        <v>7</v>
      </c>
      <c r="J216" s="1176" t="s">
        <v>675</v>
      </c>
      <c r="K216" s="1177" t="s">
        <v>676</v>
      </c>
      <c r="L216" s="1178" t="s">
        <v>677</v>
      </c>
      <c r="M216" s="1179">
        <v>36225000</v>
      </c>
      <c r="N216" s="1386" t="s">
        <v>785</v>
      </c>
      <c r="O216" s="1174" t="s">
        <v>780</v>
      </c>
      <c r="P216" s="1207" t="s">
        <v>680</v>
      </c>
      <c r="Q216" s="1163"/>
      <c r="R216" s="1269">
        <v>36225000</v>
      </c>
      <c r="S216" s="1357">
        <v>36225000</v>
      </c>
      <c r="T216" s="1357">
        <f>+Tabla16[[#This Row],[CDPS A 31 JULIO 2022]]-Tabla16[[#This Row],[CDP]]</f>
        <v>0</v>
      </c>
      <c r="U216" s="1357">
        <v>36225000</v>
      </c>
      <c r="V216" s="1357">
        <v>20700000</v>
      </c>
      <c r="W216" s="1357"/>
    </row>
    <row r="217" spans="1:23" s="1207" customFormat="1" ht="105" x14ac:dyDescent="0.2">
      <c r="A217" s="1355">
        <v>2022173</v>
      </c>
      <c r="B217" s="1172">
        <v>7655</v>
      </c>
      <c r="C217" s="1356" t="s">
        <v>670</v>
      </c>
      <c r="D217" s="1190" t="s">
        <v>697</v>
      </c>
      <c r="E217" s="1174">
        <v>80111600</v>
      </c>
      <c r="F217" s="1389" t="s">
        <v>877</v>
      </c>
      <c r="G217" s="1390">
        <v>44562</v>
      </c>
      <c r="H217" s="1390">
        <v>44592</v>
      </c>
      <c r="I217" s="1176">
        <v>6</v>
      </c>
      <c r="J217" s="1176" t="s">
        <v>675</v>
      </c>
      <c r="K217" s="1177" t="s">
        <v>676</v>
      </c>
      <c r="L217" s="1178" t="s">
        <v>677</v>
      </c>
      <c r="M217" s="1179">
        <f>12000000-1800000</f>
        <v>10200000</v>
      </c>
      <c r="N217" s="1386" t="s">
        <v>785</v>
      </c>
      <c r="O217" s="1174" t="s">
        <v>780</v>
      </c>
      <c r="P217" s="1207" t="s">
        <v>680</v>
      </c>
      <c r="Q217" s="1163"/>
      <c r="R217" s="1269">
        <v>10200000</v>
      </c>
      <c r="S217" s="1357">
        <v>10200000</v>
      </c>
      <c r="T217" s="1357">
        <f>+Tabla16[[#This Row],[CDPS A 31 JULIO 2022]]-Tabla16[[#This Row],[CDP]]</f>
        <v>0</v>
      </c>
      <c r="U217" s="1357">
        <v>10200000</v>
      </c>
      <c r="V217" s="1357">
        <v>6800000</v>
      </c>
      <c r="W217" s="1357"/>
    </row>
    <row r="218" spans="1:23" s="1207" customFormat="1" ht="105" x14ac:dyDescent="0.2">
      <c r="A218" s="1355">
        <v>2022175</v>
      </c>
      <c r="B218" s="1172">
        <v>7655</v>
      </c>
      <c r="C218" s="1356" t="s">
        <v>670</v>
      </c>
      <c r="D218" s="1190" t="s">
        <v>703</v>
      </c>
      <c r="E218" s="1174">
        <v>80111600</v>
      </c>
      <c r="F218" s="1389" t="s">
        <v>879</v>
      </c>
      <c r="G218" s="1390">
        <v>44747</v>
      </c>
      <c r="H218" s="1390">
        <v>44774</v>
      </c>
      <c r="I218" s="1176">
        <v>6</v>
      </c>
      <c r="J218" s="1176" t="s">
        <v>675</v>
      </c>
      <c r="K218" s="1177" t="s">
        <v>676</v>
      </c>
      <c r="L218" s="1178" t="s">
        <v>677</v>
      </c>
      <c r="M218" s="1179">
        <f>1000000000-61500000</f>
        <v>938500000</v>
      </c>
      <c r="N218" s="1386" t="s">
        <v>792</v>
      </c>
      <c r="O218" s="1174" t="s">
        <v>780</v>
      </c>
      <c r="P218" s="1207" t="s">
        <v>680</v>
      </c>
      <c r="Q218" s="1163"/>
      <c r="R218" s="1269">
        <v>0</v>
      </c>
      <c r="S218" s="1357"/>
      <c r="T218" s="1357">
        <f>+Tabla16[[#This Row],[CDPS A 31 JULIO 2022]]-Tabla16[[#This Row],[CDP]]</f>
        <v>0</v>
      </c>
      <c r="U218" s="1357"/>
      <c r="V218" s="1357"/>
      <c r="W218" s="1357"/>
    </row>
    <row r="219" spans="1:23" s="1207" customFormat="1" ht="105" x14ac:dyDescent="0.2">
      <c r="A219" s="1355">
        <v>2022176</v>
      </c>
      <c r="B219" s="1172">
        <v>7655</v>
      </c>
      <c r="C219" s="1356" t="s">
        <v>670</v>
      </c>
      <c r="D219" s="1190" t="s">
        <v>703</v>
      </c>
      <c r="E219" s="1174">
        <v>80111600</v>
      </c>
      <c r="F219" s="1389" t="s">
        <v>880</v>
      </c>
      <c r="G219" s="1390">
        <v>44747</v>
      </c>
      <c r="H219" s="1390">
        <v>44762</v>
      </c>
      <c r="I219" s="1176">
        <v>5.5</v>
      </c>
      <c r="J219" s="1176" t="s">
        <v>675</v>
      </c>
      <c r="K219" s="1177" t="s">
        <v>676</v>
      </c>
      <c r="L219" s="1178" t="s">
        <v>677</v>
      </c>
      <c r="M219" s="1179">
        <f>80500000-42000000+900000+900000+900000+900000+825000+825000+825000+825000+825000+750000+750000+1836000+1200000+1485000+28254000-33075000-8925000-38500000</f>
        <v>0</v>
      </c>
      <c r="N219" s="1391" t="s">
        <v>792</v>
      </c>
      <c r="O219" s="1174" t="s">
        <v>780</v>
      </c>
      <c r="P219" s="1392" t="s">
        <v>680</v>
      </c>
      <c r="Q219" s="1163"/>
      <c r="R219" s="1269">
        <v>38500000</v>
      </c>
      <c r="S219" s="1357"/>
      <c r="T219" s="1357">
        <f>+Tabla16[[#This Row],[CDPS A 31 JULIO 2022]]-Tabla16[[#This Row],[CDP]]</f>
        <v>38500000</v>
      </c>
      <c r="U219" s="1357"/>
      <c r="V219" s="1357"/>
      <c r="W219" s="1357"/>
    </row>
    <row r="220" spans="1:23" s="1207" customFormat="1" ht="105" x14ac:dyDescent="0.2">
      <c r="A220" s="1355">
        <v>2022177</v>
      </c>
      <c r="B220" s="1172">
        <v>7655</v>
      </c>
      <c r="C220" s="1356" t="s">
        <v>670</v>
      </c>
      <c r="D220" s="1190" t="s">
        <v>700</v>
      </c>
      <c r="E220" s="1174">
        <v>80111600</v>
      </c>
      <c r="F220" s="1389" t="s">
        <v>881</v>
      </c>
      <c r="G220" s="1390">
        <v>44562</v>
      </c>
      <c r="H220" s="1390">
        <v>44620</v>
      </c>
      <c r="I220" s="1176">
        <v>11</v>
      </c>
      <c r="J220" s="1176" t="s">
        <v>675</v>
      </c>
      <c r="K220" s="1177" t="s">
        <v>676</v>
      </c>
      <c r="L220" s="1178" t="s">
        <v>677</v>
      </c>
      <c r="M220" s="1179">
        <v>80000000</v>
      </c>
      <c r="N220" s="1386" t="s">
        <v>785</v>
      </c>
      <c r="O220" s="1174" t="s">
        <v>780</v>
      </c>
      <c r="P220" s="1207" t="s">
        <v>680</v>
      </c>
      <c r="Q220" s="1163"/>
      <c r="R220" s="1269">
        <v>62700000</v>
      </c>
      <c r="S220" s="1357">
        <v>62700000</v>
      </c>
      <c r="T220" s="1357">
        <f>+Tabla16[[#This Row],[CDPS A 31 JULIO 2022]]-Tabla16[[#This Row],[CDP]]</f>
        <v>0</v>
      </c>
      <c r="U220" s="1357">
        <v>62700000</v>
      </c>
      <c r="V220" s="1357">
        <v>22990000</v>
      </c>
      <c r="W220" s="1357"/>
    </row>
    <row r="221" spans="1:23" s="1207" customFormat="1" ht="105" x14ac:dyDescent="0.2">
      <c r="A221" s="1355">
        <v>2022178</v>
      </c>
      <c r="B221" s="1172">
        <v>7655</v>
      </c>
      <c r="C221" s="1356" t="s">
        <v>670</v>
      </c>
      <c r="D221" s="1190" t="s">
        <v>694</v>
      </c>
      <c r="E221" s="1174">
        <v>80111600</v>
      </c>
      <c r="F221" s="1389" t="s">
        <v>882</v>
      </c>
      <c r="G221" s="1390">
        <v>44562</v>
      </c>
      <c r="H221" s="1390">
        <v>44620</v>
      </c>
      <c r="I221" s="1176">
        <v>10</v>
      </c>
      <c r="J221" s="1176" t="s">
        <v>675</v>
      </c>
      <c r="K221" s="1177" t="s">
        <v>676</v>
      </c>
      <c r="L221" s="1178" t="s">
        <v>677</v>
      </c>
      <c r="M221" s="1179">
        <f>80000000+10000000</f>
        <v>90000000</v>
      </c>
      <c r="N221" s="1386" t="s">
        <v>785</v>
      </c>
      <c r="O221" s="1174" t="s">
        <v>780</v>
      </c>
      <c r="P221" s="1207" t="s">
        <v>680</v>
      </c>
      <c r="Q221" s="1163"/>
      <c r="R221" s="1269">
        <v>80000000</v>
      </c>
      <c r="S221" s="1357">
        <v>80000000</v>
      </c>
      <c r="T221" s="1357">
        <f>+Tabla16[[#This Row],[CDPS A 31 JULIO 2022]]-Tabla16[[#This Row],[CDP]]</f>
        <v>0</v>
      </c>
      <c r="U221" s="1357">
        <v>80000000</v>
      </c>
      <c r="V221" s="1357">
        <v>35733333</v>
      </c>
      <c r="W221" s="1357"/>
    </row>
    <row r="222" spans="1:23" s="1207" customFormat="1" ht="105" x14ac:dyDescent="0.2">
      <c r="A222" s="1355">
        <v>2022179</v>
      </c>
      <c r="B222" s="1172">
        <v>7655</v>
      </c>
      <c r="C222" s="1356" t="s">
        <v>670</v>
      </c>
      <c r="D222" s="1190" t="s">
        <v>688</v>
      </c>
      <c r="E222" s="1174">
        <v>80111600</v>
      </c>
      <c r="F222" s="1389" t="s">
        <v>883</v>
      </c>
      <c r="G222" s="1390">
        <v>44562</v>
      </c>
      <c r="H222" s="1390">
        <v>44592</v>
      </c>
      <c r="I222" s="1176">
        <v>12</v>
      </c>
      <c r="J222" s="1176" t="s">
        <v>675</v>
      </c>
      <c r="K222" s="1177" t="s">
        <v>676</v>
      </c>
      <c r="L222" s="1178" t="s">
        <v>677</v>
      </c>
      <c r="M222" s="1179">
        <f>39371000-13123664</f>
        <v>26247336</v>
      </c>
      <c r="N222" s="1386" t="s">
        <v>785</v>
      </c>
      <c r="O222" s="1174" t="s">
        <v>780</v>
      </c>
      <c r="P222" s="1207" t="s">
        <v>680</v>
      </c>
      <c r="Q222" s="1163"/>
      <c r="R222" s="1269">
        <v>26247328</v>
      </c>
      <c r="S222" s="1357">
        <v>26247328</v>
      </c>
      <c r="T222" s="1357">
        <f>+Tabla16[[#This Row],[CDPS A 31 JULIO 2022]]-Tabla16[[#This Row],[CDP]]</f>
        <v>0</v>
      </c>
      <c r="U222" s="1357">
        <v>26247328</v>
      </c>
      <c r="V222" s="1357">
        <v>14545394</v>
      </c>
      <c r="W222" s="1357"/>
    </row>
    <row r="223" spans="1:23" s="1207" customFormat="1" ht="105" x14ac:dyDescent="0.2">
      <c r="A223" s="1355">
        <v>2022180</v>
      </c>
      <c r="B223" s="1172">
        <v>7655</v>
      </c>
      <c r="C223" s="1356" t="s">
        <v>670</v>
      </c>
      <c r="D223" s="1190" t="s">
        <v>688</v>
      </c>
      <c r="E223" s="1174">
        <v>80111600</v>
      </c>
      <c r="F223" s="1389" t="s">
        <v>884</v>
      </c>
      <c r="G223" s="1390">
        <v>44562</v>
      </c>
      <c r="H223" s="1390">
        <v>44592</v>
      </c>
      <c r="I223" s="1176">
        <v>12</v>
      </c>
      <c r="J223" s="1176" t="s">
        <v>675</v>
      </c>
      <c r="K223" s="1177" t="s">
        <v>676</v>
      </c>
      <c r="L223" s="1178" t="s">
        <v>677</v>
      </c>
      <c r="M223" s="1179">
        <f>45697000-15232332</f>
        <v>30464668</v>
      </c>
      <c r="N223" s="1386" t="s">
        <v>785</v>
      </c>
      <c r="O223" s="1174" t="s">
        <v>780</v>
      </c>
      <c r="P223" s="1207" t="s">
        <v>680</v>
      </c>
      <c r="Q223" s="1163"/>
      <c r="R223" s="1269">
        <v>30464664</v>
      </c>
      <c r="S223" s="1357">
        <v>30464664</v>
      </c>
      <c r="T223" s="1357">
        <f>+Tabla16[[#This Row],[CDPS A 31 JULIO 2022]]-Tabla16[[#This Row],[CDP]]</f>
        <v>0</v>
      </c>
      <c r="U223" s="1357">
        <v>30464664</v>
      </c>
      <c r="V223" s="1357">
        <v>16882501</v>
      </c>
      <c r="W223" s="1357"/>
    </row>
    <row r="224" spans="1:23" s="1207" customFormat="1" ht="105" x14ac:dyDescent="0.2">
      <c r="A224" s="1355">
        <v>2022181</v>
      </c>
      <c r="B224" s="1172">
        <v>7655</v>
      </c>
      <c r="C224" s="1356" t="s">
        <v>670</v>
      </c>
      <c r="D224" s="1190" t="s">
        <v>688</v>
      </c>
      <c r="E224" s="1174">
        <v>80111600</v>
      </c>
      <c r="F224" s="1389" t="s">
        <v>884</v>
      </c>
      <c r="G224" s="1390">
        <v>44562</v>
      </c>
      <c r="H224" s="1390">
        <v>44592</v>
      </c>
      <c r="I224" s="1176">
        <v>12</v>
      </c>
      <c r="J224" s="1176" t="s">
        <v>675</v>
      </c>
      <c r="K224" s="1177" t="s">
        <v>676</v>
      </c>
      <c r="L224" s="1178" t="s">
        <v>677</v>
      </c>
      <c r="M224" s="1179">
        <f>79351000-26450332</f>
        <v>52900668</v>
      </c>
      <c r="N224" s="1386" t="s">
        <v>785</v>
      </c>
      <c r="O224" s="1174" t="s">
        <v>780</v>
      </c>
      <c r="P224" s="1207" t="s">
        <v>680</v>
      </c>
      <c r="Q224" s="1163"/>
      <c r="R224" s="1269">
        <v>52900664</v>
      </c>
      <c r="S224" s="1357">
        <v>52900664</v>
      </c>
      <c r="T224" s="1357">
        <f>+Tabla16[[#This Row],[CDPS A 31 JULIO 2022]]-Tabla16[[#This Row],[CDP]]</f>
        <v>0</v>
      </c>
      <c r="U224" s="1357">
        <v>52900664</v>
      </c>
      <c r="V224" s="1357">
        <v>29315785</v>
      </c>
      <c r="W224" s="1357"/>
    </row>
    <row r="225" spans="1:23" s="1207" customFormat="1" ht="105" x14ac:dyDescent="0.2">
      <c r="A225" s="1355">
        <v>2022182</v>
      </c>
      <c r="B225" s="1172">
        <v>7655</v>
      </c>
      <c r="C225" s="1356" t="s">
        <v>670</v>
      </c>
      <c r="D225" s="1190" t="s">
        <v>688</v>
      </c>
      <c r="E225" s="1174">
        <v>80111600</v>
      </c>
      <c r="F225" s="1389" t="s">
        <v>884</v>
      </c>
      <c r="G225" s="1390">
        <v>44562</v>
      </c>
      <c r="H225" s="1390">
        <v>44592</v>
      </c>
      <c r="I225" s="1176">
        <v>12</v>
      </c>
      <c r="J225" s="1176" t="s">
        <v>675</v>
      </c>
      <c r="K225" s="1177" t="s">
        <v>676</v>
      </c>
      <c r="L225" s="1178" t="s">
        <v>677</v>
      </c>
      <c r="M225" s="1179">
        <f>79351000-22482782</f>
        <v>56868218</v>
      </c>
      <c r="N225" s="1386" t="s">
        <v>785</v>
      </c>
      <c r="O225" s="1174" t="s">
        <v>780</v>
      </c>
      <c r="P225" s="1207" t="s">
        <v>680</v>
      </c>
      <c r="Q225" s="1163"/>
      <c r="R225" s="1269">
        <v>52900664</v>
      </c>
      <c r="S225" s="1357">
        <v>52900664</v>
      </c>
      <c r="T225" s="1357">
        <f>+Tabla16[[#This Row],[CDPS A 31 JULIO 2022]]-Tabla16[[#This Row],[CDP]]</f>
        <v>0</v>
      </c>
      <c r="U225" s="1357">
        <v>52900664</v>
      </c>
      <c r="V225" s="1357">
        <v>29315785</v>
      </c>
      <c r="W225" s="1357"/>
    </row>
    <row r="226" spans="1:23" s="1207" customFormat="1" ht="105" x14ac:dyDescent="0.2">
      <c r="A226" s="1355">
        <v>2022183</v>
      </c>
      <c r="B226" s="1172">
        <v>7655</v>
      </c>
      <c r="C226" s="1356" t="s">
        <v>670</v>
      </c>
      <c r="D226" s="1190" t="s">
        <v>688</v>
      </c>
      <c r="E226" s="1174">
        <v>80111600</v>
      </c>
      <c r="F226" s="1389" t="s">
        <v>884</v>
      </c>
      <c r="G226" s="1390">
        <v>44562</v>
      </c>
      <c r="H226" s="1390">
        <v>44592</v>
      </c>
      <c r="I226" s="1176">
        <v>12</v>
      </c>
      <c r="J226" s="1176" t="s">
        <v>675</v>
      </c>
      <c r="K226" s="1177" t="s">
        <v>676</v>
      </c>
      <c r="L226" s="1178" t="s">
        <v>677</v>
      </c>
      <c r="M226" s="1179">
        <f>79351000-26450332</f>
        <v>52900668</v>
      </c>
      <c r="N226" s="1386" t="s">
        <v>785</v>
      </c>
      <c r="O226" s="1174" t="s">
        <v>780</v>
      </c>
      <c r="P226" s="1207" t="s">
        <v>680</v>
      </c>
      <c r="Q226" s="1163"/>
      <c r="R226" s="1269">
        <v>52900664</v>
      </c>
      <c r="S226" s="1357">
        <v>52900664</v>
      </c>
      <c r="T226" s="1357">
        <f>+Tabla16[[#This Row],[CDPS A 31 JULIO 2022]]-Tabla16[[#This Row],[CDP]]</f>
        <v>0</v>
      </c>
      <c r="U226" s="1357">
        <v>52900664</v>
      </c>
      <c r="V226" s="1357">
        <v>29315785</v>
      </c>
      <c r="W226" s="1357"/>
    </row>
    <row r="227" spans="1:23" s="1207" customFormat="1" ht="105" x14ac:dyDescent="0.2">
      <c r="A227" s="1355">
        <v>2022184</v>
      </c>
      <c r="B227" s="1172">
        <v>7655</v>
      </c>
      <c r="C227" s="1356" t="s">
        <v>670</v>
      </c>
      <c r="D227" s="1190" t="s">
        <v>684</v>
      </c>
      <c r="E227" s="1174">
        <v>80111600</v>
      </c>
      <c r="F227" s="1389" t="s">
        <v>885</v>
      </c>
      <c r="G227" s="1390">
        <v>44566</v>
      </c>
      <c r="H227" s="1390">
        <v>44568</v>
      </c>
      <c r="I227" s="1176">
        <v>11.5</v>
      </c>
      <c r="J227" s="1176" t="s">
        <v>675</v>
      </c>
      <c r="K227" s="1177" t="s">
        <v>676</v>
      </c>
      <c r="L227" s="1178" t="s">
        <v>784</v>
      </c>
      <c r="M227" s="1179">
        <v>106950000</v>
      </c>
      <c r="N227" s="1386" t="s">
        <v>785</v>
      </c>
      <c r="O227" s="1174" t="s">
        <v>780</v>
      </c>
      <c r="P227" s="1207" t="s">
        <v>680</v>
      </c>
      <c r="Q227" s="1163"/>
      <c r="R227" s="1269">
        <v>106950000</v>
      </c>
      <c r="S227" s="1357">
        <v>106950000</v>
      </c>
      <c r="T227" s="1357">
        <f>+Tabla16[[#This Row],[CDPS A 31 JULIO 2022]]-Tabla16[[#This Row],[CDP]]</f>
        <v>0</v>
      </c>
      <c r="U227" s="1357">
        <v>106950000</v>
      </c>
      <c r="V227" s="1357">
        <v>43400000</v>
      </c>
      <c r="W227" s="1357"/>
    </row>
    <row r="228" spans="1:23" s="1207" customFormat="1" ht="105" x14ac:dyDescent="0.2">
      <c r="A228" s="1355">
        <v>2022185</v>
      </c>
      <c r="B228" s="1172">
        <v>7655</v>
      </c>
      <c r="C228" s="1356" t="s">
        <v>670</v>
      </c>
      <c r="D228" s="1190" t="s">
        <v>684</v>
      </c>
      <c r="E228" s="1174">
        <v>80111600</v>
      </c>
      <c r="F228" s="1389" t="s">
        <v>886</v>
      </c>
      <c r="G228" s="1390">
        <v>44566</v>
      </c>
      <c r="H228" s="1390">
        <v>44568</v>
      </c>
      <c r="I228" s="1176">
        <v>11.5</v>
      </c>
      <c r="J228" s="1176" t="s">
        <v>675</v>
      </c>
      <c r="K228" s="1177" t="s">
        <v>676</v>
      </c>
      <c r="L228" s="1178" t="s">
        <v>784</v>
      </c>
      <c r="M228" s="1179">
        <v>78200000</v>
      </c>
      <c r="N228" s="1386" t="s">
        <v>785</v>
      </c>
      <c r="O228" s="1174" t="s">
        <v>780</v>
      </c>
      <c r="P228" s="1207" t="s">
        <v>680</v>
      </c>
      <c r="Q228" s="1163"/>
      <c r="R228" s="1269">
        <v>78200000</v>
      </c>
      <c r="S228" s="1357">
        <v>78200000</v>
      </c>
      <c r="T228" s="1357">
        <f>+Tabla16[[#This Row],[CDPS A 31 JULIO 2022]]-Tabla16[[#This Row],[CDP]]</f>
        <v>0</v>
      </c>
      <c r="U228" s="1357">
        <v>78200000</v>
      </c>
      <c r="V228" s="1357">
        <v>27200000</v>
      </c>
      <c r="W228" s="1357"/>
    </row>
    <row r="229" spans="1:23" s="1207" customFormat="1" ht="105" x14ac:dyDescent="0.2">
      <c r="A229" s="1355">
        <v>2022187</v>
      </c>
      <c r="B229" s="1172">
        <v>7655</v>
      </c>
      <c r="C229" s="1356" t="s">
        <v>670</v>
      </c>
      <c r="D229" s="1190" t="s">
        <v>684</v>
      </c>
      <c r="E229" s="1174">
        <v>80111600</v>
      </c>
      <c r="F229" s="1389" t="s">
        <v>888</v>
      </c>
      <c r="G229" s="1390">
        <v>44566</v>
      </c>
      <c r="H229" s="1390">
        <v>44568</v>
      </c>
      <c r="I229" s="1176">
        <v>11.5</v>
      </c>
      <c r="J229" s="1176" t="s">
        <v>675</v>
      </c>
      <c r="K229" s="1177" t="s">
        <v>676</v>
      </c>
      <c r="L229" s="1178" t="s">
        <v>677</v>
      </c>
      <c r="M229" s="1179">
        <v>80500000</v>
      </c>
      <c r="N229" s="1386" t="s">
        <v>785</v>
      </c>
      <c r="O229" s="1174" t="s">
        <v>780</v>
      </c>
      <c r="P229" s="1207" t="s">
        <v>680</v>
      </c>
      <c r="Q229" s="1163"/>
      <c r="R229" s="1269">
        <v>80500000</v>
      </c>
      <c r="S229" s="1357">
        <v>80500000</v>
      </c>
      <c r="T229" s="1357">
        <f>+Tabla16[[#This Row],[CDPS A 31 JULIO 2022]]-Tabla16[[#This Row],[CDP]]</f>
        <v>0</v>
      </c>
      <c r="U229" s="1357">
        <v>80500000</v>
      </c>
      <c r="V229" s="1357">
        <v>31966667</v>
      </c>
      <c r="W229" s="1357"/>
    </row>
    <row r="230" spans="1:23" s="1207" customFormat="1" ht="105" x14ac:dyDescent="0.2">
      <c r="A230" s="1355">
        <v>2022188</v>
      </c>
      <c r="B230" s="1172">
        <v>7655</v>
      </c>
      <c r="C230" s="1356" t="s">
        <v>670</v>
      </c>
      <c r="D230" s="1190" t="s">
        <v>684</v>
      </c>
      <c r="E230" s="1174">
        <v>80111600</v>
      </c>
      <c r="F230" s="1389" t="s">
        <v>889</v>
      </c>
      <c r="G230" s="1390">
        <v>44566</v>
      </c>
      <c r="H230" s="1390">
        <v>44568</v>
      </c>
      <c r="I230" s="1176">
        <v>11.5</v>
      </c>
      <c r="J230" s="1176" t="s">
        <v>675</v>
      </c>
      <c r="K230" s="1177" t="s">
        <v>676</v>
      </c>
      <c r="L230" s="1178" t="s">
        <v>784</v>
      </c>
      <c r="M230" s="1179">
        <v>87975000</v>
      </c>
      <c r="N230" s="1386" t="s">
        <v>785</v>
      </c>
      <c r="O230" s="1174" t="s">
        <v>780</v>
      </c>
      <c r="P230" s="1207" t="s">
        <v>680</v>
      </c>
      <c r="Q230" s="1163"/>
      <c r="R230" s="1269">
        <v>87975000</v>
      </c>
      <c r="S230" s="1357">
        <v>87975000</v>
      </c>
      <c r="T230" s="1357">
        <f>+Tabla16[[#This Row],[CDPS A 31 JULIO 2022]]-Tabla16[[#This Row],[CDP]]</f>
        <v>0</v>
      </c>
      <c r="U230" s="1357">
        <v>87975000</v>
      </c>
      <c r="V230" s="1357">
        <v>35190000</v>
      </c>
      <c r="W230" s="1357"/>
    </row>
    <row r="231" spans="1:23" s="1207" customFormat="1" ht="105" x14ac:dyDescent="0.2">
      <c r="A231" s="1355">
        <v>2022189</v>
      </c>
      <c r="B231" s="1172">
        <v>7655</v>
      </c>
      <c r="C231" s="1356" t="s">
        <v>670</v>
      </c>
      <c r="D231" s="1190" t="s">
        <v>684</v>
      </c>
      <c r="E231" s="1174">
        <v>80111600</v>
      </c>
      <c r="F231" s="1389" t="s">
        <v>889</v>
      </c>
      <c r="G231" s="1390">
        <v>44566</v>
      </c>
      <c r="H231" s="1390">
        <v>44568</v>
      </c>
      <c r="I231" s="1176">
        <v>11.5</v>
      </c>
      <c r="J231" s="1176" t="s">
        <v>675</v>
      </c>
      <c r="K231" s="1177" t="s">
        <v>676</v>
      </c>
      <c r="L231" s="1178" t="s">
        <v>784</v>
      </c>
      <c r="M231" s="1179">
        <v>87975000</v>
      </c>
      <c r="N231" s="1386" t="s">
        <v>785</v>
      </c>
      <c r="O231" s="1174" t="s">
        <v>780</v>
      </c>
      <c r="P231" s="1207" t="s">
        <v>680</v>
      </c>
      <c r="Q231" s="1163"/>
      <c r="R231" s="1269">
        <v>87975000</v>
      </c>
      <c r="S231" s="1357">
        <v>87975000</v>
      </c>
      <c r="T231" s="1357">
        <f>+Tabla16[[#This Row],[CDPS A 31 JULIO 2022]]-Tabla16[[#This Row],[CDP]]</f>
        <v>0</v>
      </c>
      <c r="U231" s="1357">
        <v>87975000</v>
      </c>
      <c r="V231" s="1357">
        <v>35700000</v>
      </c>
      <c r="W231" s="1357"/>
    </row>
    <row r="232" spans="1:23" s="1207" customFormat="1" ht="105" x14ac:dyDescent="0.2">
      <c r="A232" s="1355">
        <v>2022190</v>
      </c>
      <c r="B232" s="1172">
        <v>7655</v>
      </c>
      <c r="C232" s="1356" t="s">
        <v>670</v>
      </c>
      <c r="D232" s="1190" t="s">
        <v>684</v>
      </c>
      <c r="E232" s="1174">
        <v>80111600</v>
      </c>
      <c r="F232" s="1389" t="s">
        <v>889</v>
      </c>
      <c r="G232" s="1390">
        <v>44566</v>
      </c>
      <c r="H232" s="1390">
        <v>44568</v>
      </c>
      <c r="I232" s="1176">
        <v>11.5</v>
      </c>
      <c r="J232" s="1176" t="s">
        <v>675</v>
      </c>
      <c r="K232" s="1177" t="s">
        <v>676</v>
      </c>
      <c r="L232" s="1178" t="s">
        <v>784</v>
      </c>
      <c r="M232" s="1179">
        <v>87975000</v>
      </c>
      <c r="N232" s="1386" t="s">
        <v>785</v>
      </c>
      <c r="O232" s="1174" t="s">
        <v>780</v>
      </c>
      <c r="P232" s="1207" t="s">
        <v>680</v>
      </c>
      <c r="Q232" s="1163"/>
      <c r="R232" s="1269">
        <v>87975000</v>
      </c>
      <c r="S232" s="1357">
        <v>87975000</v>
      </c>
      <c r="T232" s="1357">
        <f>+Tabla16[[#This Row],[CDPS A 31 JULIO 2022]]-Tabla16[[#This Row],[CDP]]</f>
        <v>0</v>
      </c>
      <c r="U232" s="1357">
        <v>87975000</v>
      </c>
      <c r="V232" s="1357">
        <v>35700000</v>
      </c>
      <c r="W232" s="1357"/>
    </row>
    <row r="233" spans="1:23" s="1207" customFormat="1" ht="105" x14ac:dyDescent="0.2">
      <c r="A233" s="1355">
        <v>2022191</v>
      </c>
      <c r="B233" s="1172">
        <v>7655</v>
      </c>
      <c r="C233" s="1356" t="s">
        <v>670</v>
      </c>
      <c r="D233" s="1190" t="s">
        <v>684</v>
      </c>
      <c r="E233" s="1174">
        <v>80111600</v>
      </c>
      <c r="F233" s="1389" t="s">
        <v>889</v>
      </c>
      <c r="G233" s="1390">
        <v>44566</v>
      </c>
      <c r="H233" s="1390">
        <v>44568</v>
      </c>
      <c r="I233" s="1176">
        <v>11.5</v>
      </c>
      <c r="J233" s="1176" t="s">
        <v>675</v>
      </c>
      <c r="K233" s="1177" t="s">
        <v>676</v>
      </c>
      <c r="L233" s="1178" t="s">
        <v>784</v>
      </c>
      <c r="M233" s="1179">
        <v>87975000</v>
      </c>
      <c r="N233" s="1386" t="s">
        <v>785</v>
      </c>
      <c r="O233" s="1174" t="s">
        <v>780</v>
      </c>
      <c r="P233" s="1207" t="s">
        <v>680</v>
      </c>
      <c r="Q233" s="1163"/>
      <c r="R233" s="1269">
        <v>87975000</v>
      </c>
      <c r="S233" s="1357">
        <v>87975000</v>
      </c>
      <c r="T233" s="1357">
        <f>+Tabla16[[#This Row],[CDPS A 31 JULIO 2022]]-Tabla16[[#This Row],[CDP]]</f>
        <v>0</v>
      </c>
      <c r="U233" s="1357">
        <v>87975000</v>
      </c>
      <c r="V233" s="1357">
        <v>35190000</v>
      </c>
      <c r="W233" s="1357"/>
    </row>
    <row r="234" spans="1:23" s="1207" customFormat="1" ht="105" x14ac:dyDescent="0.2">
      <c r="A234" s="1355">
        <v>2022192</v>
      </c>
      <c r="B234" s="1172">
        <v>7655</v>
      </c>
      <c r="C234" s="1356" t="s">
        <v>670</v>
      </c>
      <c r="D234" s="1190" t="s">
        <v>684</v>
      </c>
      <c r="E234" s="1174">
        <v>80111600</v>
      </c>
      <c r="F234" s="1389" t="s">
        <v>889</v>
      </c>
      <c r="G234" s="1390">
        <v>44566</v>
      </c>
      <c r="H234" s="1390">
        <v>44568</v>
      </c>
      <c r="I234" s="1176">
        <v>11.5</v>
      </c>
      <c r="J234" s="1176" t="s">
        <v>675</v>
      </c>
      <c r="K234" s="1177" t="s">
        <v>676</v>
      </c>
      <c r="L234" s="1178" t="s">
        <v>784</v>
      </c>
      <c r="M234" s="1179">
        <v>87975000</v>
      </c>
      <c r="N234" s="1386" t="s">
        <v>785</v>
      </c>
      <c r="O234" s="1174" t="s">
        <v>780</v>
      </c>
      <c r="P234" s="1207" t="s">
        <v>680</v>
      </c>
      <c r="Q234" s="1163"/>
      <c r="R234" s="1269">
        <v>87975000</v>
      </c>
      <c r="S234" s="1357">
        <v>87975000</v>
      </c>
      <c r="T234" s="1357">
        <f>+Tabla16[[#This Row],[CDPS A 31 JULIO 2022]]-Tabla16[[#This Row],[CDP]]</f>
        <v>0</v>
      </c>
      <c r="U234" s="1357">
        <v>87975000</v>
      </c>
      <c r="V234" s="1357">
        <v>33660000</v>
      </c>
      <c r="W234" s="1357"/>
    </row>
    <row r="235" spans="1:23" s="1207" customFormat="1" ht="105" x14ac:dyDescent="0.2">
      <c r="A235" s="1355">
        <v>2022193</v>
      </c>
      <c r="B235" s="1172">
        <v>7655</v>
      </c>
      <c r="C235" s="1356" t="s">
        <v>670</v>
      </c>
      <c r="D235" s="1190" t="s">
        <v>684</v>
      </c>
      <c r="E235" s="1174">
        <v>80111600</v>
      </c>
      <c r="F235" s="1389" t="s">
        <v>889</v>
      </c>
      <c r="G235" s="1390">
        <v>44566</v>
      </c>
      <c r="H235" s="1390">
        <v>44568</v>
      </c>
      <c r="I235" s="1176">
        <v>11.5</v>
      </c>
      <c r="J235" s="1176" t="s">
        <v>675</v>
      </c>
      <c r="K235" s="1177" t="s">
        <v>676</v>
      </c>
      <c r="L235" s="1178" t="s">
        <v>784</v>
      </c>
      <c r="M235" s="1179">
        <v>87975000</v>
      </c>
      <c r="N235" s="1386" t="s">
        <v>785</v>
      </c>
      <c r="O235" s="1174" t="s">
        <v>780</v>
      </c>
      <c r="P235" s="1207" t="s">
        <v>680</v>
      </c>
      <c r="Q235" s="1163"/>
      <c r="R235" s="1269">
        <v>87975000</v>
      </c>
      <c r="S235" s="1357">
        <v>87975000</v>
      </c>
      <c r="T235" s="1357">
        <f>+Tabla16[[#This Row],[CDPS A 31 JULIO 2022]]-Tabla16[[#This Row],[CDP]]</f>
        <v>0</v>
      </c>
      <c r="U235" s="1357">
        <v>87975000</v>
      </c>
      <c r="V235" s="1357">
        <v>35700000</v>
      </c>
      <c r="W235" s="1357"/>
    </row>
    <row r="236" spans="1:23" s="1207" customFormat="1" ht="105" x14ac:dyDescent="0.2">
      <c r="A236" s="1355">
        <v>2022194</v>
      </c>
      <c r="B236" s="1172">
        <v>7655</v>
      </c>
      <c r="C236" s="1356" t="s">
        <v>670</v>
      </c>
      <c r="D236" s="1190" t="s">
        <v>684</v>
      </c>
      <c r="E236" s="1174">
        <v>80111600</v>
      </c>
      <c r="F236" s="1389" t="s">
        <v>890</v>
      </c>
      <c r="G236" s="1390">
        <v>44566</v>
      </c>
      <c r="H236" s="1390">
        <v>44568</v>
      </c>
      <c r="I236" s="1176">
        <v>11.5</v>
      </c>
      <c r="J236" s="1176" t="s">
        <v>675</v>
      </c>
      <c r="K236" s="1177" t="s">
        <v>676</v>
      </c>
      <c r="L236" s="1178" t="s">
        <v>784</v>
      </c>
      <c r="M236" s="1179">
        <v>42642000</v>
      </c>
      <c r="N236" s="1386" t="s">
        <v>785</v>
      </c>
      <c r="O236" s="1174" t="s">
        <v>780</v>
      </c>
      <c r="P236" s="1207" t="s">
        <v>680</v>
      </c>
      <c r="Q236" s="1163"/>
      <c r="R236" s="1269">
        <v>42642000</v>
      </c>
      <c r="S236" s="1357">
        <v>42642000</v>
      </c>
      <c r="T236" s="1357">
        <f>+Tabla16[[#This Row],[CDPS A 31 JULIO 2022]]-Tabla16[[#This Row],[CDP]]</f>
        <v>0</v>
      </c>
      <c r="U236" s="1357">
        <v>42642000</v>
      </c>
      <c r="V236" s="1357">
        <v>17180400</v>
      </c>
      <c r="W236" s="1357"/>
    </row>
    <row r="237" spans="1:23" s="1207" customFormat="1" ht="105" x14ac:dyDescent="0.2">
      <c r="A237" s="1355">
        <v>2022195</v>
      </c>
      <c r="B237" s="1172">
        <v>7655</v>
      </c>
      <c r="C237" s="1356" t="s">
        <v>670</v>
      </c>
      <c r="D237" s="1190" t="s">
        <v>684</v>
      </c>
      <c r="E237" s="1174">
        <v>80111600</v>
      </c>
      <c r="F237" s="1389" t="s">
        <v>890</v>
      </c>
      <c r="G237" s="1390">
        <v>44566</v>
      </c>
      <c r="H237" s="1390">
        <v>44568</v>
      </c>
      <c r="I237" s="1176">
        <v>11.5</v>
      </c>
      <c r="J237" s="1176" t="s">
        <v>675</v>
      </c>
      <c r="K237" s="1177" t="s">
        <v>676</v>
      </c>
      <c r="L237" s="1178" t="s">
        <v>784</v>
      </c>
      <c r="M237" s="1179">
        <v>42642000</v>
      </c>
      <c r="N237" s="1386" t="s">
        <v>785</v>
      </c>
      <c r="O237" s="1174" t="s">
        <v>780</v>
      </c>
      <c r="P237" s="1207" t="s">
        <v>680</v>
      </c>
      <c r="Q237" s="1163"/>
      <c r="R237" s="1269">
        <v>42642000</v>
      </c>
      <c r="S237" s="1357">
        <v>42642000</v>
      </c>
      <c r="T237" s="1357">
        <f>+Tabla16[[#This Row],[CDPS A 31 JULIO 2022]]-Tabla16[[#This Row],[CDP]]</f>
        <v>0</v>
      </c>
      <c r="U237" s="1357">
        <v>42642000</v>
      </c>
      <c r="V237" s="1357">
        <v>17180400</v>
      </c>
      <c r="W237" s="1357"/>
    </row>
    <row r="238" spans="1:23" s="1207" customFormat="1" ht="105" x14ac:dyDescent="0.2">
      <c r="A238" s="1355">
        <v>2022196</v>
      </c>
      <c r="B238" s="1172">
        <v>7655</v>
      </c>
      <c r="C238" s="1356" t="s">
        <v>670</v>
      </c>
      <c r="D238" s="1190" t="s">
        <v>684</v>
      </c>
      <c r="E238" s="1174">
        <v>80111600</v>
      </c>
      <c r="F238" s="1389" t="s">
        <v>889</v>
      </c>
      <c r="G238" s="1390">
        <v>44566</v>
      </c>
      <c r="H238" s="1390">
        <v>44568</v>
      </c>
      <c r="I238" s="1176">
        <v>9.3000000000000007</v>
      </c>
      <c r="J238" s="1176" t="s">
        <v>675</v>
      </c>
      <c r="K238" s="1177" t="s">
        <v>676</v>
      </c>
      <c r="L238" s="1178" t="s">
        <v>784</v>
      </c>
      <c r="M238" s="1179">
        <f>71103000-213000</f>
        <v>70890000</v>
      </c>
      <c r="N238" s="1386" t="s">
        <v>785</v>
      </c>
      <c r="O238" s="1174" t="s">
        <v>780</v>
      </c>
      <c r="P238" s="1207" t="s">
        <v>680</v>
      </c>
      <c r="Q238" s="1163"/>
      <c r="R238" s="1269">
        <v>70890000</v>
      </c>
      <c r="S238" s="1357">
        <v>70890000</v>
      </c>
      <c r="T238" s="1357">
        <f>+Tabla16[[#This Row],[CDPS A 31 JULIO 2022]]-Tabla16[[#This Row],[CDP]]</f>
        <v>0</v>
      </c>
      <c r="U238" s="1357">
        <v>70890000</v>
      </c>
      <c r="V238" s="1357">
        <v>33915000</v>
      </c>
      <c r="W238" s="1357"/>
    </row>
    <row r="239" spans="1:23" s="1207" customFormat="1" ht="105" x14ac:dyDescent="0.2">
      <c r="A239" s="1355">
        <v>2022197</v>
      </c>
      <c r="B239" s="1172">
        <v>7655</v>
      </c>
      <c r="C239" s="1356" t="s">
        <v>670</v>
      </c>
      <c r="D239" s="1190" t="s">
        <v>684</v>
      </c>
      <c r="E239" s="1174">
        <v>80111600</v>
      </c>
      <c r="F239" s="1389" t="s">
        <v>891</v>
      </c>
      <c r="G239" s="1390">
        <v>44566</v>
      </c>
      <c r="H239" s="1390">
        <v>44568</v>
      </c>
      <c r="I239" s="1176">
        <v>11.5</v>
      </c>
      <c r="J239" s="1176" t="s">
        <v>675</v>
      </c>
      <c r="K239" s="1177" t="s">
        <v>676</v>
      </c>
      <c r="L239" s="1178" t="s">
        <v>784</v>
      </c>
      <c r="M239" s="1179">
        <v>61295000</v>
      </c>
      <c r="N239" s="1386" t="s">
        <v>785</v>
      </c>
      <c r="O239" s="1174" t="s">
        <v>780</v>
      </c>
      <c r="P239" s="1207" t="s">
        <v>680</v>
      </c>
      <c r="Q239" s="1163"/>
      <c r="R239" s="1269">
        <v>61295000</v>
      </c>
      <c r="S239" s="1357">
        <v>61295000</v>
      </c>
      <c r="T239" s="1357">
        <f>+Tabla16[[#This Row],[CDPS A 31 JULIO 2022]]-Tabla16[[#This Row],[CDP]]</f>
        <v>0</v>
      </c>
      <c r="U239" s="1357">
        <v>61295000</v>
      </c>
      <c r="V239" s="1357">
        <v>24873333</v>
      </c>
      <c r="W239" s="1357"/>
    </row>
    <row r="240" spans="1:23" s="1207" customFormat="1" ht="105" x14ac:dyDescent="0.2">
      <c r="A240" s="1355">
        <v>2022198</v>
      </c>
      <c r="B240" s="1172">
        <v>7655</v>
      </c>
      <c r="C240" s="1356" t="s">
        <v>670</v>
      </c>
      <c r="D240" s="1190" t="s">
        <v>684</v>
      </c>
      <c r="E240" s="1174">
        <v>80111600</v>
      </c>
      <c r="F240" s="1389" t="s">
        <v>892</v>
      </c>
      <c r="G240" s="1390">
        <v>44566</v>
      </c>
      <c r="H240" s="1390">
        <v>44568</v>
      </c>
      <c r="I240" s="1176">
        <v>11.5</v>
      </c>
      <c r="J240" s="1176" t="s">
        <v>675</v>
      </c>
      <c r="K240" s="1177" t="s">
        <v>676</v>
      </c>
      <c r="L240" s="1178" t="s">
        <v>784</v>
      </c>
      <c r="M240" s="1179">
        <v>358041000</v>
      </c>
      <c r="N240" s="1386" t="s">
        <v>785</v>
      </c>
      <c r="O240" s="1174" t="s">
        <v>780</v>
      </c>
      <c r="P240" s="1207" t="s">
        <v>680</v>
      </c>
      <c r="Q240" s="1163"/>
      <c r="R240" s="1269">
        <v>358041000</v>
      </c>
      <c r="S240" s="1357">
        <v>358041000</v>
      </c>
      <c r="T240" s="1357">
        <f>+Tabla16[[#This Row],[CDPS A 31 JULIO 2022]]-Tabla16[[#This Row],[CDP]]</f>
        <v>0</v>
      </c>
      <c r="U240" s="1357">
        <v>358041000</v>
      </c>
      <c r="V240" s="1357">
        <v>99628800</v>
      </c>
      <c r="W240" s="1357"/>
    </row>
    <row r="241" spans="1:23" s="1207" customFormat="1" ht="105" x14ac:dyDescent="0.2">
      <c r="A241" s="1355">
        <v>2022199</v>
      </c>
      <c r="B241" s="1172">
        <v>7655</v>
      </c>
      <c r="C241" s="1356" t="s">
        <v>670</v>
      </c>
      <c r="D241" s="1190" t="s">
        <v>684</v>
      </c>
      <c r="E241" s="1174">
        <v>80111600</v>
      </c>
      <c r="F241" s="1389" t="s">
        <v>893</v>
      </c>
      <c r="G241" s="1390">
        <v>44566</v>
      </c>
      <c r="H241" s="1390">
        <v>44568</v>
      </c>
      <c r="I241" s="1176">
        <v>11.5</v>
      </c>
      <c r="J241" s="1176" t="s">
        <v>675</v>
      </c>
      <c r="K241" s="1177" t="s">
        <v>676</v>
      </c>
      <c r="L241" s="1178" t="s">
        <v>677</v>
      </c>
      <c r="M241" s="1179">
        <v>38525000</v>
      </c>
      <c r="N241" s="1386" t="s">
        <v>785</v>
      </c>
      <c r="O241" s="1174" t="s">
        <v>780</v>
      </c>
      <c r="P241" s="1207" t="s">
        <v>680</v>
      </c>
      <c r="Q241" s="1163"/>
      <c r="R241" s="1269">
        <v>38525000</v>
      </c>
      <c r="S241" s="1357">
        <v>38525000</v>
      </c>
      <c r="T241" s="1357">
        <f>+Tabla16[[#This Row],[CDPS A 31 JULIO 2022]]-Tabla16[[#This Row],[CDP]]</f>
        <v>0</v>
      </c>
      <c r="U241" s="1357">
        <v>38525000</v>
      </c>
      <c r="V241" s="1357">
        <v>14963333</v>
      </c>
      <c r="W241" s="1357"/>
    </row>
    <row r="242" spans="1:23" s="1207" customFormat="1" ht="105" x14ac:dyDescent="0.2">
      <c r="A242" s="1355">
        <v>2022200</v>
      </c>
      <c r="B242" s="1172">
        <v>7655</v>
      </c>
      <c r="C242" s="1356" t="s">
        <v>670</v>
      </c>
      <c r="D242" s="1190" t="s">
        <v>684</v>
      </c>
      <c r="E242" s="1174">
        <v>80111600</v>
      </c>
      <c r="F242" s="1389" t="s">
        <v>894</v>
      </c>
      <c r="G242" s="1390">
        <v>44566</v>
      </c>
      <c r="H242" s="1390">
        <v>44568</v>
      </c>
      <c r="I242" s="1176">
        <v>11.5</v>
      </c>
      <c r="J242" s="1176" t="s">
        <v>675</v>
      </c>
      <c r="K242" s="1177" t="s">
        <v>676</v>
      </c>
      <c r="L242" s="1178" t="s">
        <v>677</v>
      </c>
      <c r="M242" s="1179">
        <v>32200000</v>
      </c>
      <c r="N242" s="1386" t="s">
        <v>785</v>
      </c>
      <c r="O242" s="1174" t="s">
        <v>780</v>
      </c>
      <c r="P242" s="1207" t="s">
        <v>680</v>
      </c>
      <c r="Q242" s="1163"/>
      <c r="R242" s="1269">
        <v>32200000</v>
      </c>
      <c r="S242" s="1357">
        <v>32200000</v>
      </c>
      <c r="T242" s="1357">
        <f>+Tabla16[[#This Row],[CDPS A 31 JULIO 2022]]-Tabla16[[#This Row],[CDP]]</f>
        <v>0</v>
      </c>
      <c r="U242" s="1357">
        <v>32200000</v>
      </c>
      <c r="V242" s="1357">
        <v>12973333</v>
      </c>
      <c r="W242" s="1357"/>
    </row>
    <row r="243" spans="1:23" s="1207" customFormat="1" ht="105" x14ac:dyDescent="0.2">
      <c r="A243" s="1355">
        <v>2022201</v>
      </c>
      <c r="B243" s="1172">
        <v>7655</v>
      </c>
      <c r="C243" s="1356" t="s">
        <v>670</v>
      </c>
      <c r="D243" s="1190" t="s">
        <v>684</v>
      </c>
      <c r="E243" s="1174">
        <v>80111600</v>
      </c>
      <c r="F243" s="1389" t="s">
        <v>894</v>
      </c>
      <c r="G243" s="1390">
        <v>44566</v>
      </c>
      <c r="H243" s="1390">
        <v>44568</v>
      </c>
      <c r="I243" s="1176">
        <v>11.5</v>
      </c>
      <c r="J243" s="1176" t="s">
        <v>675</v>
      </c>
      <c r="K243" s="1177" t="s">
        <v>676</v>
      </c>
      <c r="L243" s="1178" t="s">
        <v>677</v>
      </c>
      <c r="M243" s="1179">
        <v>32200000</v>
      </c>
      <c r="N243" s="1386" t="s">
        <v>785</v>
      </c>
      <c r="O243" s="1174" t="s">
        <v>780</v>
      </c>
      <c r="P243" s="1207" t="s">
        <v>680</v>
      </c>
      <c r="Q243" s="1163"/>
      <c r="R243" s="1269">
        <v>32200000</v>
      </c>
      <c r="S243" s="1357">
        <v>32200000</v>
      </c>
      <c r="T243" s="1357">
        <f>+Tabla16[[#This Row],[CDPS A 31 JULIO 2022]]-Tabla16[[#This Row],[CDP]]</f>
        <v>0</v>
      </c>
      <c r="U243" s="1357">
        <v>32200000</v>
      </c>
      <c r="V243" s="1357">
        <v>12786667</v>
      </c>
      <c r="W243" s="1357"/>
    </row>
    <row r="244" spans="1:23" s="1207" customFormat="1" ht="105" x14ac:dyDescent="0.2">
      <c r="A244" s="1355">
        <v>2022202</v>
      </c>
      <c r="B244" s="1172">
        <v>7655</v>
      </c>
      <c r="C244" s="1356" t="s">
        <v>670</v>
      </c>
      <c r="D244" s="1190" t="s">
        <v>684</v>
      </c>
      <c r="E244" s="1174">
        <v>80111600</v>
      </c>
      <c r="F244" s="1389" t="s">
        <v>894</v>
      </c>
      <c r="G244" s="1390">
        <v>44566</v>
      </c>
      <c r="H244" s="1390">
        <v>44568</v>
      </c>
      <c r="I244" s="1176">
        <v>11.5</v>
      </c>
      <c r="J244" s="1176" t="s">
        <v>675</v>
      </c>
      <c r="K244" s="1177" t="s">
        <v>676</v>
      </c>
      <c r="L244" s="1178" t="s">
        <v>677</v>
      </c>
      <c r="M244" s="1179">
        <v>32200000</v>
      </c>
      <c r="N244" s="1386" t="s">
        <v>785</v>
      </c>
      <c r="O244" s="1174" t="s">
        <v>780</v>
      </c>
      <c r="P244" s="1207" t="s">
        <v>680</v>
      </c>
      <c r="Q244" s="1163"/>
      <c r="R244" s="1269">
        <v>32200000</v>
      </c>
      <c r="S244" s="1357">
        <v>32200000</v>
      </c>
      <c r="T244" s="1357">
        <f>+Tabla16[[#This Row],[CDPS A 31 JULIO 2022]]-Tabla16[[#This Row],[CDP]]</f>
        <v>0</v>
      </c>
      <c r="U244" s="1357">
        <v>32200000</v>
      </c>
      <c r="V244" s="1357">
        <v>11666667</v>
      </c>
      <c r="W244" s="1357"/>
    </row>
    <row r="245" spans="1:23" s="1207" customFormat="1" ht="105" x14ac:dyDescent="0.2">
      <c r="A245" s="1355">
        <v>2022203</v>
      </c>
      <c r="B245" s="1172">
        <v>7655</v>
      </c>
      <c r="C245" s="1356" t="s">
        <v>670</v>
      </c>
      <c r="D245" s="1190" t="s">
        <v>684</v>
      </c>
      <c r="E245" s="1174">
        <v>80111600</v>
      </c>
      <c r="F245" s="1389" t="s">
        <v>894</v>
      </c>
      <c r="G245" s="1390">
        <v>44566</v>
      </c>
      <c r="H245" s="1390">
        <v>44568</v>
      </c>
      <c r="I245" s="1176">
        <v>11.5</v>
      </c>
      <c r="J245" s="1176" t="s">
        <v>675</v>
      </c>
      <c r="K245" s="1177" t="s">
        <v>676</v>
      </c>
      <c r="L245" s="1178" t="s">
        <v>677</v>
      </c>
      <c r="M245" s="1179">
        <v>37950000</v>
      </c>
      <c r="N245" s="1386" t="s">
        <v>785</v>
      </c>
      <c r="O245" s="1174" t="s">
        <v>780</v>
      </c>
      <c r="P245" s="1207" t="s">
        <v>680</v>
      </c>
      <c r="Q245" s="1163"/>
      <c r="R245" s="1269">
        <v>37950000</v>
      </c>
      <c r="S245" s="1357">
        <v>37950000</v>
      </c>
      <c r="T245" s="1357">
        <f>+Tabla16[[#This Row],[CDPS A 31 JULIO 2022]]-Tabla16[[#This Row],[CDP]]</f>
        <v>0</v>
      </c>
      <c r="U245" s="1357">
        <v>37950000</v>
      </c>
      <c r="V245" s="1357">
        <v>15180000</v>
      </c>
      <c r="W245" s="1357"/>
    </row>
    <row r="246" spans="1:23" s="1207" customFormat="1" ht="105" x14ac:dyDescent="0.2">
      <c r="A246" s="1355">
        <v>2022204</v>
      </c>
      <c r="B246" s="1172">
        <v>7655</v>
      </c>
      <c r="C246" s="1356" t="s">
        <v>670</v>
      </c>
      <c r="D246" s="1190" t="s">
        <v>684</v>
      </c>
      <c r="E246" s="1174">
        <v>80111600</v>
      </c>
      <c r="F246" s="1389" t="s">
        <v>895</v>
      </c>
      <c r="G246" s="1390">
        <v>44566</v>
      </c>
      <c r="H246" s="1390">
        <v>44568</v>
      </c>
      <c r="I246" s="1176">
        <v>11.5</v>
      </c>
      <c r="J246" s="1176" t="s">
        <v>675</v>
      </c>
      <c r="K246" s="1177" t="s">
        <v>676</v>
      </c>
      <c r="L246" s="1178" t="s">
        <v>677</v>
      </c>
      <c r="M246" s="1179">
        <f>52900000-1150000</f>
        <v>51750000</v>
      </c>
      <c r="N246" s="1386" t="s">
        <v>785</v>
      </c>
      <c r="O246" s="1174" t="s">
        <v>780</v>
      </c>
      <c r="P246" s="1207" t="s">
        <v>680</v>
      </c>
      <c r="Q246" s="1163"/>
      <c r="R246" s="1269">
        <v>51750000</v>
      </c>
      <c r="S246" s="1357">
        <v>51750000</v>
      </c>
      <c r="T246" s="1357">
        <f>+Tabla16[[#This Row],[CDPS A 31 JULIO 2022]]-Tabla16[[#This Row],[CDP]]</f>
        <v>0</v>
      </c>
      <c r="U246" s="1357">
        <v>51750000</v>
      </c>
      <c r="V246" s="1357">
        <v>20850000</v>
      </c>
      <c r="W246" s="1357"/>
    </row>
    <row r="247" spans="1:23" s="1207" customFormat="1" ht="105" x14ac:dyDescent="0.2">
      <c r="A247" s="1355">
        <v>2022205</v>
      </c>
      <c r="B247" s="1172">
        <v>7655</v>
      </c>
      <c r="C247" s="1356" t="s">
        <v>670</v>
      </c>
      <c r="D247" s="1190" t="s">
        <v>684</v>
      </c>
      <c r="E247" s="1174">
        <v>80111600</v>
      </c>
      <c r="F247" s="1389" t="s">
        <v>896</v>
      </c>
      <c r="G247" s="1390">
        <v>44566</v>
      </c>
      <c r="H247" s="1390">
        <v>44568</v>
      </c>
      <c r="I247" s="1176">
        <v>6</v>
      </c>
      <c r="J247" s="1176" t="s">
        <v>675</v>
      </c>
      <c r="K247" s="1177" t="s">
        <v>676</v>
      </c>
      <c r="L247" s="1178" t="s">
        <v>677</v>
      </c>
      <c r="M247" s="1179">
        <v>37080000</v>
      </c>
      <c r="N247" s="1386" t="s">
        <v>785</v>
      </c>
      <c r="O247" s="1174" t="s">
        <v>780</v>
      </c>
      <c r="P247" s="1207" t="s">
        <v>680</v>
      </c>
      <c r="Q247" s="1163"/>
      <c r="R247" s="1269">
        <v>37080000</v>
      </c>
      <c r="S247" s="1357">
        <v>37080000</v>
      </c>
      <c r="T247" s="1357">
        <f>+Tabla16[[#This Row],[CDPS A 31 JULIO 2022]]-Tabla16[[#This Row],[CDP]]</f>
        <v>0</v>
      </c>
      <c r="U247" s="1357">
        <v>37080000</v>
      </c>
      <c r="V247" s="1357">
        <v>28428000</v>
      </c>
      <c r="W247" s="1357"/>
    </row>
    <row r="248" spans="1:23" s="1207" customFormat="1" ht="105" x14ac:dyDescent="0.2">
      <c r="A248" s="1355">
        <v>2022206</v>
      </c>
      <c r="B248" s="1172">
        <v>7655</v>
      </c>
      <c r="C248" s="1356" t="s">
        <v>670</v>
      </c>
      <c r="D248" s="1190" t="s">
        <v>684</v>
      </c>
      <c r="E248" s="1174">
        <v>80111600</v>
      </c>
      <c r="F248" s="1389" t="s">
        <v>897</v>
      </c>
      <c r="G248" s="1390">
        <v>44566</v>
      </c>
      <c r="H248" s="1390">
        <v>44568</v>
      </c>
      <c r="I248" s="1176">
        <v>6</v>
      </c>
      <c r="J248" s="1176" t="s">
        <v>675</v>
      </c>
      <c r="K248" s="1177" t="s">
        <v>676</v>
      </c>
      <c r="L248" s="1178" t="s">
        <v>677</v>
      </c>
      <c r="M248" s="1179">
        <v>16800000</v>
      </c>
      <c r="N248" s="1386" t="s">
        <v>785</v>
      </c>
      <c r="O248" s="1174" t="s">
        <v>780</v>
      </c>
      <c r="P248" s="1207" t="s">
        <v>680</v>
      </c>
      <c r="Q248" s="1163"/>
      <c r="R248" s="1269">
        <v>16800000</v>
      </c>
      <c r="S248" s="1357">
        <v>16800000</v>
      </c>
      <c r="T248" s="1357">
        <f>+Tabla16[[#This Row],[CDPS A 31 JULIO 2022]]-Tabla16[[#This Row],[CDP]]</f>
        <v>0</v>
      </c>
      <c r="U248" s="1357">
        <v>16800000</v>
      </c>
      <c r="V248" s="1357">
        <v>12880000</v>
      </c>
      <c r="W248" s="1357"/>
    </row>
    <row r="249" spans="1:23" s="1207" customFormat="1" ht="105" x14ac:dyDescent="0.2">
      <c r="A249" s="1355">
        <v>2022207</v>
      </c>
      <c r="B249" s="1172">
        <v>7655</v>
      </c>
      <c r="C249" s="1356" t="s">
        <v>670</v>
      </c>
      <c r="D249" s="1190" t="s">
        <v>684</v>
      </c>
      <c r="E249" s="1174">
        <v>80111600</v>
      </c>
      <c r="F249" s="1389" t="s">
        <v>898</v>
      </c>
      <c r="G249" s="1390">
        <v>44566</v>
      </c>
      <c r="H249" s="1390">
        <v>44568</v>
      </c>
      <c r="I249" s="1176">
        <v>3.5</v>
      </c>
      <c r="J249" s="1176" t="s">
        <v>675</v>
      </c>
      <c r="K249" s="1177" t="s">
        <v>676</v>
      </c>
      <c r="L249" s="1178" t="s">
        <v>677</v>
      </c>
      <c r="M249" s="1179">
        <v>17500000</v>
      </c>
      <c r="N249" s="1386" t="s">
        <v>785</v>
      </c>
      <c r="O249" s="1174" t="s">
        <v>780</v>
      </c>
      <c r="P249" s="1207" t="s">
        <v>680</v>
      </c>
      <c r="Q249" s="1163"/>
      <c r="R249" s="1269">
        <v>17500000</v>
      </c>
      <c r="S249" s="1357">
        <v>17500000</v>
      </c>
      <c r="T249" s="1357">
        <f>+Tabla16[[#This Row],[CDPS A 31 JULIO 2022]]-Tabla16[[#This Row],[CDP]]</f>
        <v>0</v>
      </c>
      <c r="U249" s="1357">
        <v>17500000</v>
      </c>
      <c r="V249" s="1357">
        <v>17500000</v>
      </c>
      <c r="W249" s="1357"/>
    </row>
    <row r="250" spans="1:23" s="1207" customFormat="1" ht="105" x14ac:dyDescent="0.2">
      <c r="A250" s="1355">
        <v>2022208</v>
      </c>
      <c r="B250" s="1172">
        <v>7655</v>
      </c>
      <c r="C250" s="1356" t="s">
        <v>670</v>
      </c>
      <c r="D250" s="1190" t="s">
        <v>673</v>
      </c>
      <c r="E250" s="1174">
        <v>80111600</v>
      </c>
      <c r="F250" s="1389" t="s">
        <v>899</v>
      </c>
      <c r="G250" s="1390">
        <v>44562</v>
      </c>
      <c r="H250" s="1390">
        <v>44592</v>
      </c>
      <c r="I250" s="1176">
        <v>11.5</v>
      </c>
      <c r="J250" s="1176" t="s">
        <v>675</v>
      </c>
      <c r="K250" s="1177" t="s">
        <v>676</v>
      </c>
      <c r="L250" s="1178" t="s">
        <v>677</v>
      </c>
      <c r="M250" s="1179">
        <f>106950000-4650000</f>
        <v>102300000</v>
      </c>
      <c r="N250" s="1386" t="s">
        <v>785</v>
      </c>
      <c r="O250" s="1174" t="s">
        <v>780</v>
      </c>
      <c r="P250" s="1207" t="s">
        <v>680</v>
      </c>
      <c r="Q250" s="1163"/>
      <c r="R250" s="1269">
        <v>102300000</v>
      </c>
      <c r="S250" s="1357">
        <v>102300000</v>
      </c>
      <c r="T250" s="1357">
        <f>+Tabla16[[#This Row],[CDPS A 31 JULIO 2022]]-Tabla16[[#This Row],[CDP]]</f>
        <v>0</v>
      </c>
      <c r="U250" s="1357">
        <v>102300000</v>
      </c>
      <c r="V250" s="1357">
        <v>38130000</v>
      </c>
      <c r="W250" s="1357"/>
    </row>
    <row r="251" spans="1:23" s="1207" customFormat="1" ht="105" x14ac:dyDescent="0.2">
      <c r="A251" s="1355">
        <v>2022209</v>
      </c>
      <c r="B251" s="1172">
        <v>7655</v>
      </c>
      <c r="C251" s="1356" t="s">
        <v>670</v>
      </c>
      <c r="D251" s="1190" t="s">
        <v>673</v>
      </c>
      <c r="E251" s="1174">
        <v>80111600</v>
      </c>
      <c r="F251" s="1389" t="s">
        <v>900</v>
      </c>
      <c r="G251" s="1390">
        <v>44562</v>
      </c>
      <c r="H251" s="1390">
        <v>44592</v>
      </c>
      <c r="I251" s="1176">
        <v>11.5</v>
      </c>
      <c r="J251" s="1176" t="s">
        <v>675</v>
      </c>
      <c r="K251" s="1177" t="s">
        <v>676</v>
      </c>
      <c r="L251" s="1178" t="s">
        <v>677</v>
      </c>
      <c r="M251" s="1179">
        <v>97750000</v>
      </c>
      <c r="N251" s="1386" t="s">
        <v>785</v>
      </c>
      <c r="O251" s="1174" t="s">
        <v>780</v>
      </c>
      <c r="P251" s="1207" t="s">
        <v>680</v>
      </c>
      <c r="Q251" s="1163"/>
      <c r="R251" s="1269">
        <v>93500000</v>
      </c>
      <c r="S251" s="1357">
        <v>93500000</v>
      </c>
      <c r="T251" s="1357">
        <f>+Tabla16[[#This Row],[CDPS A 31 JULIO 2022]]-Tabla16[[#This Row],[CDP]]</f>
        <v>0</v>
      </c>
      <c r="U251" s="1357">
        <v>93500000</v>
      </c>
      <c r="V251" s="1357">
        <v>34850000</v>
      </c>
      <c r="W251" s="1357"/>
    </row>
    <row r="252" spans="1:23" s="1207" customFormat="1" ht="105" x14ac:dyDescent="0.2">
      <c r="A252" s="1355">
        <v>2022210</v>
      </c>
      <c r="B252" s="1172">
        <v>7655</v>
      </c>
      <c r="C252" s="1356" t="s">
        <v>670</v>
      </c>
      <c r="D252" s="1190" t="s">
        <v>673</v>
      </c>
      <c r="E252" s="1174">
        <v>80111600</v>
      </c>
      <c r="F252" s="1389" t="s">
        <v>901</v>
      </c>
      <c r="G252" s="1390">
        <v>44562</v>
      </c>
      <c r="H252" s="1390">
        <v>44592</v>
      </c>
      <c r="I252" s="1176">
        <v>11.5</v>
      </c>
      <c r="J252" s="1176" t="s">
        <v>675</v>
      </c>
      <c r="K252" s="1177" t="s">
        <v>676</v>
      </c>
      <c r="L252" s="1178" t="s">
        <v>677</v>
      </c>
      <c r="M252" s="1179">
        <f>92000000-24000000</f>
        <v>68000000</v>
      </c>
      <c r="N252" s="1386" t="s">
        <v>785</v>
      </c>
      <c r="O252" s="1174" t="s">
        <v>780</v>
      </c>
      <c r="P252" s="1207" t="s">
        <v>680</v>
      </c>
      <c r="Q252" s="1163"/>
      <c r="R252" s="1269">
        <v>68000000</v>
      </c>
      <c r="S252" s="1357">
        <v>68000000</v>
      </c>
      <c r="T252" s="1357">
        <f>+Tabla16[[#This Row],[CDPS A 31 JULIO 2022]]-Tabla16[[#This Row],[CDP]]</f>
        <v>0</v>
      </c>
      <c r="U252" s="1357">
        <v>68000000</v>
      </c>
      <c r="V252" s="1357">
        <v>37683333</v>
      </c>
      <c r="W252" s="1357"/>
    </row>
    <row r="253" spans="1:23" s="1207" customFormat="1" ht="105" x14ac:dyDescent="0.2">
      <c r="A253" s="1355">
        <v>2022211</v>
      </c>
      <c r="B253" s="1172">
        <v>7655</v>
      </c>
      <c r="C253" s="1356" t="s">
        <v>670</v>
      </c>
      <c r="D253" s="1190" t="s">
        <v>673</v>
      </c>
      <c r="E253" s="1174">
        <v>80111600</v>
      </c>
      <c r="F253" s="1389" t="s">
        <v>902</v>
      </c>
      <c r="G253" s="1390">
        <v>44562</v>
      </c>
      <c r="H253" s="1390">
        <v>44592</v>
      </c>
      <c r="I253" s="1176">
        <v>11.5</v>
      </c>
      <c r="J253" s="1176" t="s">
        <v>675</v>
      </c>
      <c r="K253" s="1177" t="s">
        <v>676</v>
      </c>
      <c r="L253" s="1178" t="s">
        <v>677</v>
      </c>
      <c r="M253" s="1179">
        <v>80500000</v>
      </c>
      <c r="N253" s="1386" t="s">
        <v>785</v>
      </c>
      <c r="O253" s="1174" t="s">
        <v>780</v>
      </c>
      <c r="P253" s="1207" t="s">
        <v>680</v>
      </c>
      <c r="Q253" s="1163"/>
      <c r="R253" s="1269">
        <v>77000000</v>
      </c>
      <c r="S253" s="1357">
        <v>77000000</v>
      </c>
      <c r="T253" s="1357">
        <f>+Tabla16[[#This Row],[CDPS A 31 JULIO 2022]]-Tabla16[[#This Row],[CDP]]</f>
        <v>0</v>
      </c>
      <c r="U253" s="1357">
        <v>77000000</v>
      </c>
      <c r="V253" s="1357">
        <v>28000000</v>
      </c>
      <c r="W253" s="1357"/>
    </row>
    <row r="254" spans="1:23" s="1207" customFormat="1" ht="105" x14ac:dyDescent="0.2">
      <c r="A254" s="1355">
        <v>2022212</v>
      </c>
      <c r="B254" s="1172">
        <v>7655</v>
      </c>
      <c r="C254" s="1356" t="s">
        <v>670</v>
      </c>
      <c r="D254" s="1190" t="s">
        <v>673</v>
      </c>
      <c r="E254" s="1174">
        <v>80111600</v>
      </c>
      <c r="F254" s="1389" t="s">
        <v>903</v>
      </c>
      <c r="G254" s="1390">
        <v>44562</v>
      </c>
      <c r="H254" s="1390">
        <v>44592</v>
      </c>
      <c r="I254" s="1176">
        <v>11.5</v>
      </c>
      <c r="J254" s="1176" t="s">
        <v>675</v>
      </c>
      <c r="K254" s="1177" t="s">
        <v>676</v>
      </c>
      <c r="L254" s="1178" t="s">
        <v>784</v>
      </c>
      <c r="M254" s="1179">
        <f>92000000-24000000</f>
        <v>68000000</v>
      </c>
      <c r="N254" s="1386" t="s">
        <v>785</v>
      </c>
      <c r="O254" s="1174" t="s">
        <v>780</v>
      </c>
      <c r="P254" s="1298" t="s">
        <v>680</v>
      </c>
      <c r="Q254" s="1163"/>
      <c r="R254" s="1269">
        <v>64000000</v>
      </c>
      <c r="S254" s="1357">
        <v>64000000</v>
      </c>
      <c r="T254" s="1357">
        <f>+Tabla16[[#This Row],[CDPS A 31 JULIO 2022]]-Tabla16[[#This Row],[CDP]]</f>
        <v>0</v>
      </c>
      <c r="U254" s="1357">
        <v>64000000</v>
      </c>
      <c r="V254" s="1357">
        <v>32800000</v>
      </c>
      <c r="W254" s="1357"/>
    </row>
    <row r="255" spans="1:23" s="1207" customFormat="1" ht="105" x14ac:dyDescent="0.2">
      <c r="A255" s="1355">
        <v>2022213</v>
      </c>
      <c r="B255" s="1172">
        <v>7655</v>
      </c>
      <c r="C255" s="1356" t="s">
        <v>670</v>
      </c>
      <c r="D255" s="1190" t="s">
        <v>673</v>
      </c>
      <c r="E255" s="1174">
        <v>80111600</v>
      </c>
      <c r="F255" s="1389" t="s">
        <v>904</v>
      </c>
      <c r="G255" s="1390">
        <v>44562</v>
      </c>
      <c r="H255" s="1390">
        <v>44592</v>
      </c>
      <c r="I255" s="1176">
        <v>11.5</v>
      </c>
      <c r="J255" s="1176" t="s">
        <v>675</v>
      </c>
      <c r="K255" s="1177" t="s">
        <v>676</v>
      </c>
      <c r="L255" s="1178" t="s">
        <v>784</v>
      </c>
      <c r="M255" s="1179">
        <v>51750000</v>
      </c>
      <c r="N255" s="1386" t="s">
        <v>785</v>
      </c>
      <c r="O255" s="1174" t="s">
        <v>780</v>
      </c>
      <c r="P255" s="1207" t="s">
        <v>680</v>
      </c>
      <c r="Q255" s="1163"/>
      <c r="R255" s="1269">
        <v>49500000</v>
      </c>
      <c r="S255" s="1357">
        <v>49500000</v>
      </c>
      <c r="T255" s="1357">
        <f>+Tabla16[[#This Row],[CDPS A 31 JULIO 2022]]-Tabla16[[#This Row],[CDP]]</f>
        <v>0</v>
      </c>
      <c r="U255" s="1357">
        <v>49500000</v>
      </c>
      <c r="V255" s="1357">
        <v>18000000</v>
      </c>
      <c r="W255" s="1357"/>
    </row>
    <row r="256" spans="1:23" s="1207" customFormat="1" ht="105" x14ac:dyDescent="0.2">
      <c r="A256" s="1355">
        <v>2022214</v>
      </c>
      <c r="B256" s="1172">
        <v>7655</v>
      </c>
      <c r="C256" s="1356" t="s">
        <v>670</v>
      </c>
      <c r="D256" s="1190" t="s">
        <v>673</v>
      </c>
      <c r="E256" s="1174">
        <v>80111600</v>
      </c>
      <c r="F256" s="1389" t="s">
        <v>905</v>
      </c>
      <c r="G256" s="1390">
        <v>44562</v>
      </c>
      <c r="H256" s="1390">
        <v>44592</v>
      </c>
      <c r="I256" s="1176">
        <v>11.5</v>
      </c>
      <c r="J256" s="1176" t="s">
        <v>675</v>
      </c>
      <c r="K256" s="1177" t="s">
        <v>676</v>
      </c>
      <c r="L256" s="1178" t="s">
        <v>677</v>
      </c>
      <c r="M256" s="1179">
        <f>(4500000*10.6666666)-12000000</f>
        <v>35999999.699999996</v>
      </c>
      <c r="N256" s="1386" t="s">
        <v>785</v>
      </c>
      <c r="O256" s="1174" t="s">
        <v>780</v>
      </c>
      <c r="P256" s="1207" t="s">
        <v>680</v>
      </c>
      <c r="Q256" s="1163"/>
      <c r="R256" s="1269">
        <v>36000000</v>
      </c>
      <c r="S256" s="1357">
        <v>36000000</v>
      </c>
      <c r="T256" s="1357">
        <f>+Tabla16[[#This Row],[CDPS A 31 JULIO 2022]]-Tabla16[[#This Row],[CDP]]</f>
        <v>0</v>
      </c>
      <c r="U256" s="1357">
        <v>36000000</v>
      </c>
      <c r="V256" s="1357">
        <v>18000000</v>
      </c>
      <c r="W256" s="1357"/>
    </row>
    <row r="257" spans="1:23" s="1207" customFormat="1" ht="105" x14ac:dyDescent="0.2">
      <c r="A257" s="1355">
        <v>2022215</v>
      </c>
      <c r="B257" s="1172">
        <v>7655</v>
      </c>
      <c r="C257" s="1356" t="s">
        <v>670</v>
      </c>
      <c r="D257" s="1190" t="s">
        <v>673</v>
      </c>
      <c r="E257" s="1174">
        <v>80111600</v>
      </c>
      <c r="F257" s="1389" t="s">
        <v>906</v>
      </c>
      <c r="G257" s="1390">
        <v>44562</v>
      </c>
      <c r="H257" s="1390">
        <v>44592</v>
      </c>
      <c r="I257" s="1176">
        <v>11.5</v>
      </c>
      <c r="J257" s="1176" t="s">
        <v>675</v>
      </c>
      <c r="K257" s="1177" t="s">
        <v>676</v>
      </c>
      <c r="L257" s="1178" t="s">
        <v>677</v>
      </c>
      <c r="M257" s="1179">
        <f>57500000-15000000</f>
        <v>42500000</v>
      </c>
      <c r="N257" s="1386" t="s">
        <v>785</v>
      </c>
      <c r="O257" s="1174" t="s">
        <v>780</v>
      </c>
      <c r="P257" s="1207" t="s">
        <v>680</v>
      </c>
      <c r="Q257" s="1163"/>
      <c r="R257" s="1269">
        <v>40000000</v>
      </c>
      <c r="S257" s="1357">
        <v>40000000</v>
      </c>
      <c r="T257" s="1357">
        <f>+Tabla16[[#This Row],[CDPS A 31 JULIO 2022]]-Tabla16[[#This Row],[CDP]]</f>
        <v>0</v>
      </c>
      <c r="U257" s="1357">
        <v>40000000</v>
      </c>
      <c r="V257" s="1357">
        <v>20500000</v>
      </c>
      <c r="W257" s="1357"/>
    </row>
    <row r="258" spans="1:23" s="1207" customFormat="1" ht="105" x14ac:dyDescent="0.2">
      <c r="A258" s="1355">
        <v>2022216</v>
      </c>
      <c r="B258" s="1172">
        <v>7655</v>
      </c>
      <c r="C258" s="1356" t="s">
        <v>670</v>
      </c>
      <c r="D258" s="1190" t="s">
        <v>673</v>
      </c>
      <c r="E258" s="1174">
        <v>80111600</v>
      </c>
      <c r="F258" s="1389" t="s">
        <v>907</v>
      </c>
      <c r="G258" s="1390">
        <v>44562</v>
      </c>
      <c r="H258" s="1390">
        <v>44592</v>
      </c>
      <c r="I258" s="1176">
        <v>11.5</v>
      </c>
      <c r="J258" s="1176" t="s">
        <v>675</v>
      </c>
      <c r="K258" s="1177" t="s">
        <v>676</v>
      </c>
      <c r="L258" s="1178" t="s">
        <v>677</v>
      </c>
      <c r="M258" s="1179">
        <v>80500000</v>
      </c>
      <c r="N258" s="1386" t="s">
        <v>785</v>
      </c>
      <c r="O258" s="1174" t="s">
        <v>780</v>
      </c>
      <c r="P258" s="1207" t="s">
        <v>680</v>
      </c>
      <c r="Q258" s="1163"/>
      <c r="R258" s="1269">
        <v>77000000</v>
      </c>
      <c r="S258" s="1357">
        <v>77000000</v>
      </c>
      <c r="T258" s="1357">
        <f>+Tabla16[[#This Row],[CDPS A 31 JULIO 2022]]-Tabla16[[#This Row],[CDP]]</f>
        <v>0</v>
      </c>
      <c r="U258" s="1357">
        <v>77000000</v>
      </c>
      <c r="V258" s="1357">
        <v>30566667</v>
      </c>
      <c r="W258" s="1357"/>
    </row>
    <row r="259" spans="1:23" s="1207" customFormat="1" ht="105" x14ac:dyDescent="0.2">
      <c r="A259" s="1355">
        <v>2022217</v>
      </c>
      <c r="B259" s="1172">
        <v>7655</v>
      </c>
      <c r="C259" s="1356" t="s">
        <v>670</v>
      </c>
      <c r="D259" s="1190" t="s">
        <v>673</v>
      </c>
      <c r="E259" s="1174">
        <v>80111600</v>
      </c>
      <c r="F259" s="1389" t="s">
        <v>908</v>
      </c>
      <c r="G259" s="1390">
        <v>44562</v>
      </c>
      <c r="H259" s="1390">
        <v>44592</v>
      </c>
      <c r="I259" s="1176">
        <v>11.5</v>
      </c>
      <c r="J259" s="1176" t="s">
        <v>675</v>
      </c>
      <c r="K259" s="1177" t="s">
        <v>676</v>
      </c>
      <c r="L259" s="1178" t="s">
        <v>677</v>
      </c>
      <c r="M259" s="1179">
        <v>57500000</v>
      </c>
      <c r="N259" s="1386" t="s">
        <v>785</v>
      </c>
      <c r="O259" s="1174" t="s">
        <v>780</v>
      </c>
      <c r="P259" s="1207" t="s">
        <v>680</v>
      </c>
      <c r="Q259" s="1163"/>
      <c r="R259" s="1269">
        <v>55000000</v>
      </c>
      <c r="S259" s="1357">
        <v>55000000</v>
      </c>
      <c r="T259" s="1357">
        <f>+Tabla16[[#This Row],[CDPS A 31 JULIO 2022]]-Tabla16[[#This Row],[CDP]]</f>
        <v>0</v>
      </c>
      <c r="U259" s="1357">
        <v>55000000</v>
      </c>
      <c r="V259" s="1357">
        <v>21000000</v>
      </c>
      <c r="W259" s="1357"/>
    </row>
    <row r="260" spans="1:23" s="1207" customFormat="1" ht="105" x14ac:dyDescent="0.2">
      <c r="A260" s="1355">
        <v>2022218</v>
      </c>
      <c r="B260" s="1172">
        <v>7655</v>
      </c>
      <c r="C260" s="1356" t="s">
        <v>670</v>
      </c>
      <c r="D260" s="1190" t="s">
        <v>673</v>
      </c>
      <c r="E260" s="1174">
        <v>80111600</v>
      </c>
      <c r="F260" s="1389" t="s">
        <v>909</v>
      </c>
      <c r="G260" s="1390">
        <v>44562</v>
      </c>
      <c r="H260" s="1390">
        <v>44592</v>
      </c>
      <c r="I260" s="1176">
        <v>11.5</v>
      </c>
      <c r="J260" s="1176" t="s">
        <v>675</v>
      </c>
      <c r="K260" s="1177" t="s">
        <v>676</v>
      </c>
      <c r="L260" s="1178" t="s">
        <v>677</v>
      </c>
      <c r="M260" s="1179">
        <f>57500000-13500000-5750000-1500000</f>
        <v>36750000</v>
      </c>
      <c r="N260" s="1386" t="s">
        <v>785</v>
      </c>
      <c r="O260" s="1174" t="s">
        <v>780</v>
      </c>
      <c r="P260" s="1207" t="s">
        <v>680</v>
      </c>
      <c r="Q260" s="1163"/>
      <c r="R260" s="1269">
        <v>36000000</v>
      </c>
      <c r="S260" s="1357">
        <v>36000000</v>
      </c>
      <c r="T260" s="1357">
        <f>+Tabla16[[#This Row],[CDPS A 31 JULIO 2022]]-Tabla16[[#This Row],[CDP]]</f>
        <v>0</v>
      </c>
      <c r="U260" s="1357">
        <v>36000000</v>
      </c>
      <c r="V260" s="1357">
        <v>18450000</v>
      </c>
      <c r="W260" s="1357"/>
    </row>
    <row r="261" spans="1:23" s="1207" customFormat="1" ht="105" x14ac:dyDescent="0.2">
      <c r="A261" s="1355">
        <v>2022219</v>
      </c>
      <c r="B261" s="1172">
        <v>7655</v>
      </c>
      <c r="C261" s="1356" t="s">
        <v>670</v>
      </c>
      <c r="D261" s="1190" t="s">
        <v>673</v>
      </c>
      <c r="E261" s="1174">
        <v>80111600</v>
      </c>
      <c r="F261" s="1389" t="s">
        <v>910</v>
      </c>
      <c r="G261" s="1390">
        <v>44562</v>
      </c>
      <c r="H261" s="1390">
        <v>44592</v>
      </c>
      <c r="I261" s="1176">
        <v>11.5</v>
      </c>
      <c r="J261" s="1176" t="s">
        <v>675</v>
      </c>
      <c r="K261" s="1177" t="s">
        <v>676</v>
      </c>
      <c r="L261" s="1178" t="s">
        <v>677</v>
      </c>
      <c r="M261" s="1179">
        <f>57500000-11000000-850000</f>
        <v>45650000</v>
      </c>
      <c r="N261" s="1386" t="s">
        <v>785</v>
      </c>
      <c r="O261" s="1174" t="s">
        <v>780</v>
      </c>
      <c r="P261" s="1207" t="s">
        <v>680</v>
      </c>
      <c r="Q261" s="1163"/>
      <c r="R261" s="1269">
        <v>40000000</v>
      </c>
      <c r="S261" s="1357">
        <v>40000000</v>
      </c>
      <c r="T261" s="1357">
        <f>+Tabla16[[#This Row],[CDPS A 31 JULIO 2022]]-Tabla16[[#This Row],[CDP]]</f>
        <v>0</v>
      </c>
      <c r="U261" s="1357">
        <v>40000000</v>
      </c>
      <c r="V261" s="1357">
        <v>20500000</v>
      </c>
      <c r="W261" s="1357"/>
    </row>
    <row r="262" spans="1:23" s="1207" customFormat="1" ht="105" x14ac:dyDescent="0.2">
      <c r="A262" s="1355">
        <v>2022220</v>
      </c>
      <c r="B262" s="1172">
        <v>7655</v>
      </c>
      <c r="C262" s="1356" t="s">
        <v>670</v>
      </c>
      <c r="D262" s="1190" t="s">
        <v>673</v>
      </c>
      <c r="E262" s="1174">
        <v>80111600</v>
      </c>
      <c r="F262" s="1389" t="s">
        <v>911</v>
      </c>
      <c r="G262" s="1390">
        <v>44562</v>
      </c>
      <c r="H262" s="1390">
        <v>44592</v>
      </c>
      <c r="I262" s="1176">
        <v>6</v>
      </c>
      <c r="J262" s="1176" t="s">
        <v>675</v>
      </c>
      <c r="K262" s="1177" t="s">
        <v>676</v>
      </c>
      <c r="L262" s="1178" t="s">
        <v>677</v>
      </c>
      <c r="M262" s="1179">
        <f>(10*4500000)-13500000-4500000</f>
        <v>27000000</v>
      </c>
      <c r="N262" s="1386" t="s">
        <v>785</v>
      </c>
      <c r="O262" s="1174" t="s">
        <v>780</v>
      </c>
      <c r="P262" s="1207" t="s">
        <v>680</v>
      </c>
      <c r="Q262" s="1163"/>
      <c r="R262" s="1269">
        <v>27000000</v>
      </c>
      <c r="S262" s="1357">
        <v>27000000</v>
      </c>
      <c r="T262" s="1357">
        <f>+Tabla16[[#This Row],[CDPS A 31 JULIO 2022]]-Tabla16[[#This Row],[CDP]]</f>
        <v>0</v>
      </c>
      <c r="U262" s="1357">
        <v>27000000</v>
      </c>
      <c r="V262" s="1357">
        <v>18000000</v>
      </c>
      <c r="W262" s="1357"/>
    </row>
    <row r="263" spans="1:23" s="1207" customFormat="1" ht="105" x14ac:dyDescent="0.2">
      <c r="A263" s="1355">
        <v>2022221</v>
      </c>
      <c r="B263" s="1172">
        <v>7655</v>
      </c>
      <c r="C263" s="1356" t="s">
        <v>670</v>
      </c>
      <c r="D263" s="1190" t="s">
        <v>673</v>
      </c>
      <c r="E263" s="1174">
        <v>80111600</v>
      </c>
      <c r="F263" s="1389" t="s">
        <v>912</v>
      </c>
      <c r="G263" s="1390">
        <v>44562</v>
      </c>
      <c r="H263" s="1390">
        <v>44592</v>
      </c>
      <c r="I263" s="1176">
        <v>11.5</v>
      </c>
      <c r="J263" s="1176" t="s">
        <v>675</v>
      </c>
      <c r="K263" s="1177" t="s">
        <v>676</v>
      </c>
      <c r="L263" s="1178" t="s">
        <v>677</v>
      </c>
      <c r="M263" s="1179">
        <v>57500000</v>
      </c>
      <c r="N263" s="1386" t="s">
        <v>785</v>
      </c>
      <c r="O263" s="1174" t="s">
        <v>780</v>
      </c>
      <c r="P263" s="1207" t="s">
        <v>680</v>
      </c>
      <c r="Q263" s="1163"/>
      <c r="R263" s="1269">
        <v>55000000</v>
      </c>
      <c r="S263" s="1357">
        <v>55000000</v>
      </c>
      <c r="T263" s="1357">
        <f>+Tabla16[[#This Row],[CDPS A 31 JULIO 2022]]-Tabla16[[#This Row],[CDP]]</f>
        <v>0</v>
      </c>
      <c r="U263" s="1357">
        <v>55000000</v>
      </c>
      <c r="V263" s="1357">
        <v>21666667</v>
      </c>
      <c r="W263" s="1357"/>
    </row>
    <row r="264" spans="1:23" s="1207" customFormat="1" ht="105" x14ac:dyDescent="0.2">
      <c r="A264" s="1355">
        <v>2022222</v>
      </c>
      <c r="B264" s="1172">
        <v>7655</v>
      </c>
      <c r="C264" s="1356" t="s">
        <v>670</v>
      </c>
      <c r="D264" s="1190" t="s">
        <v>673</v>
      </c>
      <c r="E264" s="1174">
        <v>80111600</v>
      </c>
      <c r="F264" s="1389" t="s">
        <v>913</v>
      </c>
      <c r="G264" s="1390">
        <v>44562</v>
      </c>
      <c r="H264" s="1390">
        <v>44592</v>
      </c>
      <c r="I264" s="1176">
        <v>11.5</v>
      </c>
      <c r="J264" s="1176" t="s">
        <v>675</v>
      </c>
      <c r="K264" s="1177" t="s">
        <v>676</v>
      </c>
      <c r="L264" s="1178" t="s">
        <v>677</v>
      </c>
      <c r="M264" s="1179">
        <f>57500000-13500000-4500000</f>
        <v>39500000</v>
      </c>
      <c r="N264" s="1386" t="s">
        <v>785</v>
      </c>
      <c r="O264" s="1174" t="s">
        <v>780</v>
      </c>
      <c r="P264" s="1207" t="s">
        <v>680</v>
      </c>
      <c r="Q264" s="1163"/>
      <c r="R264" s="1269">
        <v>36000000</v>
      </c>
      <c r="S264" s="1357">
        <v>36000000</v>
      </c>
      <c r="T264" s="1357">
        <f>+Tabla16[[#This Row],[CDPS A 31 JULIO 2022]]-Tabla16[[#This Row],[CDP]]</f>
        <v>0</v>
      </c>
      <c r="U264" s="1357">
        <v>36000000</v>
      </c>
      <c r="V264" s="1357">
        <v>18000000</v>
      </c>
      <c r="W264" s="1357"/>
    </row>
    <row r="265" spans="1:23" s="1207" customFormat="1" ht="105" x14ac:dyDescent="0.2">
      <c r="A265" s="1355">
        <v>2022223</v>
      </c>
      <c r="B265" s="1172">
        <v>7655</v>
      </c>
      <c r="C265" s="1356" t="s">
        <v>670</v>
      </c>
      <c r="D265" s="1190" t="s">
        <v>673</v>
      </c>
      <c r="E265" s="1174">
        <v>80111600</v>
      </c>
      <c r="F265" s="1389" t="s">
        <v>914</v>
      </c>
      <c r="G265" s="1390">
        <v>44562</v>
      </c>
      <c r="H265" s="1390">
        <v>44592</v>
      </c>
      <c r="I265" s="1176">
        <v>11.5</v>
      </c>
      <c r="J265" s="1176" t="s">
        <v>675</v>
      </c>
      <c r="K265" s="1177" t="s">
        <v>676</v>
      </c>
      <c r="L265" s="1178" t="s">
        <v>677</v>
      </c>
      <c r="M265" s="1179">
        <f>72450000-3000000</f>
        <v>69450000</v>
      </c>
      <c r="N265" s="1386" t="s">
        <v>785</v>
      </c>
      <c r="O265" s="1174" t="s">
        <v>780</v>
      </c>
      <c r="P265" s="1207" t="s">
        <v>680</v>
      </c>
      <c r="Q265" s="1163"/>
      <c r="R265" s="1269">
        <v>69300000</v>
      </c>
      <c r="S265" s="1357">
        <v>69300000</v>
      </c>
      <c r="T265" s="1357">
        <f>+Tabla16[[#This Row],[CDPS A 31 JULIO 2022]]-Tabla16[[#This Row],[CDP]]</f>
        <v>0</v>
      </c>
      <c r="U265" s="1357">
        <v>69300000</v>
      </c>
      <c r="V265" s="1357">
        <v>24570000</v>
      </c>
      <c r="W265" s="1357"/>
    </row>
    <row r="266" spans="1:23" s="1207" customFormat="1" ht="105" x14ac:dyDescent="0.2">
      <c r="A266" s="1355">
        <v>2022224</v>
      </c>
      <c r="B266" s="1172">
        <v>7655</v>
      </c>
      <c r="C266" s="1356" t="s">
        <v>670</v>
      </c>
      <c r="D266" s="1190" t="s">
        <v>673</v>
      </c>
      <c r="E266" s="1174">
        <v>80111600</v>
      </c>
      <c r="F266" s="1389" t="s">
        <v>915</v>
      </c>
      <c r="G266" s="1390">
        <v>44562</v>
      </c>
      <c r="H266" s="1390">
        <v>44592</v>
      </c>
      <c r="I266" s="1176">
        <v>11.5</v>
      </c>
      <c r="J266" s="1176" t="s">
        <v>675</v>
      </c>
      <c r="K266" s="1177" t="s">
        <v>676</v>
      </c>
      <c r="L266" s="1178" t="s">
        <v>677</v>
      </c>
      <c r="M266" s="1179">
        <f>59800000-1407535</f>
        <v>58392465</v>
      </c>
      <c r="N266" s="1386" t="s">
        <v>785</v>
      </c>
      <c r="O266" s="1174" t="s">
        <v>780</v>
      </c>
      <c r="P266" s="1207" t="s">
        <v>680</v>
      </c>
      <c r="Q266" s="1163"/>
      <c r="R266" s="1269">
        <v>57200000</v>
      </c>
      <c r="S266" s="1357">
        <v>57200000</v>
      </c>
      <c r="T266" s="1357">
        <f>+Tabla16[[#This Row],[CDPS A 31 JULIO 2022]]-Tabla16[[#This Row],[CDP]]</f>
        <v>0</v>
      </c>
      <c r="U266" s="1357">
        <v>57200000</v>
      </c>
      <c r="V266" s="1357">
        <v>21320000</v>
      </c>
      <c r="W266" s="1357"/>
    </row>
    <row r="267" spans="1:23" s="1207" customFormat="1" ht="105" x14ac:dyDescent="0.2">
      <c r="A267" s="1355">
        <v>2022225</v>
      </c>
      <c r="B267" s="1172">
        <v>7655</v>
      </c>
      <c r="C267" s="1356" t="s">
        <v>670</v>
      </c>
      <c r="D267" s="1190" t="s">
        <v>673</v>
      </c>
      <c r="E267" s="1174">
        <v>80111600</v>
      </c>
      <c r="F267" s="1389" t="s">
        <v>916</v>
      </c>
      <c r="G267" s="1390">
        <v>44562</v>
      </c>
      <c r="H267" s="1390">
        <v>44592</v>
      </c>
      <c r="I267" s="1176">
        <v>9.5</v>
      </c>
      <c r="J267" s="1176" t="s">
        <v>675</v>
      </c>
      <c r="K267" s="1177" t="s">
        <v>676</v>
      </c>
      <c r="L267" s="1178" t="s">
        <v>677</v>
      </c>
      <c r="M267" s="1179">
        <f>57000000-14400000-31000000</f>
        <v>11600000</v>
      </c>
      <c r="N267" s="1386" t="s">
        <v>785</v>
      </c>
      <c r="O267" s="1174" t="s">
        <v>780</v>
      </c>
      <c r="P267" s="1207" t="s">
        <v>680</v>
      </c>
      <c r="Q267" s="1163"/>
      <c r="R267" s="1269">
        <v>40000000</v>
      </c>
      <c r="S267" s="1357">
        <v>40000000</v>
      </c>
      <c r="T267" s="1357">
        <f>+Tabla16[[#This Row],[CDPS A 31 JULIO 2022]]-Tabla16[[#This Row],[CDP]]</f>
        <v>0</v>
      </c>
      <c r="U267" s="1357">
        <v>40000000</v>
      </c>
      <c r="V267" s="1357">
        <v>5000000</v>
      </c>
      <c r="W267" s="1357"/>
    </row>
    <row r="268" spans="1:23" s="1207" customFormat="1" ht="105" x14ac:dyDescent="0.2">
      <c r="A268" s="1355">
        <v>2022226</v>
      </c>
      <c r="B268" s="1172">
        <v>7655</v>
      </c>
      <c r="C268" s="1356" t="s">
        <v>670</v>
      </c>
      <c r="D268" s="1190" t="s">
        <v>673</v>
      </c>
      <c r="E268" s="1174">
        <v>80111600</v>
      </c>
      <c r="F268" s="1389" t="s">
        <v>917</v>
      </c>
      <c r="G268" s="1390"/>
      <c r="H268" s="1390"/>
      <c r="I268" s="1176"/>
      <c r="J268" s="1176" t="s">
        <v>675</v>
      </c>
      <c r="K268" s="1177" t="s">
        <v>676</v>
      </c>
      <c r="L268" s="1178" t="s">
        <v>677</v>
      </c>
      <c r="M268" s="1179">
        <v>13800000</v>
      </c>
      <c r="N268" s="1386" t="s">
        <v>785</v>
      </c>
      <c r="O268" s="1174" t="s">
        <v>780</v>
      </c>
      <c r="P268" s="1207" t="s">
        <v>750</v>
      </c>
      <c r="Q268" s="1163"/>
      <c r="R268" s="1269">
        <v>0</v>
      </c>
      <c r="S268" s="1357"/>
      <c r="T268" s="1357">
        <f>+Tabla16[[#This Row],[CDPS A 31 JULIO 2022]]-Tabla16[[#This Row],[CDP]]</f>
        <v>0</v>
      </c>
      <c r="U268" s="1357"/>
      <c r="V268" s="1357"/>
      <c r="W268" s="1357"/>
    </row>
    <row r="269" spans="1:23" s="1207" customFormat="1" ht="105" x14ac:dyDescent="0.2">
      <c r="A269" s="1355">
        <v>2022227</v>
      </c>
      <c r="B269" s="1172">
        <v>7655</v>
      </c>
      <c r="C269" s="1356" t="s">
        <v>670</v>
      </c>
      <c r="D269" s="1190" t="s">
        <v>671</v>
      </c>
      <c r="E269" s="1174">
        <v>80111600</v>
      </c>
      <c r="F269" s="1389" t="s">
        <v>918</v>
      </c>
      <c r="G269" s="1390">
        <v>44562</v>
      </c>
      <c r="H269" s="1390">
        <v>44592</v>
      </c>
      <c r="I269" s="1176">
        <v>11</v>
      </c>
      <c r="J269" s="1176" t="s">
        <v>675</v>
      </c>
      <c r="K269" s="1177" t="s">
        <v>676</v>
      </c>
      <c r="L269" s="1178" t="s">
        <v>677</v>
      </c>
      <c r="M269" s="1179">
        <f>29920000-2920000</f>
        <v>27000000</v>
      </c>
      <c r="N269" s="1386" t="s">
        <v>785</v>
      </c>
      <c r="O269" s="1174" t="s">
        <v>780</v>
      </c>
      <c r="P269" s="1207" t="s">
        <v>680</v>
      </c>
      <c r="Q269" s="1163"/>
      <c r="R269" s="1269">
        <v>27000000</v>
      </c>
      <c r="S269" s="1357">
        <v>27000000</v>
      </c>
      <c r="T269" s="1357">
        <f>+Tabla16[[#This Row],[CDPS A 31 JULIO 2022]]-Tabla16[[#This Row],[CDP]]</f>
        <v>0</v>
      </c>
      <c r="U269" s="1357">
        <v>27000000</v>
      </c>
      <c r="V269" s="1357">
        <v>13300000</v>
      </c>
      <c r="W269" s="1357"/>
    </row>
    <row r="270" spans="1:23" s="1207" customFormat="1" ht="105" x14ac:dyDescent="0.2">
      <c r="A270" s="1355">
        <v>2022228</v>
      </c>
      <c r="B270" s="1172">
        <v>7655</v>
      </c>
      <c r="C270" s="1356" t="s">
        <v>670</v>
      </c>
      <c r="D270" s="1190" t="s">
        <v>671</v>
      </c>
      <c r="E270" s="1174">
        <v>80111600</v>
      </c>
      <c r="F270" s="1389" t="s">
        <v>919</v>
      </c>
      <c r="G270" s="1390">
        <v>44562</v>
      </c>
      <c r="H270" s="1390">
        <v>44592</v>
      </c>
      <c r="I270" s="1176">
        <v>11</v>
      </c>
      <c r="J270" s="1176" t="s">
        <v>675</v>
      </c>
      <c r="K270" s="1177" t="s">
        <v>676</v>
      </c>
      <c r="L270" s="1178" t="s">
        <v>677</v>
      </c>
      <c r="M270" s="1179">
        <v>30800000</v>
      </c>
      <c r="N270" s="1386" t="s">
        <v>785</v>
      </c>
      <c r="O270" s="1174" t="s">
        <v>780</v>
      </c>
      <c r="P270" s="1207" t="s">
        <v>680</v>
      </c>
      <c r="Q270" s="1163"/>
      <c r="R270" s="1269">
        <v>30800000</v>
      </c>
      <c r="S270" s="1357">
        <v>30800000</v>
      </c>
      <c r="T270" s="1357">
        <f>+Tabla16[[#This Row],[CDPS A 31 JULIO 2022]]-Tabla16[[#This Row],[CDP]]</f>
        <v>0</v>
      </c>
      <c r="U270" s="1357">
        <v>30800000</v>
      </c>
      <c r="V270" s="1357">
        <v>11760000</v>
      </c>
      <c r="W270" s="1357"/>
    </row>
    <row r="271" spans="1:23" s="1207" customFormat="1" ht="105" x14ac:dyDescent="0.2">
      <c r="A271" s="1355">
        <v>2022229</v>
      </c>
      <c r="B271" s="1172">
        <v>7655</v>
      </c>
      <c r="C271" s="1356" t="s">
        <v>670</v>
      </c>
      <c r="D271" s="1190" t="s">
        <v>671</v>
      </c>
      <c r="E271" s="1174">
        <v>80111600</v>
      </c>
      <c r="F271" s="1389" t="s">
        <v>920</v>
      </c>
      <c r="G271" s="1390">
        <v>44562</v>
      </c>
      <c r="H271" s="1390">
        <v>44592</v>
      </c>
      <c r="I271" s="1176">
        <v>11</v>
      </c>
      <c r="J271" s="1176" t="s">
        <v>675</v>
      </c>
      <c r="K271" s="1177" t="s">
        <v>676</v>
      </c>
      <c r="L271" s="1178" t="s">
        <v>677</v>
      </c>
      <c r="M271" s="1179">
        <f>78320000-35600000</f>
        <v>42720000</v>
      </c>
      <c r="N271" s="1386" t="s">
        <v>785</v>
      </c>
      <c r="O271" s="1174" t="s">
        <v>780</v>
      </c>
      <c r="P271" s="1207" t="s">
        <v>680</v>
      </c>
      <c r="Q271" s="1163"/>
      <c r="R271" s="1269">
        <v>42720000</v>
      </c>
      <c r="S271" s="1357">
        <v>42720000</v>
      </c>
      <c r="T271" s="1357">
        <f>+Tabla16[[#This Row],[CDPS A 31 JULIO 2022]]-Tabla16[[#This Row],[CDP]]</f>
        <v>0</v>
      </c>
      <c r="U271" s="1357">
        <v>42720000</v>
      </c>
      <c r="V271" s="1357">
        <v>31802667</v>
      </c>
      <c r="W271" s="1357"/>
    </row>
    <row r="272" spans="1:23" s="1207" customFormat="1" ht="105" x14ac:dyDescent="0.2">
      <c r="A272" s="1355">
        <v>2022230</v>
      </c>
      <c r="B272" s="1172">
        <v>7655</v>
      </c>
      <c r="C272" s="1356" t="s">
        <v>670</v>
      </c>
      <c r="D272" s="1190" t="s">
        <v>671</v>
      </c>
      <c r="E272" s="1174">
        <v>80111600</v>
      </c>
      <c r="F272" s="1389" t="s">
        <v>921</v>
      </c>
      <c r="G272" s="1390">
        <v>44562</v>
      </c>
      <c r="H272" s="1390">
        <v>44592</v>
      </c>
      <c r="I272" s="1176">
        <v>11</v>
      </c>
      <c r="J272" s="1176" t="s">
        <v>675</v>
      </c>
      <c r="K272" s="1177" t="s">
        <v>676</v>
      </c>
      <c r="L272" s="1178" t="s">
        <v>677</v>
      </c>
      <c r="M272" s="1179">
        <v>102520000</v>
      </c>
      <c r="N272" s="1386" t="s">
        <v>785</v>
      </c>
      <c r="O272" s="1174" t="s">
        <v>780</v>
      </c>
      <c r="P272" s="1207" t="s">
        <v>680</v>
      </c>
      <c r="Q272" s="1163"/>
      <c r="R272" s="1269">
        <v>205040000</v>
      </c>
      <c r="S272" s="1357">
        <v>205040000</v>
      </c>
      <c r="T272" s="1357">
        <f>+Tabla16[[#This Row],[CDPS A 31 JULIO 2022]]-Tabla16[[#This Row],[CDP]]</f>
        <v>0</v>
      </c>
      <c r="U272" s="1357">
        <v>102520000</v>
      </c>
      <c r="V272" s="1357">
        <v>41008000</v>
      </c>
      <c r="W272" s="1357"/>
    </row>
    <row r="273" spans="1:23" s="1207" customFormat="1" ht="105" x14ac:dyDescent="0.2">
      <c r="A273" s="1355">
        <v>2022231</v>
      </c>
      <c r="B273" s="1172">
        <v>7655</v>
      </c>
      <c r="C273" s="1356" t="s">
        <v>670</v>
      </c>
      <c r="D273" s="1190" t="s">
        <v>671</v>
      </c>
      <c r="E273" s="1174">
        <v>80111600</v>
      </c>
      <c r="F273" s="1389" t="s">
        <v>922</v>
      </c>
      <c r="G273" s="1390">
        <v>44562</v>
      </c>
      <c r="H273" s="1390">
        <v>44592</v>
      </c>
      <c r="I273" s="1176">
        <v>11</v>
      </c>
      <c r="J273" s="1176" t="s">
        <v>675</v>
      </c>
      <c r="K273" s="1177" t="s">
        <v>676</v>
      </c>
      <c r="L273" s="1178" t="s">
        <v>677</v>
      </c>
      <c r="M273" s="1179">
        <f>101200000-8800000-19200000</f>
        <v>73200000</v>
      </c>
      <c r="N273" s="1386" t="s">
        <v>785</v>
      </c>
      <c r="O273" s="1174" t="s">
        <v>780</v>
      </c>
      <c r="P273" s="1207" t="s">
        <v>680</v>
      </c>
      <c r="Q273" s="1163"/>
      <c r="R273" s="1269">
        <v>55200000</v>
      </c>
      <c r="S273" s="1357">
        <v>55200000</v>
      </c>
      <c r="T273" s="1357">
        <f>+Tabla16[[#This Row],[CDPS A 31 JULIO 2022]]-Tabla16[[#This Row],[CDP]]</f>
        <v>0</v>
      </c>
      <c r="U273" s="1357">
        <v>55200000</v>
      </c>
      <c r="V273" s="1357">
        <v>40786667</v>
      </c>
      <c r="W273" s="1357"/>
    </row>
    <row r="274" spans="1:23" s="1207" customFormat="1" ht="105" x14ac:dyDescent="0.2">
      <c r="A274" s="1355">
        <v>2022232</v>
      </c>
      <c r="B274" s="1172">
        <v>7655</v>
      </c>
      <c r="C274" s="1356" t="s">
        <v>670</v>
      </c>
      <c r="D274" s="1190" t="s">
        <v>671</v>
      </c>
      <c r="E274" s="1174">
        <v>80111600</v>
      </c>
      <c r="F274" s="1389" t="s">
        <v>923</v>
      </c>
      <c r="G274" s="1390">
        <v>44562</v>
      </c>
      <c r="H274" s="1390">
        <v>44592</v>
      </c>
      <c r="I274" s="1176">
        <v>11</v>
      </c>
      <c r="J274" s="1176" t="s">
        <v>675</v>
      </c>
      <c r="K274" s="1177" t="s">
        <v>676</v>
      </c>
      <c r="L274" s="1178" t="s">
        <v>677</v>
      </c>
      <c r="M274" s="1179">
        <v>58080000</v>
      </c>
      <c r="N274" s="1386" t="s">
        <v>785</v>
      </c>
      <c r="O274" s="1174" t="s">
        <v>780</v>
      </c>
      <c r="P274" s="1207" t="s">
        <v>680</v>
      </c>
      <c r="Q274" s="1163"/>
      <c r="R274" s="1269">
        <v>58080000</v>
      </c>
      <c r="S274" s="1357">
        <v>58080000</v>
      </c>
      <c r="T274" s="1357">
        <f>+Tabla16[[#This Row],[CDPS A 31 JULIO 2022]]-Tabla16[[#This Row],[CDP]]</f>
        <v>0</v>
      </c>
      <c r="U274" s="1357">
        <v>58080000</v>
      </c>
      <c r="V274" s="1357">
        <v>24112000</v>
      </c>
      <c r="W274" s="1357"/>
    </row>
    <row r="275" spans="1:23" s="1207" customFormat="1" ht="105" x14ac:dyDescent="0.2">
      <c r="A275" s="1355">
        <v>2022233</v>
      </c>
      <c r="B275" s="1172">
        <v>7655</v>
      </c>
      <c r="C275" s="1356" t="s">
        <v>670</v>
      </c>
      <c r="D275" s="1190" t="s">
        <v>671</v>
      </c>
      <c r="E275" s="1174">
        <v>80111600</v>
      </c>
      <c r="F275" s="1389" t="s">
        <v>924</v>
      </c>
      <c r="G275" s="1390">
        <v>44562</v>
      </c>
      <c r="H275" s="1390">
        <v>44592</v>
      </c>
      <c r="I275" s="1176">
        <v>11</v>
      </c>
      <c r="J275" s="1176" t="s">
        <v>675</v>
      </c>
      <c r="K275" s="1177" t="s">
        <v>676</v>
      </c>
      <c r="L275" s="1178" t="s">
        <v>677</v>
      </c>
      <c r="M275" s="1179">
        <v>42350000</v>
      </c>
      <c r="N275" s="1386" t="s">
        <v>785</v>
      </c>
      <c r="O275" s="1174" t="s">
        <v>780</v>
      </c>
      <c r="P275" s="1207" t="s">
        <v>680</v>
      </c>
      <c r="Q275" s="1163"/>
      <c r="R275" s="1269">
        <v>42350000</v>
      </c>
      <c r="S275" s="1357">
        <v>42350000</v>
      </c>
      <c r="T275" s="1357">
        <f>+Tabla16[[#This Row],[CDPS A 31 JULIO 2022]]-Tabla16[[#This Row],[CDP]]</f>
        <v>0</v>
      </c>
      <c r="U275" s="1357">
        <v>42350000</v>
      </c>
      <c r="V275" s="1357">
        <v>17068333</v>
      </c>
      <c r="W275" s="1357"/>
    </row>
    <row r="276" spans="1:23" s="1207" customFormat="1" ht="105" x14ac:dyDescent="0.2">
      <c r="A276" s="1355">
        <v>2022234</v>
      </c>
      <c r="B276" s="1172">
        <v>7655</v>
      </c>
      <c r="C276" s="1356" t="s">
        <v>670</v>
      </c>
      <c r="D276" s="1190" t="s">
        <v>671</v>
      </c>
      <c r="E276" s="1174">
        <v>80111600</v>
      </c>
      <c r="F276" s="1389" t="s">
        <v>925</v>
      </c>
      <c r="G276" s="1390">
        <v>44562</v>
      </c>
      <c r="H276" s="1390">
        <v>44592</v>
      </c>
      <c r="I276" s="1176">
        <v>11</v>
      </c>
      <c r="J276" s="1176" t="s">
        <v>675</v>
      </c>
      <c r="K276" s="1177" t="s">
        <v>676</v>
      </c>
      <c r="L276" s="1178" t="s">
        <v>677</v>
      </c>
      <c r="M276" s="1179">
        <f>39600000-11500000-5480000</f>
        <v>22620000</v>
      </c>
      <c r="N276" s="1386" t="s">
        <v>785</v>
      </c>
      <c r="O276" s="1174" t="s">
        <v>780</v>
      </c>
      <c r="P276" s="1207" t="s">
        <v>680</v>
      </c>
      <c r="Q276" s="1163"/>
      <c r="R276" s="1269">
        <v>13800000</v>
      </c>
      <c r="S276" s="1357">
        <v>13800000</v>
      </c>
      <c r="T276" s="1357">
        <f>+Tabla16[[#This Row],[CDPS A 31 JULIO 2022]]-Tabla16[[#This Row],[CDP]]</f>
        <v>0</v>
      </c>
      <c r="U276" s="1357">
        <v>13800000</v>
      </c>
      <c r="V276" s="1357">
        <v>9046667</v>
      </c>
      <c r="W276" s="1357"/>
    </row>
    <row r="277" spans="1:23" s="1207" customFormat="1" ht="105" x14ac:dyDescent="0.2">
      <c r="A277" s="1355">
        <v>2022235</v>
      </c>
      <c r="B277" s="1172">
        <v>7655</v>
      </c>
      <c r="C277" s="1356" t="s">
        <v>670</v>
      </c>
      <c r="D277" s="1190" t="s">
        <v>671</v>
      </c>
      <c r="E277" s="1174">
        <v>80111600</v>
      </c>
      <c r="F277" s="1389" t="s">
        <v>926</v>
      </c>
      <c r="G277" s="1390">
        <v>44562</v>
      </c>
      <c r="H277" s="1390">
        <v>44592</v>
      </c>
      <c r="I277" s="1176">
        <v>11</v>
      </c>
      <c r="J277" s="1176" t="s">
        <v>675</v>
      </c>
      <c r="K277" s="1177" t="s">
        <v>676</v>
      </c>
      <c r="L277" s="1178" t="s">
        <v>677</v>
      </c>
      <c r="M277" s="1179">
        <v>39600000</v>
      </c>
      <c r="N277" s="1386" t="s">
        <v>785</v>
      </c>
      <c r="O277" s="1174" t="s">
        <v>780</v>
      </c>
      <c r="P277" s="1207" t="s">
        <v>680</v>
      </c>
      <c r="Q277" s="1163"/>
      <c r="R277" s="1269">
        <v>39600000</v>
      </c>
      <c r="S277" s="1357">
        <v>39600000</v>
      </c>
      <c r="T277" s="1357">
        <f>+Tabla16[[#This Row],[CDPS A 31 JULIO 2022]]-Tabla16[[#This Row],[CDP]]</f>
        <v>0</v>
      </c>
      <c r="U277" s="1357">
        <v>39600000</v>
      </c>
      <c r="V277" s="1357">
        <v>15840000</v>
      </c>
      <c r="W277" s="1357"/>
    </row>
    <row r="278" spans="1:23" s="1207" customFormat="1" ht="135" x14ac:dyDescent="0.2">
      <c r="A278" s="1355">
        <v>2022236</v>
      </c>
      <c r="B278" s="1172">
        <v>7658</v>
      </c>
      <c r="C278" s="1356" t="s">
        <v>681</v>
      </c>
      <c r="D278" s="1190" t="s">
        <v>700</v>
      </c>
      <c r="E278" s="1174">
        <v>80111600</v>
      </c>
      <c r="F278" s="1389" t="s">
        <v>927</v>
      </c>
      <c r="G278" s="1390">
        <v>44562</v>
      </c>
      <c r="H278" s="1390">
        <v>44592</v>
      </c>
      <c r="I278" s="1176">
        <v>11.5</v>
      </c>
      <c r="J278" s="1176" t="s">
        <v>675</v>
      </c>
      <c r="K278" s="1177" t="s">
        <v>676</v>
      </c>
      <c r="L278" s="1178" t="s">
        <v>677</v>
      </c>
      <c r="M278" s="1179">
        <f>39100000-1700000</f>
        <v>37400000</v>
      </c>
      <c r="N278" s="1386" t="s">
        <v>786</v>
      </c>
      <c r="O278" s="1174" t="s">
        <v>773</v>
      </c>
      <c r="P278" s="1163" t="s">
        <v>680</v>
      </c>
      <c r="Q278" s="1163"/>
      <c r="R278" s="1357">
        <v>37400000</v>
      </c>
      <c r="S278" s="1357">
        <v>37400000</v>
      </c>
      <c r="T278" s="1357">
        <f>+Tabla16[[#This Row],[CDPS A 31 JULIO 2022]]-Tabla16[[#This Row],[CDP]]</f>
        <v>0</v>
      </c>
      <c r="U278" s="1357">
        <v>37400000</v>
      </c>
      <c r="V278" s="1357">
        <v>14053333</v>
      </c>
      <c r="W278" s="1357"/>
    </row>
    <row r="279" spans="1:23" s="1207" customFormat="1" ht="105" x14ac:dyDescent="0.2">
      <c r="A279" s="1355">
        <v>2022237</v>
      </c>
      <c r="B279" s="1172">
        <v>7655</v>
      </c>
      <c r="C279" s="1356" t="s">
        <v>670</v>
      </c>
      <c r="D279" s="1190" t="s">
        <v>671</v>
      </c>
      <c r="E279" s="1174">
        <v>80111600</v>
      </c>
      <c r="F279" s="1389" t="s">
        <v>928</v>
      </c>
      <c r="G279" s="1390">
        <v>44562</v>
      </c>
      <c r="H279" s="1390">
        <v>44592</v>
      </c>
      <c r="I279" s="1176">
        <v>11</v>
      </c>
      <c r="J279" s="1176" t="s">
        <v>675</v>
      </c>
      <c r="K279" s="1177" t="s">
        <v>676</v>
      </c>
      <c r="L279" s="1178" t="s">
        <v>677</v>
      </c>
      <c r="M279" s="1179">
        <v>48735000</v>
      </c>
      <c r="N279" s="1386" t="s">
        <v>785</v>
      </c>
      <c r="O279" s="1174" t="s">
        <v>780</v>
      </c>
      <c r="P279" s="1163" t="s">
        <v>680</v>
      </c>
      <c r="Q279" s="1163"/>
      <c r="R279" s="1269">
        <v>0</v>
      </c>
      <c r="S279" s="1357"/>
      <c r="T279" s="1357">
        <f>+Tabla16[[#This Row],[CDPS A 31 JULIO 2022]]-Tabla16[[#This Row],[CDP]]</f>
        <v>0</v>
      </c>
      <c r="U279" s="1357"/>
      <c r="V279" s="1357"/>
      <c r="W279" s="1357"/>
    </row>
    <row r="280" spans="1:23" s="1207" customFormat="1" ht="105" x14ac:dyDescent="0.2">
      <c r="A280" s="1355">
        <v>2022238</v>
      </c>
      <c r="B280" s="1172">
        <v>7655</v>
      </c>
      <c r="C280" s="1356" t="s">
        <v>670</v>
      </c>
      <c r="D280" s="1190" t="s">
        <v>671</v>
      </c>
      <c r="E280" s="1174">
        <v>80111600</v>
      </c>
      <c r="F280" s="1389" t="s">
        <v>929</v>
      </c>
      <c r="G280" s="1390">
        <v>44562</v>
      </c>
      <c r="H280" s="1390">
        <v>44592</v>
      </c>
      <c r="I280" s="1176">
        <v>11</v>
      </c>
      <c r="J280" s="1176" t="s">
        <v>675</v>
      </c>
      <c r="K280" s="1177" t="s">
        <v>676</v>
      </c>
      <c r="L280" s="1178" t="s">
        <v>677</v>
      </c>
      <c r="M280" s="1179">
        <f>44000000+8800000-24000000</f>
        <v>28800000</v>
      </c>
      <c r="N280" s="1386" t="s">
        <v>785</v>
      </c>
      <c r="O280" s="1174" t="s">
        <v>780</v>
      </c>
      <c r="P280" s="1163" t="s">
        <v>680</v>
      </c>
      <c r="Q280" s="1163"/>
      <c r="R280" s="1269">
        <v>28800000</v>
      </c>
      <c r="S280" s="1357">
        <v>28800000</v>
      </c>
      <c r="T280" s="1357">
        <f>+Tabla16[[#This Row],[CDPS A 31 JULIO 2022]]-Tabla16[[#This Row],[CDP]]</f>
        <v>0</v>
      </c>
      <c r="U280" s="1357">
        <v>28800000</v>
      </c>
      <c r="V280" s="1357">
        <v>18880000</v>
      </c>
      <c r="W280" s="1357"/>
    </row>
    <row r="281" spans="1:23" s="1207" customFormat="1" ht="105" x14ac:dyDescent="0.2">
      <c r="A281" s="1355">
        <v>2022239</v>
      </c>
      <c r="B281" s="1172">
        <v>7655</v>
      </c>
      <c r="C281" s="1356" t="s">
        <v>670</v>
      </c>
      <c r="D281" s="1190" t="s">
        <v>646</v>
      </c>
      <c r="E281" s="1174">
        <v>80111600</v>
      </c>
      <c r="F281" s="1389" t="s">
        <v>930</v>
      </c>
      <c r="G281" s="1390">
        <v>44562</v>
      </c>
      <c r="H281" s="1390">
        <v>44592</v>
      </c>
      <c r="I281" s="1176">
        <v>11</v>
      </c>
      <c r="J281" s="1176" t="s">
        <v>675</v>
      </c>
      <c r="K281" s="1177" t="s">
        <v>676</v>
      </c>
      <c r="L281" s="1178" t="s">
        <v>677</v>
      </c>
      <c r="M281" s="1179">
        <v>102520000</v>
      </c>
      <c r="N281" s="1386" t="s">
        <v>785</v>
      </c>
      <c r="O281" s="1174" t="s">
        <v>780</v>
      </c>
      <c r="P281" s="1163" t="s">
        <v>680</v>
      </c>
      <c r="Q281" s="1163"/>
      <c r="R281" s="1269">
        <v>102520000</v>
      </c>
      <c r="S281" s="1357">
        <v>102520000</v>
      </c>
      <c r="T281" s="1357">
        <f>+Tabla16[[#This Row],[CDPS A 31 JULIO 2022]]-Tabla16[[#This Row],[CDP]]</f>
        <v>0</v>
      </c>
      <c r="U281" s="1357">
        <v>102520000</v>
      </c>
      <c r="V281" s="1357">
        <v>37901334</v>
      </c>
      <c r="W281" s="1357"/>
    </row>
    <row r="282" spans="1:23" s="1207" customFormat="1" ht="105" x14ac:dyDescent="0.2">
      <c r="A282" s="1355">
        <v>2022240</v>
      </c>
      <c r="B282" s="1172">
        <v>7655</v>
      </c>
      <c r="C282" s="1356" t="s">
        <v>670</v>
      </c>
      <c r="D282" s="1190" t="s">
        <v>646</v>
      </c>
      <c r="E282" s="1174">
        <v>80111600</v>
      </c>
      <c r="F282" s="1389" t="s">
        <v>931</v>
      </c>
      <c r="G282" s="1390">
        <v>44562</v>
      </c>
      <c r="H282" s="1390">
        <v>44592</v>
      </c>
      <c r="I282" s="1176">
        <v>11</v>
      </c>
      <c r="J282" s="1176" t="s">
        <v>675</v>
      </c>
      <c r="K282" s="1177" t="s">
        <v>676</v>
      </c>
      <c r="L282" s="1178" t="s">
        <v>677</v>
      </c>
      <c r="M282" s="1179">
        <v>90200000</v>
      </c>
      <c r="N282" s="1386" t="s">
        <v>785</v>
      </c>
      <c r="O282" s="1174" t="s">
        <v>780</v>
      </c>
      <c r="P282" s="1163" t="s">
        <v>680</v>
      </c>
      <c r="Q282" s="1163"/>
      <c r="R282" s="1269">
        <v>90200000</v>
      </c>
      <c r="S282" s="1357">
        <v>90200000</v>
      </c>
      <c r="T282" s="1357">
        <f>+Tabla16[[#This Row],[CDPS A 31 JULIO 2022]]-Tabla16[[#This Row],[CDP]]</f>
        <v>0</v>
      </c>
      <c r="U282" s="1357">
        <v>90200000</v>
      </c>
      <c r="V282" s="1357">
        <v>37720000</v>
      </c>
      <c r="W282" s="1357"/>
    </row>
    <row r="283" spans="1:23" s="1207" customFormat="1" ht="105" x14ac:dyDescent="0.2">
      <c r="A283" s="1355">
        <v>2022241</v>
      </c>
      <c r="B283" s="1172">
        <v>7655</v>
      </c>
      <c r="C283" s="1356" t="s">
        <v>670</v>
      </c>
      <c r="D283" s="1190" t="s">
        <v>646</v>
      </c>
      <c r="E283" s="1174">
        <v>80111600</v>
      </c>
      <c r="F283" s="1389" t="s">
        <v>932</v>
      </c>
      <c r="G283" s="1390">
        <v>44562</v>
      </c>
      <c r="H283" s="1390">
        <v>44592</v>
      </c>
      <c r="I283" s="1176">
        <v>11</v>
      </c>
      <c r="J283" s="1176" t="s">
        <v>675</v>
      </c>
      <c r="K283" s="1177" t="s">
        <v>676</v>
      </c>
      <c r="L283" s="1178" t="s">
        <v>677</v>
      </c>
      <c r="M283" s="1179">
        <v>82500000</v>
      </c>
      <c r="N283" s="1386" t="s">
        <v>785</v>
      </c>
      <c r="O283" s="1174" t="s">
        <v>780</v>
      </c>
      <c r="P283" s="1163" t="s">
        <v>680</v>
      </c>
      <c r="Q283" s="1163"/>
      <c r="R283" s="1269">
        <v>82500000</v>
      </c>
      <c r="S283" s="1357">
        <v>82500000</v>
      </c>
      <c r="T283" s="1357">
        <f>+Tabla16[[#This Row],[CDPS A 31 JULIO 2022]]-Tabla16[[#This Row],[CDP]]</f>
        <v>0</v>
      </c>
      <c r="U283" s="1357">
        <v>82500000</v>
      </c>
      <c r="V283" s="1357">
        <v>32750000</v>
      </c>
      <c r="W283" s="1357"/>
    </row>
    <row r="284" spans="1:23" s="1207" customFormat="1" ht="105" x14ac:dyDescent="0.2">
      <c r="A284" s="1355">
        <v>2022242</v>
      </c>
      <c r="B284" s="1172">
        <v>7655</v>
      </c>
      <c r="C284" s="1356" t="s">
        <v>670</v>
      </c>
      <c r="D284" s="1190" t="s">
        <v>646</v>
      </c>
      <c r="E284" s="1174">
        <v>80111600</v>
      </c>
      <c r="F284" s="1389" t="s">
        <v>933</v>
      </c>
      <c r="G284" s="1390">
        <v>44562</v>
      </c>
      <c r="H284" s="1390">
        <v>44592</v>
      </c>
      <c r="I284" s="1176">
        <v>11</v>
      </c>
      <c r="J284" s="1176" t="s">
        <v>675</v>
      </c>
      <c r="K284" s="1177" t="s">
        <v>676</v>
      </c>
      <c r="L284" s="1178" t="s">
        <v>677</v>
      </c>
      <c r="M284" s="1179">
        <v>50600000</v>
      </c>
      <c r="N284" s="1386" t="s">
        <v>785</v>
      </c>
      <c r="O284" s="1174" t="s">
        <v>780</v>
      </c>
      <c r="P284" s="1163" t="s">
        <v>680</v>
      </c>
      <c r="Q284" s="1163"/>
      <c r="R284" s="1269">
        <v>50600000</v>
      </c>
      <c r="S284" s="1357">
        <v>50600000</v>
      </c>
      <c r="T284" s="1357">
        <f>+Tabla16[[#This Row],[CDPS A 31 JULIO 2022]]-Tabla16[[#This Row],[CDP]]</f>
        <v>0</v>
      </c>
      <c r="U284" s="1357">
        <v>50600000</v>
      </c>
      <c r="V284" s="1357">
        <v>19320000</v>
      </c>
      <c r="W284" s="1357"/>
    </row>
    <row r="285" spans="1:23" s="1207" customFormat="1" ht="105" x14ac:dyDescent="0.2">
      <c r="A285" s="1355">
        <v>2022243</v>
      </c>
      <c r="B285" s="1172">
        <v>7655</v>
      </c>
      <c r="C285" s="1356" t="s">
        <v>670</v>
      </c>
      <c r="D285" s="1190" t="s">
        <v>646</v>
      </c>
      <c r="E285" s="1174">
        <v>80111600</v>
      </c>
      <c r="F285" s="1389" t="s">
        <v>934</v>
      </c>
      <c r="G285" s="1390">
        <v>44562</v>
      </c>
      <c r="H285" s="1390">
        <v>44592</v>
      </c>
      <c r="I285" s="1176">
        <v>11</v>
      </c>
      <c r="J285" s="1176" t="s">
        <v>675</v>
      </c>
      <c r="K285" s="1177" t="s">
        <v>676</v>
      </c>
      <c r="L285" s="1178" t="s">
        <v>677</v>
      </c>
      <c r="M285" s="1179">
        <v>35200000</v>
      </c>
      <c r="N285" s="1386" t="s">
        <v>785</v>
      </c>
      <c r="O285" s="1174" t="s">
        <v>780</v>
      </c>
      <c r="P285" s="1163" t="s">
        <v>680</v>
      </c>
      <c r="Q285" s="1163"/>
      <c r="R285" s="1269">
        <v>30250000</v>
      </c>
      <c r="S285" s="1357">
        <v>30250000</v>
      </c>
      <c r="T285" s="1357">
        <f>+Tabla16[[#This Row],[CDPS A 31 JULIO 2022]]-Tabla16[[#This Row],[CDP]]</f>
        <v>0</v>
      </c>
      <c r="U285" s="1357">
        <v>30250000</v>
      </c>
      <c r="V285" s="1357">
        <v>10450000</v>
      </c>
      <c r="W285" s="1357"/>
    </row>
    <row r="286" spans="1:23" s="1207" customFormat="1" ht="105" x14ac:dyDescent="0.2">
      <c r="A286" s="1355">
        <v>2022244</v>
      </c>
      <c r="B286" s="1172">
        <v>7655</v>
      </c>
      <c r="C286" s="1356" t="s">
        <v>670</v>
      </c>
      <c r="D286" s="1190" t="s">
        <v>646</v>
      </c>
      <c r="E286" s="1174">
        <v>80111600</v>
      </c>
      <c r="F286" s="1389" t="s">
        <v>935</v>
      </c>
      <c r="G286" s="1390">
        <v>44562</v>
      </c>
      <c r="H286" s="1390">
        <v>44592</v>
      </c>
      <c r="I286" s="1176">
        <v>11</v>
      </c>
      <c r="J286" s="1176" t="s">
        <v>675</v>
      </c>
      <c r="K286" s="1177" t="s">
        <v>676</v>
      </c>
      <c r="L286" s="1178" t="s">
        <v>677</v>
      </c>
      <c r="M286" s="1179">
        <v>39050000</v>
      </c>
      <c r="N286" s="1386" t="s">
        <v>785</v>
      </c>
      <c r="O286" s="1174" t="s">
        <v>780</v>
      </c>
      <c r="P286" s="1163" t="s">
        <v>680</v>
      </c>
      <c r="Q286" s="1163"/>
      <c r="R286" s="1269">
        <v>39050000</v>
      </c>
      <c r="S286" s="1357">
        <v>39050000</v>
      </c>
      <c r="T286" s="1357">
        <f>+Tabla16[[#This Row],[CDPS A 31 JULIO 2022]]-Tabla16[[#This Row],[CDP]]</f>
        <v>0</v>
      </c>
      <c r="U286" s="1357">
        <v>39050000</v>
      </c>
      <c r="V286" s="1357">
        <v>15501667</v>
      </c>
      <c r="W286" s="1357"/>
    </row>
    <row r="287" spans="1:23" s="1207" customFormat="1" ht="105" x14ac:dyDescent="0.2">
      <c r="A287" s="1355">
        <v>2022245</v>
      </c>
      <c r="B287" s="1172">
        <v>7655</v>
      </c>
      <c r="C287" s="1356" t="s">
        <v>670</v>
      </c>
      <c r="D287" s="1190" t="s">
        <v>646</v>
      </c>
      <c r="E287" s="1174">
        <v>80111600</v>
      </c>
      <c r="F287" s="1389" t="s">
        <v>936</v>
      </c>
      <c r="G287" s="1390">
        <v>44562</v>
      </c>
      <c r="H287" s="1390">
        <v>44592</v>
      </c>
      <c r="I287" s="1176">
        <v>11</v>
      </c>
      <c r="J287" s="1176" t="s">
        <v>675</v>
      </c>
      <c r="K287" s="1177" t="s">
        <v>676</v>
      </c>
      <c r="L287" s="1178" t="s">
        <v>677</v>
      </c>
      <c r="M287" s="1179">
        <v>39050000</v>
      </c>
      <c r="N287" s="1386" t="s">
        <v>785</v>
      </c>
      <c r="O287" s="1174" t="s">
        <v>780</v>
      </c>
      <c r="P287" s="1163" t="s">
        <v>680</v>
      </c>
      <c r="Q287" s="1163"/>
      <c r="R287" s="1269">
        <v>39050000</v>
      </c>
      <c r="S287" s="1357">
        <v>39050000</v>
      </c>
      <c r="T287" s="1357">
        <f>+Tabla16[[#This Row],[CDPS A 31 JULIO 2022]]-Tabla16[[#This Row],[CDP]]</f>
        <v>0</v>
      </c>
      <c r="U287" s="1357">
        <v>39050000</v>
      </c>
      <c r="V287" s="1357">
        <v>15620000</v>
      </c>
      <c r="W287" s="1357"/>
    </row>
    <row r="288" spans="1:23" s="1207" customFormat="1" ht="105" x14ac:dyDescent="0.2">
      <c r="A288" s="1355">
        <v>2022246</v>
      </c>
      <c r="B288" s="1172">
        <v>7655</v>
      </c>
      <c r="C288" s="1356" t="s">
        <v>670</v>
      </c>
      <c r="D288" s="1190" t="s">
        <v>646</v>
      </c>
      <c r="E288" s="1174">
        <v>80111600</v>
      </c>
      <c r="F288" s="1389" t="s">
        <v>937</v>
      </c>
      <c r="G288" s="1390">
        <v>44562</v>
      </c>
      <c r="H288" s="1390">
        <v>44592</v>
      </c>
      <c r="I288" s="1176">
        <v>11</v>
      </c>
      <c r="J288" s="1176" t="s">
        <v>675</v>
      </c>
      <c r="K288" s="1177" t="s">
        <v>676</v>
      </c>
      <c r="L288" s="1178" t="s">
        <v>677</v>
      </c>
      <c r="M288" s="1179">
        <v>39050000</v>
      </c>
      <c r="N288" s="1386" t="s">
        <v>785</v>
      </c>
      <c r="O288" s="1174" t="s">
        <v>780</v>
      </c>
      <c r="P288" s="1163" t="s">
        <v>680</v>
      </c>
      <c r="Q288" s="1163"/>
      <c r="R288" s="1269">
        <v>39050000</v>
      </c>
      <c r="S288" s="1357">
        <v>39050000</v>
      </c>
      <c r="T288" s="1357">
        <f>+Tabla16[[#This Row],[CDPS A 31 JULIO 2022]]-Tabla16[[#This Row],[CDP]]</f>
        <v>0</v>
      </c>
      <c r="U288" s="1357">
        <v>39050000</v>
      </c>
      <c r="V288" s="1357">
        <v>15501667</v>
      </c>
      <c r="W288" s="1357"/>
    </row>
    <row r="289" spans="1:23" s="1207" customFormat="1" ht="105" x14ac:dyDescent="0.2">
      <c r="A289" s="1355">
        <v>2022247</v>
      </c>
      <c r="B289" s="1172">
        <v>7655</v>
      </c>
      <c r="C289" s="1356" t="s">
        <v>670</v>
      </c>
      <c r="D289" s="1190" t="s">
        <v>646</v>
      </c>
      <c r="E289" s="1174">
        <v>80111600</v>
      </c>
      <c r="F289" s="1389" t="s">
        <v>938</v>
      </c>
      <c r="G289" s="1390">
        <v>44562</v>
      </c>
      <c r="H289" s="1390">
        <v>44592</v>
      </c>
      <c r="I289" s="1176">
        <v>11</v>
      </c>
      <c r="J289" s="1176" t="s">
        <v>675</v>
      </c>
      <c r="K289" s="1177" t="s">
        <v>676</v>
      </c>
      <c r="L289" s="1178" t="s">
        <v>677</v>
      </c>
      <c r="M289" s="1179">
        <v>30250000</v>
      </c>
      <c r="N289" s="1386" t="s">
        <v>785</v>
      </c>
      <c r="O289" s="1174" t="s">
        <v>780</v>
      </c>
      <c r="P289" s="1159" t="s">
        <v>680</v>
      </c>
      <c r="Q289" s="1163"/>
      <c r="R289" s="1269">
        <v>30250000</v>
      </c>
      <c r="S289" s="1357">
        <v>30250000</v>
      </c>
      <c r="T289" s="1357">
        <f>+Tabla16[[#This Row],[CDPS A 31 JULIO 2022]]-Tabla16[[#This Row],[CDP]]</f>
        <v>0</v>
      </c>
      <c r="U289" s="1357">
        <v>30250000</v>
      </c>
      <c r="V289" s="1357">
        <v>12100000</v>
      </c>
      <c r="W289" s="1357"/>
    </row>
    <row r="290" spans="1:23" s="1207" customFormat="1" ht="105" x14ac:dyDescent="0.2">
      <c r="A290" s="1355">
        <v>2022248</v>
      </c>
      <c r="B290" s="1172">
        <v>7655</v>
      </c>
      <c r="C290" s="1356" t="s">
        <v>670</v>
      </c>
      <c r="D290" s="1190" t="s">
        <v>646</v>
      </c>
      <c r="E290" s="1174">
        <v>80111600</v>
      </c>
      <c r="F290" s="1389" t="s">
        <v>939</v>
      </c>
      <c r="G290" s="1390">
        <v>44562</v>
      </c>
      <c r="H290" s="1390">
        <v>44592</v>
      </c>
      <c r="I290" s="1176">
        <v>11</v>
      </c>
      <c r="J290" s="1176" t="s">
        <v>675</v>
      </c>
      <c r="K290" s="1177" t="s">
        <v>676</v>
      </c>
      <c r="L290" s="1178" t="s">
        <v>677</v>
      </c>
      <c r="M290" s="1179">
        <v>36850000</v>
      </c>
      <c r="N290" s="1386" t="s">
        <v>785</v>
      </c>
      <c r="O290" s="1174" t="s">
        <v>780</v>
      </c>
      <c r="P290" s="1159" t="s">
        <v>680</v>
      </c>
      <c r="Q290" s="1163"/>
      <c r="R290" s="1269">
        <v>36850000</v>
      </c>
      <c r="S290" s="1357">
        <v>36850000</v>
      </c>
      <c r="T290" s="1357">
        <f>+Tabla16[[#This Row],[CDPS A 31 JULIO 2022]]-Tabla16[[#This Row],[CDP]]</f>
        <v>0</v>
      </c>
      <c r="U290" s="1357">
        <v>36850000</v>
      </c>
      <c r="V290" s="1357">
        <v>14628333</v>
      </c>
      <c r="W290" s="1357"/>
    </row>
    <row r="291" spans="1:23" s="1207" customFormat="1" ht="105" x14ac:dyDescent="0.2">
      <c r="A291" s="1355">
        <v>2022249</v>
      </c>
      <c r="B291" s="1172">
        <v>7655</v>
      </c>
      <c r="C291" s="1356" t="s">
        <v>670</v>
      </c>
      <c r="D291" s="1190" t="s">
        <v>646</v>
      </c>
      <c r="E291" s="1174">
        <v>80111600</v>
      </c>
      <c r="F291" s="1389" t="s">
        <v>940</v>
      </c>
      <c r="G291" s="1390">
        <v>44562</v>
      </c>
      <c r="H291" s="1390">
        <v>44592</v>
      </c>
      <c r="I291" s="1176">
        <v>11</v>
      </c>
      <c r="J291" s="1176" t="s">
        <v>675</v>
      </c>
      <c r="K291" s="1177" t="s">
        <v>676</v>
      </c>
      <c r="L291" s="1178" t="s">
        <v>677</v>
      </c>
      <c r="M291" s="1179">
        <v>38500000</v>
      </c>
      <c r="N291" s="1386" t="s">
        <v>785</v>
      </c>
      <c r="O291" s="1174" t="s">
        <v>780</v>
      </c>
      <c r="P291" s="1159" t="s">
        <v>680</v>
      </c>
      <c r="Q291" s="1163"/>
      <c r="R291" s="1269">
        <v>38500000</v>
      </c>
      <c r="S291" s="1357">
        <v>38500000</v>
      </c>
      <c r="T291" s="1357">
        <f>+Tabla16[[#This Row],[CDPS A 31 JULIO 2022]]-Tabla16[[#This Row],[CDP]]</f>
        <v>0</v>
      </c>
      <c r="U291" s="1357">
        <v>38500000</v>
      </c>
      <c r="V291" s="1357">
        <v>14700000</v>
      </c>
      <c r="W291" s="1357"/>
    </row>
    <row r="292" spans="1:23" s="1207" customFormat="1" ht="105" x14ac:dyDescent="0.2">
      <c r="A292" s="1355">
        <v>2022250</v>
      </c>
      <c r="B292" s="1172">
        <v>7655</v>
      </c>
      <c r="C292" s="1356" t="s">
        <v>670</v>
      </c>
      <c r="D292" s="1190" t="s">
        <v>646</v>
      </c>
      <c r="E292" s="1174">
        <v>80111600</v>
      </c>
      <c r="F292" s="1389" t="s">
        <v>941</v>
      </c>
      <c r="G292" s="1390">
        <v>44562</v>
      </c>
      <c r="H292" s="1390">
        <v>44592</v>
      </c>
      <c r="I292" s="1176">
        <v>11</v>
      </c>
      <c r="J292" s="1176" t="s">
        <v>675</v>
      </c>
      <c r="K292" s="1177" t="s">
        <v>676</v>
      </c>
      <c r="L292" s="1178" t="s">
        <v>677</v>
      </c>
      <c r="M292" s="1179">
        <v>95700000</v>
      </c>
      <c r="N292" s="1386" t="s">
        <v>785</v>
      </c>
      <c r="O292" s="1174" t="s">
        <v>780</v>
      </c>
      <c r="P292" s="1159" t="s">
        <v>680</v>
      </c>
      <c r="Q292" s="1163"/>
      <c r="R292" s="1269">
        <v>95700000</v>
      </c>
      <c r="S292" s="1357">
        <v>95700000</v>
      </c>
      <c r="T292" s="1357">
        <f>+Tabla16[[#This Row],[CDPS A 31 JULIO 2022]]-Tabla16[[#This Row],[CDP]]</f>
        <v>0</v>
      </c>
      <c r="U292" s="1357">
        <v>95700000</v>
      </c>
      <c r="V292" s="1357">
        <v>37700000</v>
      </c>
      <c r="W292" s="1357"/>
    </row>
    <row r="293" spans="1:23" s="1207" customFormat="1" ht="135" x14ac:dyDescent="0.2">
      <c r="A293" s="1355">
        <v>2022251</v>
      </c>
      <c r="B293" s="1172">
        <v>7658</v>
      </c>
      <c r="C293" s="1356" t="s">
        <v>681</v>
      </c>
      <c r="D293" s="1190" t="s">
        <v>691</v>
      </c>
      <c r="E293" s="1174">
        <v>80111600</v>
      </c>
      <c r="F293" s="1389" t="s">
        <v>942</v>
      </c>
      <c r="G293" s="1390">
        <v>44575</v>
      </c>
      <c r="H293" s="1390">
        <v>44575</v>
      </c>
      <c r="I293" s="1176">
        <v>11.5</v>
      </c>
      <c r="J293" s="1176" t="s">
        <v>675</v>
      </c>
      <c r="K293" s="1177" t="s">
        <v>676</v>
      </c>
      <c r="L293" s="1178" t="s">
        <v>677</v>
      </c>
      <c r="M293" s="1179">
        <f>103500000-52400000</f>
        <v>51100000</v>
      </c>
      <c r="N293" s="1386" t="s">
        <v>774</v>
      </c>
      <c r="O293" s="1174" t="s">
        <v>773</v>
      </c>
      <c r="P293" s="1159" t="s">
        <v>680</v>
      </c>
      <c r="Q293" s="1163"/>
      <c r="R293" s="1269">
        <v>0</v>
      </c>
      <c r="S293" s="1357"/>
      <c r="T293" s="1357">
        <f>+Tabla16[[#This Row],[CDPS A 31 JULIO 2022]]-Tabla16[[#This Row],[CDP]]</f>
        <v>0</v>
      </c>
      <c r="U293" s="1357"/>
      <c r="V293" s="1357"/>
      <c r="W293" s="1357"/>
    </row>
    <row r="294" spans="1:23" s="1207" customFormat="1" ht="135" x14ac:dyDescent="0.2">
      <c r="A294" s="1355">
        <v>2022252</v>
      </c>
      <c r="B294" s="1172">
        <v>7658</v>
      </c>
      <c r="C294" s="1356" t="s">
        <v>681</v>
      </c>
      <c r="D294" s="1190" t="s">
        <v>691</v>
      </c>
      <c r="E294" s="1174">
        <v>80111600</v>
      </c>
      <c r="F294" s="1389" t="s">
        <v>943</v>
      </c>
      <c r="G294" s="1390">
        <v>44575</v>
      </c>
      <c r="H294" s="1390">
        <v>44575</v>
      </c>
      <c r="I294" s="1176">
        <v>11.5</v>
      </c>
      <c r="J294" s="1176" t="s">
        <v>675</v>
      </c>
      <c r="K294" s="1177" t="s">
        <v>676</v>
      </c>
      <c r="L294" s="1178" t="s">
        <v>784</v>
      </c>
      <c r="M294" s="1179">
        <v>103500000</v>
      </c>
      <c r="N294" s="1386" t="s">
        <v>774</v>
      </c>
      <c r="O294" s="1174" t="s">
        <v>773</v>
      </c>
      <c r="P294" s="1163" t="s">
        <v>680</v>
      </c>
      <c r="Q294" s="1163"/>
      <c r="R294" s="1357">
        <v>103500000</v>
      </c>
      <c r="S294" s="1357">
        <v>103500000</v>
      </c>
      <c r="T294" s="1357">
        <f>+Tabla16[[#This Row],[CDPS A 31 JULIO 2022]]-Tabla16[[#This Row],[CDP]]</f>
        <v>0</v>
      </c>
      <c r="U294" s="1357">
        <v>103500000</v>
      </c>
      <c r="V294" s="1357">
        <v>39900000</v>
      </c>
      <c r="W294" s="1357"/>
    </row>
    <row r="295" spans="1:23" s="1207" customFormat="1" ht="135" x14ac:dyDescent="0.2">
      <c r="A295" s="1355">
        <v>2022255</v>
      </c>
      <c r="B295" s="1172">
        <v>7658</v>
      </c>
      <c r="C295" s="1356" t="s">
        <v>681</v>
      </c>
      <c r="D295" s="1190" t="s">
        <v>691</v>
      </c>
      <c r="E295" s="1174">
        <v>80111600</v>
      </c>
      <c r="F295" s="1389" t="s">
        <v>945</v>
      </c>
      <c r="G295" s="1390">
        <v>44575</v>
      </c>
      <c r="H295" s="1390">
        <v>44575</v>
      </c>
      <c r="I295" s="1176">
        <v>11.5</v>
      </c>
      <c r="J295" s="1176" t="s">
        <v>675</v>
      </c>
      <c r="K295" s="1177" t="s">
        <v>676</v>
      </c>
      <c r="L295" s="1178" t="s">
        <v>677</v>
      </c>
      <c r="M295" s="1179">
        <v>83950000</v>
      </c>
      <c r="N295" s="1386" t="s">
        <v>774</v>
      </c>
      <c r="O295" s="1174" t="s">
        <v>773</v>
      </c>
      <c r="P295" s="1163" t="s">
        <v>680</v>
      </c>
      <c r="Q295" s="1163"/>
      <c r="R295" s="1357">
        <v>83950000</v>
      </c>
      <c r="S295" s="1357">
        <v>83950000</v>
      </c>
      <c r="T295" s="1357">
        <f>+Tabla16[[#This Row],[CDPS A 31 JULIO 2022]]-Tabla16[[#This Row],[CDP]]</f>
        <v>0</v>
      </c>
      <c r="U295" s="1357">
        <v>83950000</v>
      </c>
      <c r="V295" s="1357">
        <v>31876667</v>
      </c>
      <c r="W295" s="1357"/>
    </row>
    <row r="296" spans="1:23" s="1207" customFormat="1" ht="135" x14ac:dyDescent="0.2">
      <c r="A296" s="1355">
        <v>2022257</v>
      </c>
      <c r="B296" s="1172">
        <v>7658</v>
      </c>
      <c r="C296" s="1356" t="s">
        <v>681</v>
      </c>
      <c r="D296" s="1190" t="s">
        <v>691</v>
      </c>
      <c r="E296" s="1174">
        <v>80111600</v>
      </c>
      <c r="F296" s="1389" t="s">
        <v>946</v>
      </c>
      <c r="G296" s="1390">
        <v>44575</v>
      </c>
      <c r="H296" s="1390">
        <v>44575</v>
      </c>
      <c r="I296" s="1176">
        <v>11.5</v>
      </c>
      <c r="J296" s="1176" t="s">
        <v>675</v>
      </c>
      <c r="K296" s="1177" t="s">
        <v>676</v>
      </c>
      <c r="L296" s="1178" t="s">
        <v>677</v>
      </c>
      <c r="M296" s="1179">
        <v>83950000</v>
      </c>
      <c r="N296" s="1386" t="s">
        <v>774</v>
      </c>
      <c r="O296" s="1174" t="s">
        <v>773</v>
      </c>
      <c r="P296" s="1163" t="s">
        <v>680</v>
      </c>
      <c r="Q296" s="1163"/>
      <c r="R296" s="1357">
        <v>65700000</v>
      </c>
      <c r="S296" s="1357">
        <v>65700000</v>
      </c>
      <c r="T296" s="1357">
        <f>+Tabla16[[#This Row],[CDPS A 31 JULIO 2022]]-Tabla16[[#This Row],[CDP]]</f>
        <v>0</v>
      </c>
      <c r="U296" s="1357">
        <v>65700000</v>
      </c>
      <c r="V296" s="1357">
        <v>20440000</v>
      </c>
      <c r="W296" s="1357"/>
    </row>
    <row r="297" spans="1:23" s="1207" customFormat="1" ht="135" x14ac:dyDescent="0.2">
      <c r="A297" s="1355">
        <v>2022258</v>
      </c>
      <c r="B297" s="1172">
        <v>7658</v>
      </c>
      <c r="C297" s="1356" t="s">
        <v>681</v>
      </c>
      <c r="D297" s="1190" t="s">
        <v>691</v>
      </c>
      <c r="E297" s="1174">
        <v>80111600</v>
      </c>
      <c r="F297" s="1389" t="s">
        <v>947</v>
      </c>
      <c r="G297" s="1390">
        <v>44575</v>
      </c>
      <c r="H297" s="1390">
        <v>44575</v>
      </c>
      <c r="I297" s="1176">
        <v>11.5</v>
      </c>
      <c r="J297" s="1176" t="s">
        <v>675</v>
      </c>
      <c r="K297" s="1177" t="s">
        <v>676</v>
      </c>
      <c r="L297" s="1178" t="s">
        <v>677</v>
      </c>
      <c r="M297" s="1179">
        <f>83950000-4450000-35700000</f>
        <v>43800000</v>
      </c>
      <c r="N297" s="1386" t="s">
        <v>774</v>
      </c>
      <c r="O297" s="1174" t="s">
        <v>773</v>
      </c>
      <c r="P297" s="1163" t="s">
        <v>680</v>
      </c>
      <c r="Q297" s="1163"/>
      <c r="R297" s="1357">
        <v>83950000</v>
      </c>
      <c r="S297" s="1357">
        <v>83950000</v>
      </c>
      <c r="T297" s="1357">
        <f>+Tabla16[[#This Row],[CDPS A 31 JULIO 2022]]-Tabla16[[#This Row],[CDP]]</f>
        <v>0</v>
      </c>
      <c r="U297" s="1357">
        <v>43800000</v>
      </c>
      <c r="V297" s="1357">
        <v>30903333</v>
      </c>
      <c r="W297" s="1357"/>
    </row>
    <row r="298" spans="1:23" s="1207" customFormat="1" ht="135" x14ac:dyDescent="0.2">
      <c r="A298" s="1355">
        <v>2022260</v>
      </c>
      <c r="B298" s="1172">
        <v>7658</v>
      </c>
      <c r="C298" s="1356" t="s">
        <v>681</v>
      </c>
      <c r="D298" s="1190" t="s">
        <v>691</v>
      </c>
      <c r="E298" s="1174">
        <v>80111600</v>
      </c>
      <c r="F298" s="1389" t="s">
        <v>947</v>
      </c>
      <c r="G298" s="1390">
        <v>44575</v>
      </c>
      <c r="H298" s="1390">
        <v>44575</v>
      </c>
      <c r="I298" s="1176">
        <v>11.5</v>
      </c>
      <c r="J298" s="1176" t="s">
        <v>675</v>
      </c>
      <c r="K298" s="1177" t="s">
        <v>676</v>
      </c>
      <c r="L298" s="1178" t="s">
        <v>677</v>
      </c>
      <c r="M298" s="1179">
        <f>83950000-40150000</f>
        <v>43800000</v>
      </c>
      <c r="N298" s="1386" t="s">
        <v>774</v>
      </c>
      <c r="O298" s="1174" t="s">
        <v>773</v>
      </c>
      <c r="P298" s="1163" t="s">
        <v>680</v>
      </c>
      <c r="Q298" s="1163"/>
      <c r="R298" s="1357">
        <v>51100000</v>
      </c>
      <c r="S298" s="1357">
        <v>51100000</v>
      </c>
      <c r="T298" s="1357">
        <f>+Tabla16[[#This Row],[CDPS A 31 JULIO 2022]]-Tabla16[[#This Row],[CDP]]</f>
        <v>0</v>
      </c>
      <c r="U298" s="1357">
        <v>51100000</v>
      </c>
      <c r="V298" s="1357">
        <v>29930000</v>
      </c>
      <c r="W298" s="1357"/>
    </row>
    <row r="299" spans="1:23" s="1207" customFormat="1" ht="135" x14ac:dyDescent="0.2">
      <c r="A299" s="1355">
        <v>2022261</v>
      </c>
      <c r="B299" s="1172">
        <v>7658</v>
      </c>
      <c r="C299" s="1356" t="s">
        <v>681</v>
      </c>
      <c r="D299" s="1190" t="s">
        <v>691</v>
      </c>
      <c r="E299" s="1174">
        <v>80111600</v>
      </c>
      <c r="F299" s="1389" t="s">
        <v>947</v>
      </c>
      <c r="G299" s="1390">
        <v>44575</v>
      </c>
      <c r="H299" s="1390">
        <v>44575</v>
      </c>
      <c r="I299" s="1176">
        <v>11.5</v>
      </c>
      <c r="J299" s="1176" t="s">
        <v>675</v>
      </c>
      <c r="K299" s="1177" t="s">
        <v>676</v>
      </c>
      <c r="L299" s="1178" t="s">
        <v>677</v>
      </c>
      <c r="M299" s="1179">
        <f>83950000-32850000</f>
        <v>51100000</v>
      </c>
      <c r="N299" s="1386" t="s">
        <v>774</v>
      </c>
      <c r="O299" s="1174" t="s">
        <v>773</v>
      </c>
      <c r="P299" s="1163" t="s">
        <v>680</v>
      </c>
      <c r="Q299" s="1163"/>
      <c r="R299" s="1357">
        <v>78200000</v>
      </c>
      <c r="S299" s="1357">
        <v>78200000</v>
      </c>
      <c r="T299" s="1357">
        <f>+Tabla16[[#This Row],[CDPS A 31 JULIO 2022]]-Tabla16[[#This Row],[CDP]]</f>
        <v>0</v>
      </c>
      <c r="U299" s="1357">
        <v>78200000</v>
      </c>
      <c r="V299" s="1357">
        <v>30373333</v>
      </c>
      <c r="W299" s="1357"/>
    </row>
    <row r="300" spans="1:23" s="1207" customFormat="1" ht="135" x14ac:dyDescent="0.2">
      <c r="A300" s="1355">
        <v>2022262</v>
      </c>
      <c r="B300" s="1172">
        <v>7658</v>
      </c>
      <c r="C300" s="1356" t="s">
        <v>681</v>
      </c>
      <c r="D300" s="1190" t="s">
        <v>691</v>
      </c>
      <c r="E300" s="1174">
        <v>80111600</v>
      </c>
      <c r="F300" s="1389" t="s">
        <v>947</v>
      </c>
      <c r="G300" s="1390">
        <v>44575</v>
      </c>
      <c r="H300" s="1390">
        <v>44575</v>
      </c>
      <c r="I300" s="1176">
        <v>11.5</v>
      </c>
      <c r="J300" s="1176" t="s">
        <v>675</v>
      </c>
      <c r="K300" s="1177" t="s">
        <v>676</v>
      </c>
      <c r="L300" s="1178" t="s">
        <v>677</v>
      </c>
      <c r="M300" s="1179">
        <f>83950000-11791270</f>
        <v>72158730</v>
      </c>
      <c r="N300" s="1386" t="s">
        <v>774</v>
      </c>
      <c r="O300" s="1174" t="s">
        <v>773</v>
      </c>
      <c r="P300" s="1163" t="s">
        <v>680</v>
      </c>
      <c r="Q300" s="1163"/>
      <c r="R300" s="1357">
        <v>83950000</v>
      </c>
      <c r="S300" s="1357">
        <v>83950000</v>
      </c>
      <c r="T300" s="1357">
        <f>+Tabla16[[#This Row],[CDPS A 31 JULIO 2022]]-Tabla16[[#This Row],[CDP]]</f>
        <v>0</v>
      </c>
      <c r="U300" s="1357">
        <v>83950000</v>
      </c>
      <c r="V300" s="1357">
        <v>31876667</v>
      </c>
      <c r="W300" s="1357"/>
    </row>
    <row r="301" spans="1:23" s="1207" customFormat="1" ht="135" x14ac:dyDescent="0.2">
      <c r="A301" s="1355">
        <v>2022263</v>
      </c>
      <c r="B301" s="1172">
        <v>7658</v>
      </c>
      <c r="C301" s="1356" t="s">
        <v>681</v>
      </c>
      <c r="D301" s="1190" t="s">
        <v>691</v>
      </c>
      <c r="E301" s="1174">
        <v>80111600</v>
      </c>
      <c r="F301" s="1389" t="s">
        <v>946</v>
      </c>
      <c r="G301" s="1390">
        <v>44575</v>
      </c>
      <c r="H301" s="1390">
        <v>44575</v>
      </c>
      <c r="I301" s="1176">
        <v>11.5</v>
      </c>
      <c r="J301" s="1176" t="s">
        <v>675</v>
      </c>
      <c r="K301" s="1177" t="s">
        <v>676</v>
      </c>
      <c r="L301" s="1178" t="s">
        <v>677</v>
      </c>
      <c r="M301" s="1179">
        <v>78200000</v>
      </c>
      <c r="N301" s="1386" t="s">
        <v>774</v>
      </c>
      <c r="O301" s="1174" t="s">
        <v>773</v>
      </c>
      <c r="P301" s="1163" t="s">
        <v>680</v>
      </c>
      <c r="Q301" s="1163"/>
      <c r="R301" s="1357">
        <v>43800000</v>
      </c>
      <c r="S301" s="1357">
        <v>43800000</v>
      </c>
      <c r="T301" s="1357">
        <f>+Tabla16[[#This Row],[CDPS A 31 JULIO 2022]]-Tabla16[[#This Row],[CDP]]</f>
        <v>0</v>
      </c>
      <c r="U301" s="1357">
        <v>43800000</v>
      </c>
      <c r="V301" s="1357">
        <v>28956667</v>
      </c>
      <c r="W301" s="1357"/>
    </row>
    <row r="302" spans="1:23" s="1207" customFormat="1" ht="135" x14ac:dyDescent="0.2">
      <c r="A302" s="1355">
        <v>2022264</v>
      </c>
      <c r="B302" s="1172">
        <v>7658</v>
      </c>
      <c r="C302" s="1356" t="s">
        <v>681</v>
      </c>
      <c r="D302" s="1190" t="s">
        <v>691</v>
      </c>
      <c r="E302" s="1174">
        <v>80111600</v>
      </c>
      <c r="F302" s="1389" t="s">
        <v>948</v>
      </c>
      <c r="G302" s="1390">
        <v>44575</v>
      </c>
      <c r="H302" s="1390">
        <v>44575</v>
      </c>
      <c r="I302" s="1176">
        <v>11.5</v>
      </c>
      <c r="J302" s="1176" t="s">
        <v>675</v>
      </c>
      <c r="K302" s="1177" t="s">
        <v>676</v>
      </c>
      <c r="L302" s="1178" t="s">
        <v>677</v>
      </c>
      <c r="M302" s="1179">
        <v>44275000</v>
      </c>
      <c r="N302" s="1386" t="s">
        <v>774</v>
      </c>
      <c r="O302" s="1174" t="s">
        <v>773</v>
      </c>
      <c r="P302" s="1163" t="s">
        <v>680</v>
      </c>
      <c r="Q302" s="1163"/>
      <c r="R302" s="1357">
        <v>44275000</v>
      </c>
      <c r="S302" s="1357">
        <v>44275000</v>
      </c>
      <c r="T302" s="1357">
        <f>+Tabla16[[#This Row],[CDPS A 31 JULIO 2022]]-Tabla16[[#This Row],[CDP]]</f>
        <v>0</v>
      </c>
      <c r="U302" s="1357">
        <v>44275000</v>
      </c>
      <c r="V302" s="1357">
        <v>11935000</v>
      </c>
      <c r="W302" s="1357"/>
    </row>
    <row r="303" spans="1:23" s="1207" customFormat="1" ht="135" x14ac:dyDescent="0.2">
      <c r="A303" s="1355">
        <v>2022265</v>
      </c>
      <c r="B303" s="1172">
        <v>7658</v>
      </c>
      <c r="C303" s="1356" t="s">
        <v>681</v>
      </c>
      <c r="D303" s="1190" t="s">
        <v>691</v>
      </c>
      <c r="E303" s="1174">
        <v>80111600</v>
      </c>
      <c r="F303" s="1389" t="s">
        <v>949</v>
      </c>
      <c r="G303" s="1390">
        <v>44575</v>
      </c>
      <c r="H303" s="1390">
        <v>44575</v>
      </c>
      <c r="I303" s="1176">
        <v>11.5</v>
      </c>
      <c r="J303" s="1176" t="s">
        <v>675</v>
      </c>
      <c r="K303" s="1177" t="s">
        <v>676</v>
      </c>
      <c r="L303" s="1178" t="s">
        <v>677</v>
      </c>
      <c r="M303" s="1179">
        <v>28175000</v>
      </c>
      <c r="N303" s="1386" t="s">
        <v>774</v>
      </c>
      <c r="O303" s="1174" t="s">
        <v>773</v>
      </c>
      <c r="P303" s="1163" t="s">
        <v>680</v>
      </c>
      <c r="Q303" s="1163"/>
      <c r="R303" s="1357">
        <v>28175000</v>
      </c>
      <c r="S303" s="1357">
        <v>28175000</v>
      </c>
      <c r="T303" s="1357">
        <f>+Tabla16[[#This Row],[CDPS A 31 JULIO 2022]]-Tabla16[[#This Row],[CDP]]</f>
        <v>0</v>
      </c>
      <c r="U303" s="1357">
        <v>28175000</v>
      </c>
      <c r="V303" s="1357">
        <v>10616667</v>
      </c>
      <c r="W303" s="1357"/>
    </row>
    <row r="304" spans="1:23" s="1207" customFormat="1" ht="135" x14ac:dyDescent="0.2">
      <c r="A304" s="1355">
        <v>2022266</v>
      </c>
      <c r="B304" s="1172">
        <v>7658</v>
      </c>
      <c r="C304" s="1356" t="s">
        <v>681</v>
      </c>
      <c r="D304" s="1190" t="s">
        <v>691</v>
      </c>
      <c r="E304" s="1174">
        <v>80111600</v>
      </c>
      <c r="F304" s="1389" t="s">
        <v>950</v>
      </c>
      <c r="G304" s="1390">
        <v>44575</v>
      </c>
      <c r="H304" s="1390">
        <v>44575</v>
      </c>
      <c r="I304" s="1176">
        <v>11.5</v>
      </c>
      <c r="J304" s="1176" t="s">
        <v>675</v>
      </c>
      <c r="K304" s="1177" t="s">
        <v>676</v>
      </c>
      <c r="L304" s="1178" t="s">
        <v>677</v>
      </c>
      <c r="M304" s="1179">
        <v>63250000</v>
      </c>
      <c r="N304" s="1386" t="s">
        <v>774</v>
      </c>
      <c r="O304" s="1174" t="s">
        <v>773</v>
      </c>
      <c r="P304" s="1163" t="s">
        <v>680</v>
      </c>
      <c r="Q304" s="1163"/>
      <c r="R304" s="1357">
        <v>63250000</v>
      </c>
      <c r="S304" s="1357">
        <v>63250000</v>
      </c>
      <c r="T304" s="1357">
        <f>+Tabla16[[#This Row],[CDPS A 31 JULIO 2022]]-Tabla16[[#This Row],[CDP]]</f>
        <v>0</v>
      </c>
      <c r="U304" s="1357">
        <v>63250000</v>
      </c>
      <c r="V304" s="1357">
        <v>24383333</v>
      </c>
      <c r="W304" s="1357"/>
    </row>
    <row r="305" spans="1:23" s="1207" customFormat="1" ht="135" x14ac:dyDescent="0.2">
      <c r="A305" s="1355">
        <v>2022267</v>
      </c>
      <c r="B305" s="1172">
        <v>7658</v>
      </c>
      <c r="C305" s="1356" t="s">
        <v>681</v>
      </c>
      <c r="D305" s="1190" t="s">
        <v>691</v>
      </c>
      <c r="E305" s="1174">
        <v>80111600</v>
      </c>
      <c r="F305" s="1389" t="s">
        <v>951</v>
      </c>
      <c r="G305" s="1390">
        <v>44575</v>
      </c>
      <c r="H305" s="1390">
        <v>44575</v>
      </c>
      <c r="I305" s="1176">
        <v>11.5</v>
      </c>
      <c r="J305" s="1176" t="s">
        <v>675</v>
      </c>
      <c r="K305" s="1177" t="s">
        <v>676</v>
      </c>
      <c r="L305" s="1178" t="s">
        <v>677</v>
      </c>
      <c r="M305" s="1179">
        <v>28175000</v>
      </c>
      <c r="N305" s="1386" t="s">
        <v>774</v>
      </c>
      <c r="O305" s="1174" t="s">
        <v>773</v>
      </c>
      <c r="P305" s="1163" t="s">
        <v>680</v>
      </c>
      <c r="Q305" s="1163"/>
      <c r="R305" s="1357">
        <v>28175000</v>
      </c>
      <c r="S305" s="1357">
        <v>28175000</v>
      </c>
      <c r="T305" s="1357">
        <f>+Tabla16[[#This Row],[CDPS A 31 JULIO 2022]]-Tabla16[[#This Row],[CDP]]</f>
        <v>0</v>
      </c>
      <c r="U305" s="1357">
        <v>28175000</v>
      </c>
      <c r="V305" s="1357">
        <v>9555000</v>
      </c>
      <c r="W305" s="1357"/>
    </row>
    <row r="306" spans="1:23" s="1207" customFormat="1" ht="135" x14ac:dyDescent="0.2">
      <c r="A306" s="1355">
        <v>2022268</v>
      </c>
      <c r="B306" s="1172">
        <v>7658</v>
      </c>
      <c r="C306" s="1356" t="s">
        <v>681</v>
      </c>
      <c r="D306" s="1190" t="s">
        <v>691</v>
      </c>
      <c r="E306" s="1174">
        <v>80111600</v>
      </c>
      <c r="F306" s="1389" t="s">
        <v>951</v>
      </c>
      <c r="G306" s="1390">
        <v>44575</v>
      </c>
      <c r="H306" s="1390">
        <v>44575</v>
      </c>
      <c r="I306" s="1176">
        <v>11.5</v>
      </c>
      <c r="J306" s="1176" t="s">
        <v>675</v>
      </c>
      <c r="K306" s="1177" t="s">
        <v>676</v>
      </c>
      <c r="L306" s="1178" t="s">
        <v>677</v>
      </c>
      <c r="M306" s="1179">
        <v>28175000</v>
      </c>
      <c r="N306" s="1386" t="s">
        <v>774</v>
      </c>
      <c r="O306" s="1174" t="s">
        <v>773</v>
      </c>
      <c r="P306" s="1163" t="s">
        <v>680</v>
      </c>
      <c r="Q306" s="1163"/>
      <c r="R306" s="1357">
        <v>28175000</v>
      </c>
      <c r="S306" s="1357">
        <v>28175000</v>
      </c>
      <c r="T306" s="1357">
        <f>+Tabla16[[#This Row],[CDPS A 31 JULIO 2022]]-Tabla16[[#This Row],[CDP]]</f>
        <v>0</v>
      </c>
      <c r="U306" s="1357">
        <v>28175000</v>
      </c>
      <c r="V306" s="1357">
        <v>8738333</v>
      </c>
      <c r="W306" s="1357"/>
    </row>
    <row r="307" spans="1:23" s="1207" customFormat="1" ht="135" x14ac:dyDescent="0.2">
      <c r="A307" s="1355">
        <v>2022269</v>
      </c>
      <c r="B307" s="1172">
        <v>7658</v>
      </c>
      <c r="C307" s="1356" t="s">
        <v>681</v>
      </c>
      <c r="D307" s="1190" t="s">
        <v>691</v>
      </c>
      <c r="E307" s="1174">
        <v>80111600</v>
      </c>
      <c r="F307" s="1389" t="s">
        <v>951</v>
      </c>
      <c r="G307" s="1390">
        <v>44575</v>
      </c>
      <c r="H307" s="1390">
        <v>44575</v>
      </c>
      <c r="I307" s="1176">
        <v>11.5</v>
      </c>
      <c r="J307" s="1176" t="s">
        <v>675</v>
      </c>
      <c r="K307" s="1177" t="s">
        <v>676</v>
      </c>
      <c r="L307" s="1178" t="s">
        <v>677</v>
      </c>
      <c r="M307" s="1179">
        <v>28175000</v>
      </c>
      <c r="N307" s="1386" t="s">
        <v>774</v>
      </c>
      <c r="O307" s="1174" t="s">
        <v>773</v>
      </c>
      <c r="P307" s="1163" t="s">
        <v>680</v>
      </c>
      <c r="Q307" s="1163"/>
      <c r="R307" s="1357">
        <v>28175000</v>
      </c>
      <c r="S307" s="1357">
        <v>28175000</v>
      </c>
      <c r="T307" s="1357">
        <f>+Tabla16[[#This Row],[CDPS A 31 JULIO 2022]]-Tabla16[[#This Row],[CDP]]</f>
        <v>0</v>
      </c>
      <c r="U307" s="1357">
        <v>28175000</v>
      </c>
      <c r="V307" s="1357">
        <v>9718333</v>
      </c>
      <c r="W307" s="1357"/>
    </row>
    <row r="308" spans="1:23" s="1207" customFormat="1" ht="135" x14ac:dyDescent="0.2">
      <c r="A308" s="1355">
        <v>2022270</v>
      </c>
      <c r="B308" s="1172">
        <v>7658</v>
      </c>
      <c r="C308" s="1356" t="s">
        <v>681</v>
      </c>
      <c r="D308" s="1190" t="s">
        <v>691</v>
      </c>
      <c r="E308" s="1174">
        <v>80111600</v>
      </c>
      <c r="F308" s="1389" t="s">
        <v>951</v>
      </c>
      <c r="G308" s="1390">
        <v>44575</v>
      </c>
      <c r="H308" s="1390">
        <v>44575</v>
      </c>
      <c r="I308" s="1176">
        <v>11.5</v>
      </c>
      <c r="J308" s="1176" t="s">
        <v>675</v>
      </c>
      <c r="K308" s="1177" t="s">
        <v>676</v>
      </c>
      <c r="L308" s="1178" t="s">
        <v>677</v>
      </c>
      <c r="M308" s="1179">
        <v>28175000</v>
      </c>
      <c r="N308" s="1386" t="s">
        <v>774</v>
      </c>
      <c r="O308" s="1174" t="s">
        <v>773</v>
      </c>
      <c r="P308" s="1163" t="s">
        <v>680</v>
      </c>
      <c r="Q308" s="1163"/>
      <c r="R308" s="1357">
        <v>28175000</v>
      </c>
      <c r="S308" s="1357">
        <v>28175000</v>
      </c>
      <c r="T308" s="1357">
        <f>+Tabla16[[#This Row],[CDPS A 31 JULIO 2022]]-Tabla16[[#This Row],[CDP]]</f>
        <v>0</v>
      </c>
      <c r="U308" s="1357">
        <v>28175000</v>
      </c>
      <c r="V308" s="1357">
        <v>9555000</v>
      </c>
      <c r="W308" s="1357"/>
    </row>
    <row r="309" spans="1:23" s="1207" customFormat="1" ht="135" x14ac:dyDescent="0.2">
      <c r="A309" s="1355">
        <v>2022271</v>
      </c>
      <c r="B309" s="1172">
        <v>7658</v>
      </c>
      <c r="C309" s="1356" t="s">
        <v>681</v>
      </c>
      <c r="D309" s="1190" t="s">
        <v>691</v>
      </c>
      <c r="E309" s="1174">
        <v>80111600</v>
      </c>
      <c r="F309" s="1389" t="s">
        <v>951</v>
      </c>
      <c r="G309" s="1390">
        <v>44575</v>
      </c>
      <c r="H309" s="1390">
        <v>44575</v>
      </c>
      <c r="I309" s="1176">
        <v>11.5</v>
      </c>
      <c r="J309" s="1176" t="s">
        <v>675</v>
      </c>
      <c r="K309" s="1177" t="s">
        <v>676</v>
      </c>
      <c r="L309" s="1178" t="s">
        <v>677</v>
      </c>
      <c r="M309" s="1179">
        <v>28175000</v>
      </c>
      <c r="N309" s="1386" t="s">
        <v>774</v>
      </c>
      <c r="O309" s="1174" t="s">
        <v>773</v>
      </c>
      <c r="P309" s="1163" t="s">
        <v>680</v>
      </c>
      <c r="Q309" s="1163"/>
      <c r="R309" s="1357">
        <v>28175000</v>
      </c>
      <c r="S309" s="1357">
        <v>28175000</v>
      </c>
      <c r="T309" s="1357">
        <f>+Tabla16[[#This Row],[CDPS A 31 JULIO 2022]]-Tabla16[[#This Row],[CDP]]</f>
        <v>0</v>
      </c>
      <c r="U309" s="1357">
        <v>28175000</v>
      </c>
      <c r="V309" s="1357">
        <v>7350000</v>
      </c>
      <c r="W309" s="1357"/>
    </row>
    <row r="310" spans="1:23" s="1207" customFormat="1" ht="135" x14ac:dyDescent="0.2">
      <c r="A310" s="1355">
        <v>2022272</v>
      </c>
      <c r="B310" s="1172">
        <v>7658</v>
      </c>
      <c r="C310" s="1356" t="s">
        <v>681</v>
      </c>
      <c r="D310" s="1190" t="s">
        <v>691</v>
      </c>
      <c r="E310" s="1174">
        <v>80111600</v>
      </c>
      <c r="F310" s="1389" t="s">
        <v>951</v>
      </c>
      <c r="G310" s="1390">
        <v>44575</v>
      </c>
      <c r="H310" s="1390">
        <v>44575</v>
      </c>
      <c r="I310" s="1176">
        <v>11.5</v>
      </c>
      <c r="J310" s="1176" t="s">
        <v>675</v>
      </c>
      <c r="K310" s="1177" t="s">
        <v>676</v>
      </c>
      <c r="L310" s="1178" t="s">
        <v>677</v>
      </c>
      <c r="M310" s="1179">
        <v>28175000</v>
      </c>
      <c r="N310" s="1386" t="s">
        <v>774</v>
      </c>
      <c r="O310" s="1174" t="s">
        <v>773</v>
      </c>
      <c r="P310" s="1163" t="s">
        <v>680</v>
      </c>
      <c r="Q310" s="1163"/>
      <c r="R310" s="1357">
        <v>28175000</v>
      </c>
      <c r="S310" s="1357">
        <v>28175000</v>
      </c>
      <c r="T310" s="1357">
        <f>+Tabla16[[#This Row],[CDPS A 31 JULIO 2022]]-Tabla16[[#This Row],[CDP]]</f>
        <v>0</v>
      </c>
      <c r="U310" s="1357">
        <v>28175000</v>
      </c>
      <c r="V310" s="1357">
        <v>9310000</v>
      </c>
      <c r="W310" s="1357"/>
    </row>
    <row r="311" spans="1:23" s="1207" customFormat="1" ht="135" x14ac:dyDescent="0.2">
      <c r="A311" s="1355">
        <v>2022273</v>
      </c>
      <c r="B311" s="1172">
        <v>7658</v>
      </c>
      <c r="C311" s="1356" t="s">
        <v>681</v>
      </c>
      <c r="D311" s="1190" t="s">
        <v>691</v>
      </c>
      <c r="E311" s="1174">
        <v>80111600</v>
      </c>
      <c r="F311" s="1389" t="s">
        <v>951</v>
      </c>
      <c r="G311" s="1390">
        <v>44575</v>
      </c>
      <c r="H311" s="1390">
        <v>44575</v>
      </c>
      <c r="I311" s="1176">
        <v>11.5</v>
      </c>
      <c r="J311" s="1176" t="s">
        <v>675</v>
      </c>
      <c r="K311" s="1177" t="s">
        <v>676</v>
      </c>
      <c r="L311" s="1178" t="s">
        <v>677</v>
      </c>
      <c r="M311" s="1179">
        <v>28175000</v>
      </c>
      <c r="N311" s="1386" t="s">
        <v>774</v>
      </c>
      <c r="O311" s="1174" t="s">
        <v>773</v>
      </c>
      <c r="P311" s="1163" t="s">
        <v>680</v>
      </c>
      <c r="Q311" s="1163"/>
      <c r="R311" s="1357">
        <v>28175000</v>
      </c>
      <c r="S311" s="1357">
        <v>28175000</v>
      </c>
      <c r="T311" s="1357">
        <f>+Tabla16[[#This Row],[CDPS A 31 JULIO 2022]]-Tabla16[[#This Row],[CDP]]</f>
        <v>0</v>
      </c>
      <c r="U311" s="1357">
        <v>28175000</v>
      </c>
      <c r="V311" s="1357">
        <v>9555000</v>
      </c>
      <c r="W311" s="1357"/>
    </row>
    <row r="312" spans="1:23" s="1207" customFormat="1" ht="135" x14ac:dyDescent="0.2">
      <c r="A312" s="1355">
        <v>2022274</v>
      </c>
      <c r="B312" s="1172">
        <v>7658</v>
      </c>
      <c r="C312" s="1356" t="s">
        <v>681</v>
      </c>
      <c r="D312" s="1190" t="s">
        <v>691</v>
      </c>
      <c r="E312" s="1174">
        <v>80111600</v>
      </c>
      <c r="F312" s="1389" t="s">
        <v>951</v>
      </c>
      <c r="G312" s="1390">
        <v>44575</v>
      </c>
      <c r="H312" s="1390">
        <v>44575</v>
      </c>
      <c r="I312" s="1176">
        <v>11.5</v>
      </c>
      <c r="J312" s="1176" t="s">
        <v>675</v>
      </c>
      <c r="K312" s="1177" t="s">
        <v>676</v>
      </c>
      <c r="L312" s="1178" t="s">
        <v>677</v>
      </c>
      <c r="M312" s="1179">
        <v>28175000</v>
      </c>
      <c r="N312" s="1386" t="s">
        <v>774</v>
      </c>
      <c r="O312" s="1174" t="s">
        <v>773</v>
      </c>
      <c r="P312" s="1163" t="s">
        <v>680</v>
      </c>
      <c r="Q312" s="1163"/>
      <c r="R312" s="1357">
        <v>28175000</v>
      </c>
      <c r="S312" s="1357">
        <v>28175000</v>
      </c>
      <c r="T312" s="1357">
        <f>+Tabla16[[#This Row],[CDPS A 31 JULIO 2022]]-Tabla16[[#This Row],[CDP]]</f>
        <v>0</v>
      </c>
      <c r="U312" s="1357">
        <v>28175000</v>
      </c>
      <c r="V312" s="1357"/>
      <c r="W312" s="1357"/>
    </row>
    <row r="313" spans="1:23" s="1207" customFormat="1" ht="135" x14ac:dyDescent="0.2">
      <c r="A313" s="1355">
        <v>2022275</v>
      </c>
      <c r="B313" s="1172">
        <v>7658</v>
      </c>
      <c r="C313" s="1356" t="s">
        <v>681</v>
      </c>
      <c r="D313" s="1190" t="s">
        <v>691</v>
      </c>
      <c r="E313" s="1174">
        <v>80111600</v>
      </c>
      <c r="F313" s="1389" t="s">
        <v>951</v>
      </c>
      <c r="G313" s="1390">
        <v>44575</v>
      </c>
      <c r="H313" s="1390">
        <v>44575</v>
      </c>
      <c r="I313" s="1176">
        <v>11.5</v>
      </c>
      <c r="J313" s="1176" t="s">
        <v>675</v>
      </c>
      <c r="K313" s="1177" t="s">
        <v>676</v>
      </c>
      <c r="L313" s="1178" t="s">
        <v>677</v>
      </c>
      <c r="M313" s="1179">
        <v>28175000</v>
      </c>
      <c r="N313" s="1386" t="s">
        <v>774</v>
      </c>
      <c r="O313" s="1174" t="s">
        <v>773</v>
      </c>
      <c r="P313" s="1163" t="s">
        <v>680</v>
      </c>
      <c r="Q313" s="1163"/>
      <c r="R313" s="1357">
        <v>28175000</v>
      </c>
      <c r="S313" s="1357">
        <v>28175000</v>
      </c>
      <c r="T313" s="1357">
        <f>+Tabla16[[#This Row],[CDPS A 31 JULIO 2022]]-Tabla16[[#This Row],[CDP]]</f>
        <v>0</v>
      </c>
      <c r="U313" s="1357">
        <v>28175000</v>
      </c>
      <c r="V313" s="1357">
        <v>7595000</v>
      </c>
      <c r="W313" s="1357"/>
    </row>
    <row r="314" spans="1:23" s="1207" customFormat="1" ht="135" x14ac:dyDescent="0.2">
      <c r="A314" s="1355">
        <v>2022276</v>
      </c>
      <c r="B314" s="1172">
        <v>7658</v>
      </c>
      <c r="C314" s="1356" t="s">
        <v>681</v>
      </c>
      <c r="D314" s="1190" t="s">
        <v>691</v>
      </c>
      <c r="E314" s="1174">
        <v>80111600</v>
      </c>
      <c r="F314" s="1389" t="s">
        <v>951</v>
      </c>
      <c r="G314" s="1390">
        <v>44575</v>
      </c>
      <c r="H314" s="1390">
        <v>44575</v>
      </c>
      <c r="I314" s="1176">
        <v>11.5</v>
      </c>
      <c r="J314" s="1176" t="s">
        <v>675</v>
      </c>
      <c r="K314" s="1177" t="s">
        <v>676</v>
      </c>
      <c r="L314" s="1178" t="s">
        <v>677</v>
      </c>
      <c r="M314" s="1179">
        <v>24150000</v>
      </c>
      <c r="N314" s="1386" t="s">
        <v>774</v>
      </c>
      <c r="O314" s="1174" t="s">
        <v>773</v>
      </c>
      <c r="P314" s="1163" t="s">
        <v>680</v>
      </c>
      <c r="Q314" s="1163"/>
      <c r="R314" s="1357">
        <v>24150000</v>
      </c>
      <c r="S314" s="1357">
        <v>24150000</v>
      </c>
      <c r="T314" s="1357">
        <f>+Tabla16[[#This Row],[CDPS A 31 JULIO 2022]]-Tabla16[[#This Row],[CDP]]</f>
        <v>0</v>
      </c>
      <c r="U314" s="1357">
        <v>24150000</v>
      </c>
      <c r="V314" s="1357">
        <v>8400000</v>
      </c>
      <c r="W314" s="1357"/>
    </row>
    <row r="315" spans="1:23" s="1207" customFormat="1" ht="135" x14ac:dyDescent="0.2">
      <c r="A315" s="1355">
        <v>2022277</v>
      </c>
      <c r="B315" s="1172">
        <v>7658</v>
      </c>
      <c r="C315" s="1356" t="s">
        <v>681</v>
      </c>
      <c r="D315" s="1190" t="s">
        <v>691</v>
      </c>
      <c r="E315" s="1174">
        <v>80111600</v>
      </c>
      <c r="F315" s="1389" t="s">
        <v>951</v>
      </c>
      <c r="G315" s="1390">
        <v>44575</v>
      </c>
      <c r="H315" s="1390">
        <v>44575</v>
      </c>
      <c r="I315" s="1176">
        <v>11.5</v>
      </c>
      <c r="J315" s="1176" t="s">
        <v>675</v>
      </c>
      <c r="K315" s="1177" t="s">
        <v>676</v>
      </c>
      <c r="L315" s="1178" t="s">
        <v>677</v>
      </c>
      <c r="M315" s="1179">
        <v>28175000</v>
      </c>
      <c r="N315" s="1386" t="s">
        <v>774</v>
      </c>
      <c r="O315" s="1174" t="s">
        <v>773</v>
      </c>
      <c r="P315" s="1163" t="s">
        <v>680</v>
      </c>
      <c r="Q315" s="1163"/>
      <c r="R315" s="1357">
        <v>28175000</v>
      </c>
      <c r="S315" s="1357">
        <v>28175000</v>
      </c>
      <c r="T315" s="1357">
        <f>+Tabla16[[#This Row],[CDPS A 31 JULIO 2022]]-Tabla16[[#This Row],[CDP]]</f>
        <v>0</v>
      </c>
      <c r="U315" s="1357">
        <v>28175000</v>
      </c>
      <c r="V315" s="1357">
        <v>9718333</v>
      </c>
      <c r="W315" s="1357"/>
    </row>
    <row r="316" spans="1:23" s="1207" customFormat="1" ht="135" x14ac:dyDescent="0.2">
      <c r="A316" s="1355">
        <v>2022278</v>
      </c>
      <c r="B316" s="1172">
        <v>7658</v>
      </c>
      <c r="C316" s="1356" t="s">
        <v>681</v>
      </c>
      <c r="D316" s="1190" t="s">
        <v>691</v>
      </c>
      <c r="E316" s="1174">
        <v>80111600</v>
      </c>
      <c r="F316" s="1389" t="s">
        <v>951</v>
      </c>
      <c r="G316" s="1390">
        <v>44575</v>
      </c>
      <c r="H316" s="1390">
        <v>44575</v>
      </c>
      <c r="I316" s="1176">
        <v>11.5</v>
      </c>
      <c r="J316" s="1176" t="s">
        <v>675</v>
      </c>
      <c r="K316" s="1177" t="s">
        <v>676</v>
      </c>
      <c r="L316" s="1178" t="s">
        <v>677</v>
      </c>
      <c r="M316" s="1179">
        <v>28175000</v>
      </c>
      <c r="N316" s="1386" t="s">
        <v>774</v>
      </c>
      <c r="O316" s="1174" t="s">
        <v>773</v>
      </c>
      <c r="P316" s="1163" t="s">
        <v>680</v>
      </c>
      <c r="Q316" s="1163"/>
      <c r="R316" s="1357">
        <v>28175000</v>
      </c>
      <c r="S316" s="1357">
        <v>28175000</v>
      </c>
      <c r="T316" s="1357">
        <f>+Tabla16[[#This Row],[CDPS A 31 JULIO 2022]]-Tabla16[[#This Row],[CDP]]</f>
        <v>0</v>
      </c>
      <c r="U316" s="1357">
        <v>28175000</v>
      </c>
      <c r="V316" s="1357">
        <v>9718333</v>
      </c>
      <c r="W316" s="1357"/>
    </row>
    <row r="317" spans="1:23" s="1207" customFormat="1" ht="135" x14ac:dyDescent="0.2">
      <c r="A317" s="1355">
        <v>2022279</v>
      </c>
      <c r="B317" s="1172">
        <v>7658</v>
      </c>
      <c r="C317" s="1356" t="s">
        <v>681</v>
      </c>
      <c r="D317" s="1190" t="s">
        <v>691</v>
      </c>
      <c r="E317" s="1174">
        <v>80111600</v>
      </c>
      <c r="F317" s="1389" t="s">
        <v>951</v>
      </c>
      <c r="G317" s="1390">
        <v>44575</v>
      </c>
      <c r="H317" s="1390">
        <v>44575</v>
      </c>
      <c r="I317" s="1176">
        <v>11.5</v>
      </c>
      <c r="J317" s="1176" t="s">
        <v>675</v>
      </c>
      <c r="K317" s="1177" t="s">
        <v>676</v>
      </c>
      <c r="L317" s="1178" t="s">
        <v>677</v>
      </c>
      <c r="M317" s="1179">
        <v>28175000</v>
      </c>
      <c r="N317" s="1386" t="s">
        <v>774</v>
      </c>
      <c r="O317" s="1174" t="s">
        <v>773</v>
      </c>
      <c r="P317" s="1163" t="s">
        <v>680</v>
      </c>
      <c r="Q317" s="1163"/>
      <c r="R317" s="1269">
        <v>0</v>
      </c>
      <c r="S317" s="1357"/>
      <c r="T317" s="1357">
        <f>+Tabla16[[#This Row],[CDPS A 31 JULIO 2022]]-Tabla16[[#This Row],[CDP]]</f>
        <v>0</v>
      </c>
      <c r="U317" s="1357"/>
      <c r="V317" s="1357"/>
      <c r="W317" s="1357"/>
    </row>
    <row r="318" spans="1:23" s="1207" customFormat="1" ht="135" x14ac:dyDescent="0.2">
      <c r="A318" s="1355">
        <v>2022280</v>
      </c>
      <c r="B318" s="1172">
        <v>7658</v>
      </c>
      <c r="C318" s="1356" t="s">
        <v>681</v>
      </c>
      <c r="D318" s="1190" t="s">
        <v>691</v>
      </c>
      <c r="E318" s="1174">
        <v>80111600</v>
      </c>
      <c r="F318" s="1389" t="s">
        <v>951</v>
      </c>
      <c r="G318" s="1390">
        <v>44575</v>
      </c>
      <c r="H318" s="1390">
        <v>44575</v>
      </c>
      <c r="I318" s="1176">
        <v>11.5</v>
      </c>
      <c r="J318" s="1176" t="s">
        <v>675</v>
      </c>
      <c r="K318" s="1177" t="s">
        <v>676</v>
      </c>
      <c r="L318" s="1178" t="s">
        <v>677</v>
      </c>
      <c r="M318" s="1179">
        <v>28175000</v>
      </c>
      <c r="N318" s="1386" t="s">
        <v>774</v>
      </c>
      <c r="O318" s="1174" t="s">
        <v>773</v>
      </c>
      <c r="P318" s="1163" t="s">
        <v>680</v>
      </c>
      <c r="Q318" s="1163"/>
      <c r="R318" s="1357">
        <v>28175000</v>
      </c>
      <c r="S318" s="1357">
        <v>28175000</v>
      </c>
      <c r="T318" s="1357">
        <f>+Tabla16[[#This Row],[CDPS A 31 JULIO 2022]]-Tabla16[[#This Row],[CDP]]</f>
        <v>0</v>
      </c>
      <c r="U318" s="1357">
        <v>28175000</v>
      </c>
      <c r="V318" s="1357">
        <v>9718333</v>
      </c>
      <c r="W318" s="1357"/>
    </row>
    <row r="319" spans="1:23" s="1207" customFormat="1" ht="135" x14ac:dyDescent="0.2">
      <c r="A319" s="1355">
        <v>2022281</v>
      </c>
      <c r="B319" s="1172">
        <v>7658</v>
      </c>
      <c r="C319" s="1356" t="s">
        <v>681</v>
      </c>
      <c r="D319" s="1190" t="s">
        <v>691</v>
      </c>
      <c r="E319" s="1174">
        <v>80111600</v>
      </c>
      <c r="F319" s="1389" t="s">
        <v>951</v>
      </c>
      <c r="G319" s="1390">
        <v>44575</v>
      </c>
      <c r="H319" s="1390">
        <v>44575</v>
      </c>
      <c r="I319" s="1176">
        <v>11.5</v>
      </c>
      <c r="J319" s="1176" t="s">
        <v>675</v>
      </c>
      <c r="K319" s="1177" t="s">
        <v>676</v>
      </c>
      <c r="L319" s="1178" t="s">
        <v>677</v>
      </c>
      <c r="M319" s="1179">
        <v>28175000</v>
      </c>
      <c r="N319" s="1386" t="s">
        <v>774</v>
      </c>
      <c r="O319" s="1174" t="s">
        <v>773</v>
      </c>
      <c r="P319" s="1163" t="s">
        <v>680</v>
      </c>
      <c r="Q319" s="1163"/>
      <c r="R319" s="1357">
        <v>28175000</v>
      </c>
      <c r="S319" s="1357">
        <v>28175000</v>
      </c>
      <c r="T319" s="1357">
        <f>+Tabla16[[#This Row],[CDPS A 31 JULIO 2022]]-Tabla16[[#This Row],[CDP]]</f>
        <v>0</v>
      </c>
      <c r="U319" s="1357">
        <v>28175000</v>
      </c>
      <c r="V319" s="1357">
        <v>8983333</v>
      </c>
      <c r="W319" s="1357"/>
    </row>
    <row r="320" spans="1:23" s="1207" customFormat="1" ht="135" x14ac:dyDescent="0.2">
      <c r="A320" s="1355">
        <v>2022283</v>
      </c>
      <c r="B320" s="1172">
        <v>7658</v>
      </c>
      <c r="C320" s="1356" t="s">
        <v>681</v>
      </c>
      <c r="D320" s="1190" t="s">
        <v>691</v>
      </c>
      <c r="E320" s="1174">
        <v>80111600</v>
      </c>
      <c r="F320" s="1389" t="s">
        <v>952</v>
      </c>
      <c r="G320" s="1390">
        <v>44575</v>
      </c>
      <c r="H320" s="1390">
        <v>44575</v>
      </c>
      <c r="I320" s="1176">
        <v>11.5</v>
      </c>
      <c r="J320" s="1176" t="s">
        <v>675</v>
      </c>
      <c r="K320" s="1177" t="s">
        <v>676</v>
      </c>
      <c r="L320" s="1178" t="s">
        <v>677</v>
      </c>
      <c r="M320" s="1179">
        <v>47150000</v>
      </c>
      <c r="N320" s="1386" t="s">
        <v>774</v>
      </c>
      <c r="O320" s="1174" t="s">
        <v>773</v>
      </c>
      <c r="P320" s="1163" t="s">
        <v>680</v>
      </c>
      <c r="Q320" s="1163"/>
      <c r="R320" s="1357">
        <v>44275000</v>
      </c>
      <c r="S320" s="1357">
        <v>44275000</v>
      </c>
      <c r="T320" s="1357">
        <f>+Tabla16[[#This Row],[CDPS A 31 JULIO 2022]]-Tabla16[[#This Row],[CDP]]</f>
        <v>0</v>
      </c>
      <c r="U320" s="1357">
        <v>44275000</v>
      </c>
      <c r="V320" s="1357">
        <v>14501667</v>
      </c>
      <c r="W320" s="1357"/>
    </row>
    <row r="321" spans="1:84" ht="135" x14ac:dyDescent="0.2">
      <c r="A321" s="1358">
        <v>2022285</v>
      </c>
      <c r="B321" s="1172">
        <v>7658</v>
      </c>
      <c r="C321" s="1356" t="s">
        <v>681</v>
      </c>
      <c r="D321" s="1190" t="s">
        <v>691</v>
      </c>
      <c r="E321" s="1174" t="s">
        <v>953</v>
      </c>
      <c r="F321" s="1389" t="s">
        <v>954</v>
      </c>
      <c r="G321" s="1390">
        <v>44774</v>
      </c>
      <c r="H321" s="1390">
        <v>44774</v>
      </c>
      <c r="I321" s="1176">
        <v>5</v>
      </c>
      <c r="J321" s="1176" t="s">
        <v>689</v>
      </c>
      <c r="K321" s="1177" t="s">
        <v>676</v>
      </c>
      <c r="L321" s="1178" t="s">
        <v>955</v>
      </c>
      <c r="M321" s="1179">
        <f>100000000-80000000</f>
        <v>20000000</v>
      </c>
      <c r="N321" s="1386" t="s">
        <v>774</v>
      </c>
      <c r="O321" s="1174" t="s">
        <v>773</v>
      </c>
      <c r="P321" s="1163" t="s">
        <v>750</v>
      </c>
      <c r="Q321" s="1163" t="s">
        <v>956</v>
      </c>
      <c r="R321" s="1357">
        <v>20000000</v>
      </c>
      <c r="S321" s="1357">
        <v>20000000</v>
      </c>
      <c r="T321" s="1357">
        <f>+Tabla16[[#This Row],[CDPS A 31 JULIO 2022]]-Tabla16[[#This Row],[CDP]]</f>
        <v>0</v>
      </c>
      <c r="U321" s="1357"/>
      <c r="V321" s="1357"/>
      <c r="W321" s="1357"/>
      <c r="X321" s="1207"/>
      <c r="Y321" s="1207"/>
      <c r="Z321" s="1207"/>
      <c r="AA321" s="1207"/>
      <c r="AB321" s="1207"/>
      <c r="AC321" s="1207"/>
      <c r="AD321" s="1207"/>
      <c r="AE321" s="1207"/>
      <c r="AF321" s="1207"/>
      <c r="AG321" s="1207"/>
      <c r="AH321" s="1207"/>
      <c r="AI321" s="1207"/>
      <c r="AJ321" s="1207"/>
      <c r="AK321" s="1207"/>
      <c r="AL321" s="1207"/>
      <c r="AM321" s="1207"/>
      <c r="AN321" s="1207"/>
      <c r="AO321" s="1207"/>
      <c r="AP321" s="1207"/>
      <c r="AQ321" s="1207"/>
      <c r="AR321" s="1207"/>
      <c r="AS321" s="1207"/>
      <c r="AT321" s="1207"/>
      <c r="AU321" s="1207"/>
      <c r="AV321" s="1207"/>
      <c r="AW321" s="1207"/>
      <c r="AX321" s="1207"/>
      <c r="AY321" s="1207"/>
      <c r="AZ321" s="1207"/>
      <c r="BA321" s="1207"/>
      <c r="BB321" s="1207"/>
      <c r="BC321" s="1207"/>
      <c r="BD321" s="1207"/>
      <c r="BE321" s="1207"/>
      <c r="BF321" s="1207"/>
      <c r="BG321" s="1207"/>
      <c r="BH321" s="1207"/>
      <c r="BI321" s="1207"/>
      <c r="BJ321" s="1207"/>
      <c r="BK321" s="1207"/>
      <c r="BL321" s="1207"/>
      <c r="BM321" s="1207"/>
      <c r="BN321" s="1207"/>
      <c r="BO321" s="1207"/>
      <c r="BP321" s="1207"/>
      <c r="BQ321" s="1207"/>
      <c r="BR321" s="1207"/>
      <c r="BS321" s="1207"/>
      <c r="BT321" s="1207"/>
      <c r="BU321" s="1207"/>
      <c r="BV321" s="1207"/>
      <c r="BW321" s="1207"/>
      <c r="BX321" s="1207"/>
      <c r="BY321" s="1207"/>
      <c r="BZ321" s="1207"/>
      <c r="CA321" s="1207"/>
      <c r="CB321" s="1207"/>
      <c r="CC321" s="1207"/>
      <c r="CD321" s="1207"/>
      <c r="CE321" s="1207"/>
      <c r="CF321" s="1207"/>
    </row>
    <row r="322" spans="1:84" ht="135" x14ac:dyDescent="0.2">
      <c r="A322" s="1358">
        <v>2022286</v>
      </c>
      <c r="B322" s="1172">
        <v>7658</v>
      </c>
      <c r="C322" s="1356" t="s">
        <v>681</v>
      </c>
      <c r="D322" s="1190" t="s">
        <v>691</v>
      </c>
      <c r="E322" s="1174" t="s">
        <v>957</v>
      </c>
      <c r="F322" s="1389" t="s">
        <v>958</v>
      </c>
      <c r="G322" s="1390">
        <v>44774</v>
      </c>
      <c r="H322" s="1390">
        <v>44774</v>
      </c>
      <c r="I322" s="1176">
        <v>7</v>
      </c>
      <c r="J322" s="1176" t="s">
        <v>689</v>
      </c>
      <c r="K322" s="1177" t="s">
        <v>676</v>
      </c>
      <c r="L322" s="1178" t="s">
        <v>959</v>
      </c>
      <c r="M322" s="1179">
        <f>150000000-50000000</f>
        <v>100000000</v>
      </c>
      <c r="N322" s="1386" t="s">
        <v>774</v>
      </c>
      <c r="O322" s="1174" t="s">
        <v>773</v>
      </c>
      <c r="P322" s="1163" t="s">
        <v>680</v>
      </c>
      <c r="Q322" s="1163"/>
      <c r="R322" s="1357">
        <v>100000000</v>
      </c>
      <c r="S322" s="1357">
        <v>100000000</v>
      </c>
      <c r="T322" s="1357">
        <f>+Tabla16[[#This Row],[CDPS A 31 JULIO 2022]]-Tabla16[[#This Row],[CDP]]</f>
        <v>0</v>
      </c>
      <c r="U322" s="1357"/>
      <c r="V322" s="1357"/>
      <c r="W322" s="1357"/>
      <c r="X322" s="1207"/>
      <c r="Y322" s="1207"/>
      <c r="Z322" s="1207"/>
      <c r="AA322" s="1207"/>
      <c r="AB322" s="1207"/>
      <c r="AC322" s="1207"/>
      <c r="AD322" s="1207"/>
      <c r="AE322" s="1207"/>
      <c r="AF322" s="1207"/>
      <c r="AG322" s="1207"/>
      <c r="AH322" s="1207"/>
      <c r="AI322" s="1207"/>
      <c r="AJ322" s="1207"/>
      <c r="AK322" s="1207"/>
      <c r="AL322" s="1207"/>
      <c r="AM322" s="1207"/>
      <c r="AN322" s="1207"/>
      <c r="AO322" s="1207"/>
      <c r="AP322" s="1207"/>
      <c r="AQ322" s="1207"/>
      <c r="AR322" s="1207"/>
      <c r="AS322" s="1207"/>
      <c r="AT322" s="1207"/>
      <c r="AU322" s="1207"/>
      <c r="AV322" s="1207"/>
      <c r="AW322" s="1207"/>
      <c r="AX322" s="1207"/>
      <c r="AY322" s="1207"/>
      <c r="AZ322" s="1207"/>
      <c r="BA322" s="1207"/>
      <c r="BB322" s="1207"/>
      <c r="BC322" s="1207"/>
      <c r="BD322" s="1207"/>
      <c r="BE322" s="1207"/>
      <c r="BF322" s="1207"/>
      <c r="BG322" s="1207"/>
      <c r="BH322" s="1207"/>
      <c r="BI322" s="1207"/>
      <c r="BJ322" s="1207"/>
      <c r="BK322" s="1207"/>
      <c r="BL322" s="1207"/>
      <c r="BM322" s="1207"/>
      <c r="BN322" s="1207"/>
      <c r="BO322" s="1207"/>
      <c r="BP322" s="1207"/>
      <c r="BQ322" s="1207"/>
      <c r="BR322" s="1207"/>
      <c r="BS322" s="1207"/>
      <c r="BT322" s="1207"/>
      <c r="BU322" s="1207"/>
      <c r="BV322" s="1207"/>
      <c r="BW322" s="1207"/>
      <c r="BX322" s="1207"/>
      <c r="BY322" s="1207"/>
      <c r="BZ322" s="1207"/>
      <c r="CA322" s="1207"/>
      <c r="CB322" s="1207"/>
      <c r="CC322" s="1207"/>
      <c r="CD322" s="1207"/>
      <c r="CE322" s="1207"/>
      <c r="CF322" s="1207"/>
    </row>
    <row r="323" spans="1:84" ht="135" x14ac:dyDescent="0.2">
      <c r="A323" s="1355">
        <v>2022287</v>
      </c>
      <c r="B323" s="1172">
        <v>7658</v>
      </c>
      <c r="C323" s="1356" t="s">
        <v>681</v>
      </c>
      <c r="D323" s="1190" t="s">
        <v>691</v>
      </c>
      <c r="E323" s="1174" t="s">
        <v>960</v>
      </c>
      <c r="F323" s="1389" t="s">
        <v>961</v>
      </c>
      <c r="G323" s="1390">
        <v>44788</v>
      </c>
      <c r="H323" s="1390">
        <v>44768</v>
      </c>
      <c r="I323" s="1176">
        <v>6</v>
      </c>
      <c r="J323" s="1176" t="s">
        <v>701</v>
      </c>
      <c r="K323" s="1177" t="s">
        <v>676</v>
      </c>
      <c r="L323" s="1178" t="s">
        <v>959</v>
      </c>
      <c r="M323" s="1179">
        <f>100000000-60000000</f>
        <v>40000000</v>
      </c>
      <c r="N323" s="1386" t="s">
        <v>774</v>
      </c>
      <c r="O323" s="1174" t="s">
        <v>773</v>
      </c>
      <c r="P323" s="1163" t="s">
        <v>680</v>
      </c>
      <c r="Q323" s="1163"/>
      <c r="R323" s="1269">
        <v>0</v>
      </c>
      <c r="S323" s="1357"/>
      <c r="T323" s="1357">
        <f>+Tabla16[[#This Row],[CDPS A 31 JULIO 2022]]-Tabla16[[#This Row],[CDP]]</f>
        <v>0</v>
      </c>
      <c r="U323" s="1357"/>
      <c r="V323" s="1357"/>
      <c r="W323" s="1357"/>
      <c r="X323" s="1207"/>
      <c r="Y323" s="1207"/>
      <c r="Z323" s="1207"/>
      <c r="AA323" s="1207"/>
      <c r="AB323" s="1207"/>
      <c r="AC323" s="1207"/>
      <c r="AD323" s="1207"/>
      <c r="AE323" s="1207"/>
      <c r="AF323" s="1207"/>
      <c r="AG323" s="1207"/>
      <c r="AH323" s="1207"/>
      <c r="AI323" s="1207"/>
      <c r="AJ323" s="1207"/>
      <c r="AK323" s="1207"/>
      <c r="AL323" s="1207"/>
      <c r="AM323" s="1207"/>
      <c r="AN323" s="1207"/>
      <c r="AO323" s="1207"/>
      <c r="AP323" s="1207"/>
      <c r="AQ323" s="1207"/>
      <c r="AR323" s="1207"/>
      <c r="AS323" s="1207"/>
      <c r="AT323" s="1207"/>
      <c r="AU323" s="1207"/>
      <c r="AV323" s="1207"/>
      <c r="AW323" s="1207"/>
      <c r="AX323" s="1207"/>
      <c r="AY323" s="1207"/>
      <c r="AZ323" s="1207"/>
      <c r="BA323" s="1207"/>
      <c r="BB323" s="1207"/>
      <c r="BC323" s="1207"/>
      <c r="BD323" s="1207"/>
      <c r="BE323" s="1207"/>
      <c r="BF323" s="1207"/>
      <c r="BG323" s="1207"/>
      <c r="BH323" s="1207"/>
      <c r="BI323" s="1207"/>
      <c r="BJ323" s="1207"/>
      <c r="BK323" s="1207"/>
      <c r="BL323" s="1207"/>
      <c r="BM323" s="1207"/>
      <c r="BN323" s="1207"/>
      <c r="BO323" s="1207"/>
      <c r="BP323" s="1207"/>
      <c r="BQ323" s="1207"/>
      <c r="BR323" s="1207"/>
      <c r="BS323" s="1207"/>
      <c r="BT323" s="1207"/>
      <c r="BU323" s="1207"/>
      <c r="BV323" s="1207"/>
      <c r="BW323" s="1207"/>
      <c r="BX323" s="1207"/>
      <c r="BY323" s="1207"/>
      <c r="BZ323" s="1207"/>
      <c r="CA323" s="1207"/>
      <c r="CB323" s="1207"/>
      <c r="CC323" s="1207"/>
      <c r="CD323" s="1207"/>
      <c r="CE323" s="1207"/>
      <c r="CF323" s="1207"/>
    </row>
    <row r="324" spans="1:84" ht="135" x14ac:dyDescent="0.2">
      <c r="A324" s="1358">
        <v>2022288</v>
      </c>
      <c r="B324" s="1172">
        <v>7658</v>
      </c>
      <c r="C324" s="1356" t="s">
        <v>681</v>
      </c>
      <c r="D324" s="1190" t="s">
        <v>691</v>
      </c>
      <c r="E324" s="1174" t="s">
        <v>962</v>
      </c>
      <c r="F324" s="1389" t="s">
        <v>963</v>
      </c>
      <c r="G324" s="1390">
        <v>44743</v>
      </c>
      <c r="H324" s="1390">
        <v>44743</v>
      </c>
      <c r="I324" s="1176">
        <v>9</v>
      </c>
      <c r="J324" s="1176" t="s">
        <v>689</v>
      </c>
      <c r="K324" s="1177" t="s">
        <v>676</v>
      </c>
      <c r="L324" s="1178" t="s">
        <v>959</v>
      </c>
      <c r="M324" s="1179">
        <f>80000000-60000000-1500000-18500000</f>
        <v>0</v>
      </c>
      <c r="N324" s="1386" t="s">
        <v>774</v>
      </c>
      <c r="O324" s="1174" t="s">
        <v>773</v>
      </c>
      <c r="P324" s="1163" t="s">
        <v>750</v>
      </c>
      <c r="Q324" s="1163"/>
      <c r="R324" s="1269">
        <v>0</v>
      </c>
      <c r="S324" s="1357"/>
      <c r="T324" s="1357">
        <f>+Tabla16[[#This Row],[CDPS A 31 JULIO 2022]]-Tabla16[[#This Row],[CDP]]</f>
        <v>0</v>
      </c>
      <c r="U324" s="1357"/>
      <c r="V324" s="1357"/>
      <c r="W324" s="1357"/>
      <c r="X324" s="1207"/>
      <c r="Y324" s="1207"/>
      <c r="Z324" s="1207"/>
      <c r="AA324" s="1207"/>
      <c r="AB324" s="1207"/>
      <c r="AC324" s="1207"/>
      <c r="AD324" s="1207"/>
      <c r="AE324" s="1207"/>
      <c r="AF324" s="1207"/>
      <c r="AG324" s="1207"/>
      <c r="AH324" s="1207"/>
      <c r="AI324" s="1207"/>
      <c r="AJ324" s="1207"/>
      <c r="AK324" s="1207"/>
      <c r="AL324" s="1207"/>
      <c r="AM324" s="1207"/>
      <c r="AN324" s="1207"/>
      <c r="AO324" s="1207"/>
      <c r="AP324" s="1207"/>
      <c r="AQ324" s="1207"/>
      <c r="AR324" s="1207"/>
      <c r="AS324" s="1207"/>
      <c r="AT324" s="1207"/>
      <c r="AU324" s="1207"/>
      <c r="AV324" s="1207"/>
      <c r="AW324" s="1207"/>
      <c r="AX324" s="1207"/>
      <c r="AY324" s="1207"/>
      <c r="AZ324" s="1207"/>
      <c r="BA324" s="1207"/>
      <c r="BB324" s="1207"/>
      <c r="BC324" s="1207"/>
      <c r="BD324" s="1207"/>
      <c r="BE324" s="1207"/>
      <c r="BF324" s="1207"/>
      <c r="BG324" s="1207"/>
      <c r="BH324" s="1207"/>
      <c r="BI324" s="1207"/>
      <c r="BJ324" s="1207"/>
      <c r="BK324" s="1207"/>
      <c r="BL324" s="1207"/>
      <c r="BM324" s="1207"/>
      <c r="BN324" s="1207"/>
      <c r="BO324" s="1207"/>
      <c r="BP324" s="1207"/>
      <c r="BQ324" s="1207"/>
      <c r="BR324" s="1207"/>
      <c r="BS324" s="1207"/>
      <c r="BT324" s="1207"/>
      <c r="BU324" s="1207"/>
      <c r="BV324" s="1207"/>
      <c r="BW324" s="1207"/>
      <c r="BX324" s="1207"/>
      <c r="BY324" s="1207"/>
      <c r="BZ324" s="1207"/>
      <c r="CA324" s="1207"/>
      <c r="CB324" s="1207"/>
      <c r="CC324" s="1207"/>
      <c r="CD324" s="1207"/>
      <c r="CE324" s="1207"/>
      <c r="CF324" s="1207"/>
    </row>
    <row r="325" spans="1:84" ht="135" x14ac:dyDescent="0.2">
      <c r="A325" s="1358">
        <v>2022290</v>
      </c>
      <c r="B325" s="1172">
        <v>7658</v>
      </c>
      <c r="C325" s="1356" t="s">
        <v>681</v>
      </c>
      <c r="D325" s="1190" t="s">
        <v>691</v>
      </c>
      <c r="E325" s="1174" t="s">
        <v>964</v>
      </c>
      <c r="F325" s="1389" t="s">
        <v>965</v>
      </c>
      <c r="G325" s="1390">
        <v>44593</v>
      </c>
      <c r="H325" s="1390">
        <v>44593</v>
      </c>
      <c r="I325" s="1176">
        <v>9</v>
      </c>
      <c r="J325" s="1176" t="s">
        <v>689</v>
      </c>
      <c r="K325" s="1177" t="s">
        <v>676</v>
      </c>
      <c r="L325" s="1178" t="s">
        <v>959</v>
      </c>
      <c r="M325" s="1179">
        <v>20000000</v>
      </c>
      <c r="N325" s="1386" t="s">
        <v>774</v>
      </c>
      <c r="O325" s="1174" t="s">
        <v>773</v>
      </c>
      <c r="P325" s="1163" t="s">
        <v>680</v>
      </c>
      <c r="Q325" s="1163"/>
      <c r="R325" s="1357">
        <v>20000000</v>
      </c>
      <c r="S325" s="1357">
        <v>20000000</v>
      </c>
      <c r="T325" s="1357">
        <f>+Tabla16[[#This Row],[CDPS A 31 JULIO 2022]]-Tabla16[[#This Row],[CDP]]</f>
        <v>0</v>
      </c>
      <c r="U325" s="1357"/>
      <c r="V325" s="1357"/>
      <c r="W325" s="1357"/>
      <c r="X325" s="1207"/>
      <c r="Y325" s="1207"/>
      <c r="Z325" s="1207"/>
      <c r="AA325" s="1207"/>
      <c r="AB325" s="1207"/>
      <c r="AC325" s="1207"/>
      <c r="AD325" s="1207"/>
      <c r="AE325" s="1207"/>
      <c r="AF325" s="1207"/>
      <c r="AG325" s="1207"/>
      <c r="AH325" s="1207"/>
      <c r="AI325" s="1207"/>
      <c r="AJ325" s="1207"/>
      <c r="AK325" s="1207"/>
      <c r="AL325" s="1207"/>
      <c r="AM325" s="1207"/>
      <c r="AN325" s="1207"/>
      <c r="AO325" s="1207"/>
      <c r="AP325" s="1207"/>
      <c r="AQ325" s="1207"/>
      <c r="AR325" s="1207"/>
      <c r="AS325" s="1207"/>
      <c r="AT325" s="1207"/>
      <c r="AU325" s="1207"/>
      <c r="AV325" s="1207"/>
      <c r="AW325" s="1207"/>
      <c r="AX325" s="1207"/>
      <c r="AY325" s="1207"/>
      <c r="AZ325" s="1207"/>
      <c r="BA325" s="1207"/>
      <c r="BB325" s="1207"/>
      <c r="BC325" s="1207"/>
      <c r="BD325" s="1207"/>
      <c r="BE325" s="1207"/>
      <c r="BF325" s="1207"/>
      <c r="BG325" s="1207"/>
      <c r="BH325" s="1207"/>
      <c r="BI325" s="1207"/>
      <c r="BJ325" s="1207"/>
      <c r="BK325" s="1207"/>
      <c r="BL325" s="1207"/>
      <c r="BM325" s="1207"/>
      <c r="BN325" s="1207"/>
      <c r="BO325" s="1207"/>
      <c r="BP325" s="1207"/>
      <c r="BQ325" s="1207"/>
      <c r="BR325" s="1207"/>
      <c r="BS325" s="1207"/>
      <c r="BT325" s="1207"/>
      <c r="BU325" s="1207"/>
      <c r="BV325" s="1207"/>
      <c r="BW325" s="1207"/>
      <c r="BX325" s="1207"/>
      <c r="BY325" s="1207"/>
      <c r="BZ325" s="1207"/>
      <c r="CA325" s="1207"/>
      <c r="CB325" s="1207"/>
      <c r="CC325" s="1207"/>
      <c r="CD325" s="1207"/>
      <c r="CE325" s="1207"/>
      <c r="CF325" s="1207"/>
    </row>
    <row r="326" spans="1:84" ht="60" x14ac:dyDescent="0.2">
      <c r="A326" s="1358">
        <v>2022291</v>
      </c>
      <c r="B326" s="1172">
        <v>7658</v>
      </c>
      <c r="C326" s="1356" t="s">
        <v>681</v>
      </c>
      <c r="D326" s="1190" t="s">
        <v>691</v>
      </c>
      <c r="E326" s="1174" t="s">
        <v>966</v>
      </c>
      <c r="F326" s="1389" t="s">
        <v>967</v>
      </c>
      <c r="G326" s="1390">
        <v>44593</v>
      </c>
      <c r="H326" s="1390">
        <v>44593</v>
      </c>
      <c r="I326" s="1176">
        <v>10</v>
      </c>
      <c r="J326" s="1176" t="s">
        <v>682</v>
      </c>
      <c r="K326" s="1177" t="s">
        <v>772</v>
      </c>
      <c r="L326" s="1178" t="s">
        <v>968</v>
      </c>
      <c r="M326" s="1179">
        <f>900000000-450000000</f>
        <v>450000000</v>
      </c>
      <c r="N326" s="1386" t="s">
        <v>790</v>
      </c>
      <c r="O326" s="1174" t="s">
        <v>777</v>
      </c>
      <c r="P326" s="1163" t="s">
        <v>680</v>
      </c>
      <c r="Q326" s="1163"/>
      <c r="R326" s="1357">
        <v>450000000</v>
      </c>
      <c r="S326" s="1357">
        <v>450000000</v>
      </c>
      <c r="T326" s="1357">
        <f>+Tabla16[[#This Row],[CDPS A 31 JULIO 2022]]-Tabla16[[#This Row],[CDP]]</f>
        <v>0</v>
      </c>
      <c r="U326" s="1357"/>
      <c r="V326" s="1357"/>
      <c r="W326" s="1357"/>
      <c r="X326" s="1207"/>
      <c r="Y326" s="1207"/>
      <c r="Z326" s="1207"/>
      <c r="AA326" s="1207"/>
      <c r="AB326" s="1207"/>
      <c r="AC326" s="1207"/>
      <c r="AD326" s="1207"/>
      <c r="AE326" s="1207"/>
      <c r="AF326" s="1207"/>
      <c r="AG326" s="1207"/>
      <c r="AH326" s="1207"/>
      <c r="AI326" s="1207"/>
      <c r="AJ326" s="1207"/>
      <c r="AK326" s="1207"/>
      <c r="AL326" s="1207"/>
      <c r="AM326" s="1207"/>
      <c r="AN326" s="1207"/>
      <c r="AO326" s="1207"/>
      <c r="AP326" s="1207"/>
      <c r="AQ326" s="1207"/>
      <c r="AR326" s="1207"/>
      <c r="AS326" s="1207"/>
      <c r="AT326" s="1207"/>
      <c r="AU326" s="1207"/>
      <c r="AV326" s="1207"/>
      <c r="AW326" s="1207"/>
      <c r="AX326" s="1207"/>
      <c r="AY326" s="1207"/>
      <c r="AZ326" s="1207"/>
      <c r="BA326" s="1207"/>
      <c r="BB326" s="1207"/>
      <c r="BC326" s="1207"/>
      <c r="BD326" s="1207"/>
      <c r="BE326" s="1207"/>
      <c r="BF326" s="1207"/>
      <c r="BG326" s="1207"/>
      <c r="BH326" s="1207"/>
      <c r="BI326" s="1207"/>
      <c r="BJ326" s="1207"/>
      <c r="BK326" s="1207"/>
      <c r="BL326" s="1207"/>
      <c r="BM326" s="1207"/>
      <c r="BN326" s="1207"/>
      <c r="BO326" s="1207"/>
      <c r="BP326" s="1207"/>
      <c r="BQ326" s="1207"/>
      <c r="BR326" s="1207"/>
      <c r="BS326" s="1207"/>
      <c r="BT326" s="1207"/>
      <c r="BU326" s="1207"/>
      <c r="BV326" s="1207"/>
      <c r="BW326" s="1207"/>
      <c r="BX326" s="1207"/>
      <c r="BY326" s="1207"/>
      <c r="BZ326" s="1207"/>
      <c r="CA326" s="1207"/>
      <c r="CB326" s="1207"/>
      <c r="CC326" s="1207"/>
      <c r="CD326" s="1207"/>
      <c r="CE326" s="1207"/>
      <c r="CF326" s="1207"/>
    </row>
    <row r="327" spans="1:84" ht="75" x14ac:dyDescent="0.2">
      <c r="A327" s="1358">
        <v>2022292</v>
      </c>
      <c r="B327" s="1172">
        <v>7658</v>
      </c>
      <c r="C327" s="1356" t="s">
        <v>681</v>
      </c>
      <c r="D327" s="1190" t="s">
        <v>691</v>
      </c>
      <c r="E327" s="1174" t="s">
        <v>969</v>
      </c>
      <c r="F327" s="1389" t="s">
        <v>970</v>
      </c>
      <c r="G327" s="1390">
        <v>44593</v>
      </c>
      <c r="H327" s="1390">
        <v>44593</v>
      </c>
      <c r="I327" s="1176">
        <v>11</v>
      </c>
      <c r="J327" s="1176" t="s">
        <v>682</v>
      </c>
      <c r="K327" s="1177" t="s">
        <v>772</v>
      </c>
      <c r="L327" s="1178" t="s">
        <v>968</v>
      </c>
      <c r="M327" s="1179">
        <f>180000000-71000000-19000000</f>
        <v>90000000</v>
      </c>
      <c r="N327" s="1386" t="s">
        <v>790</v>
      </c>
      <c r="O327" s="1174" t="s">
        <v>777</v>
      </c>
      <c r="P327" s="1163" t="s">
        <v>680</v>
      </c>
      <c r="Q327" s="1163"/>
      <c r="R327" s="1357">
        <v>90000000</v>
      </c>
      <c r="S327" s="1357"/>
      <c r="T327" s="1357">
        <f>+Tabla16[[#This Row],[CDPS A 31 JULIO 2022]]-Tabla16[[#This Row],[CDP]]</f>
        <v>90000000</v>
      </c>
      <c r="U327" s="1357"/>
      <c r="V327" s="1357"/>
      <c r="W327" s="1357"/>
      <c r="X327" s="1207"/>
      <c r="Y327" s="1207"/>
      <c r="Z327" s="1207"/>
      <c r="AA327" s="1207"/>
      <c r="AB327" s="1207"/>
      <c r="AC327" s="1207"/>
      <c r="AD327" s="1207"/>
      <c r="AE327" s="1207"/>
      <c r="AF327" s="1207"/>
      <c r="AG327" s="1207"/>
      <c r="AH327" s="1207"/>
      <c r="AI327" s="1207"/>
      <c r="AJ327" s="1207"/>
      <c r="AK327" s="1207"/>
      <c r="AL327" s="1207"/>
      <c r="AM327" s="1207"/>
      <c r="AN327" s="1207"/>
      <c r="AO327" s="1207"/>
      <c r="AP327" s="1207"/>
      <c r="AQ327" s="1207"/>
      <c r="AR327" s="1207"/>
      <c r="AS327" s="1207"/>
      <c r="AT327" s="1207"/>
      <c r="AU327" s="1207"/>
      <c r="AV327" s="1207"/>
      <c r="AW327" s="1207"/>
      <c r="AX327" s="1207"/>
      <c r="AY327" s="1207"/>
      <c r="AZ327" s="1207"/>
      <c r="BA327" s="1207"/>
      <c r="BB327" s="1207"/>
      <c r="BC327" s="1207"/>
      <c r="BD327" s="1207"/>
      <c r="BE327" s="1207"/>
      <c r="BF327" s="1207"/>
      <c r="BG327" s="1207"/>
      <c r="BH327" s="1207"/>
      <c r="BI327" s="1207"/>
      <c r="BJ327" s="1207"/>
      <c r="BK327" s="1207"/>
      <c r="BL327" s="1207"/>
      <c r="BM327" s="1207"/>
      <c r="BN327" s="1207"/>
      <c r="BO327" s="1207"/>
      <c r="BP327" s="1207"/>
      <c r="BQ327" s="1207"/>
      <c r="BR327" s="1207"/>
      <c r="BS327" s="1207"/>
      <c r="BT327" s="1207"/>
      <c r="BU327" s="1207"/>
      <c r="BV327" s="1207"/>
      <c r="BW327" s="1207"/>
      <c r="BX327" s="1207"/>
      <c r="BY327" s="1207"/>
      <c r="BZ327" s="1207"/>
      <c r="CA327" s="1207"/>
      <c r="CB327" s="1207"/>
      <c r="CC327" s="1207"/>
      <c r="CD327" s="1207"/>
      <c r="CE327" s="1207"/>
      <c r="CF327" s="1207"/>
    </row>
    <row r="328" spans="1:84" ht="60" x14ac:dyDescent="0.2">
      <c r="A328" s="1358">
        <v>2022293</v>
      </c>
      <c r="B328" s="1172">
        <v>7658</v>
      </c>
      <c r="C328" s="1356" t="s">
        <v>681</v>
      </c>
      <c r="D328" s="1190" t="s">
        <v>691</v>
      </c>
      <c r="E328" s="1174" t="s">
        <v>966</v>
      </c>
      <c r="F328" s="1389" t="s">
        <v>971</v>
      </c>
      <c r="G328" s="1390">
        <v>44593</v>
      </c>
      <c r="H328" s="1390">
        <v>44593</v>
      </c>
      <c r="I328" s="1176">
        <v>10</v>
      </c>
      <c r="J328" s="1176" t="s">
        <v>682</v>
      </c>
      <c r="K328" s="1177" t="s">
        <v>772</v>
      </c>
      <c r="L328" s="1178" t="s">
        <v>968</v>
      </c>
      <c r="M328" s="1179">
        <f>450000000-450000000</f>
        <v>0</v>
      </c>
      <c r="N328" s="1386" t="s">
        <v>790</v>
      </c>
      <c r="O328" s="1174" t="s">
        <v>777</v>
      </c>
      <c r="P328" s="1163" t="s">
        <v>680</v>
      </c>
      <c r="Q328" s="1163"/>
      <c r="R328" s="1269">
        <v>0</v>
      </c>
      <c r="S328" s="1357"/>
      <c r="T328" s="1357">
        <f>+Tabla16[[#This Row],[CDPS A 31 JULIO 2022]]-Tabla16[[#This Row],[CDP]]</f>
        <v>0</v>
      </c>
      <c r="U328" s="1357"/>
      <c r="V328" s="1357"/>
      <c r="W328" s="1357"/>
      <c r="X328" s="1207"/>
      <c r="Y328" s="1207"/>
      <c r="Z328" s="1207"/>
      <c r="AA328" s="1207"/>
      <c r="AB328" s="1207"/>
      <c r="AC328" s="1207"/>
      <c r="AD328" s="1207"/>
      <c r="AE328" s="1207"/>
      <c r="AF328" s="1207"/>
      <c r="AG328" s="1207"/>
      <c r="AH328" s="1207"/>
      <c r="AI328" s="1207"/>
      <c r="AJ328" s="1207"/>
      <c r="AK328" s="1207"/>
      <c r="AL328" s="1207"/>
      <c r="AM328" s="1207"/>
      <c r="AN328" s="1207"/>
      <c r="AO328" s="1207"/>
      <c r="AP328" s="1207"/>
      <c r="AQ328" s="1207"/>
      <c r="AR328" s="1207"/>
      <c r="AS328" s="1207"/>
      <c r="AT328" s="1207"/>
      <c r="AU328" s="1207"/>
      <c r="AV328" s="1207"/>
      <c r="AW328" s="1207"/>
      <c r="AX328" s="1207"/>
      <c r="AY328" s="1207"/>
      <c r="AZ328" s="1207"/>
      <c r="BA328" s="1207"/>
      <c r="BB328" s="1207"/>
      <c r="BC328" s="1207"/>
      <c r="BD328" s="1207"/>
      <c r="BE328" s="1207"/>
      <c r="BF328" s="1207"/>
      <c r="BG328" s="1207"/>
      <c r="BH328" s="1207"/>
      <c r="BI328" s="1207"/>
      <c r="BJ328" s="1207"/>
      <c r="BK328" s="1207"/>
      <c r="BL328" s="1207"/>
      <c r="BM328" s="1207"/>
      <c r="BN328" s="1207"/>
      <c r="BO328" s="1207"/>
      <c r="BP328" s="1207"/>
      <c r="BQ328" s="1207"/>
      <c r="BR328" s="1207"/>
      <c r="BS328" s="1207"/>
      <c r="BT328" s="1207"/>
      <c r="BU328" s="1207"/>
      <c r="BV328" s="1207"/>
      <c r="BW328" s="1207"/>
      <c r="BX328" s="1207"/>
      <c r="BY328" s="1207"/>
      <c r="BZ328" s="1207"/>
      <c r="CA328" s="1207"/>
      <c r="CB328" s="1207"/>
      <c r="CC328" s="1207"/>
      <c r="CD328" s="1207"/>
      <c r="CE328" s="1207"/>
      <c r="CF328" s="1207"/>
    </row>
    <row r="329" spans="1:84" ht="60" x14ac:dyDescent="0.2">
      <c r="A329" s="1355">
        <v>2022294</v>
      </c>
      <c r="B329" s="1172">
        <v>7658</v>
      </c>
      <c r="C329" s="1356" t="s">
        <v>681</v>
      </c>
      <c r="D329" s="1190" t="s">
        <v>691</v>
      </c>
      <c r="E329" s="1174" t="s">
        <v>969</v>
      </c>
      <c r="F329" s="1389" t="s">
        <v>972</v>
      </c>
      <c r="G329" s="1390">
        <v>44805</v>
      </c>
      <c r="H329" s="1390">
        <v>44866</v>
      </c>
      <c r="I329" s="1176">
        <v>11</v>
      </c>
      <c r="J329" s="1176" t="s">
        <v>682</v>
      </c>
      <c r="K329" s="1177" t="s">
        <v>772</v>
      </c>
      <c r="L329" s="1178" t="s">
        <v>968</v>
      </c>
      <c r="M329" s="1179">
        <f>90000000-46992633-43007367</f>
        <v>0</v>
      </c>
      <c r="N329" s="1386" t="s">
        <v>790</v>
      </c>
      <c r="O329" s="1174" t="s">
        <v>777</v>
      </c>
      <c r="P329" s="1163" t="s">
        <v>680</v>
      </c>
      <c r="Q329" s="1163"/>
      <c r="R329" s="1269">
        <v>0</v>
      </c>
      <c r="S329" s="1357"/>
      <c r="T329" s="1357">
        <f>+Tabla16[[#This Row],[CDPS A 31 JULIO 2022]]-Tabla16[[#This Row],[CDP]]</f>
        <v>0</v>
      </c>
      <c r="U329" s="1357"/>
      <c r="V329" s="1357"/>
      <c r="W329" s="1357"/>
      <c r="X329" s="1207"/>
      <c r="Y329" s="1207"/>
      <c r="Z329" s="1207"/>
      <c r="AA329" s="1207"/>
      <c r="AB329" s="1207"/>
      <c r="AC329" s="1207"/>
      <c r="AD329" s="1207"/>
      <c r="AE329" s="1207"/>
      <c r="AF329" s="1207"/>
      <c r="AG329" s="1207"/>
      <c r="AH329" s="1207"/>
      <c r="AI329" s="1207"/>
      <c r="AJ329" s="1207"/>
      <c r="AK329" s="1207"/>
      <c r="AL329" s="1207"/>
      <c r="AM329" s="1207"/>
      <c r="AN329" s="1207"/>
      <c r="AO329" s="1207"/>
      <c r="AP329" s="1207"/>
      <c r="AQ329" s="1207"/>
      <c r="AR329" s="1207"/>
      <c r="AS329" s="1207"/>
      <c r="AT329" s="1207"/>
      <c r="AU329" s="1207"/>
      <c r="AV329" s="1207"/>
      <c r="AW329" s="1207"/>
      <c r="AX329" s="1207"/>
      <c r="AY329" s="1207"/>
      <c r="AZ329" s="1207"/>
      <c r="BA329" s="1207"/>
      <c r="BB329" s="1207"/>
      <c r="BC329" s="1207"/>
      <c r="BD329" s="1207"/>
      <c r="BE329" s="1207"/>
      <c r="BF329" s="1207"/>
      <c r="BG329" s="1207"/>
      <c r="BH329" s="1207"/>
      <c r="BI329" s="1207"/>
      <c r="BJ329" s="1207"/>
      <c r="BK329" s="1207"/>
      <c r="BL329" s="1207"/>
      <c r="BM329" s="1207"/>
      <c r="BN329" s="1207"/>
      <c r="BO329" s="1207"/>
      <c r="BP329" s="1207"/>
      <c r="BQ329" s="1207"/>
      <c r="BR329" s="1207"/>
      <c r="BS329" s="1207"/>
      <c r="BT329" s="1207"/>
      <c r="BU329" s="1207"/>
      <c r="BV329" s="1207"/>
      <c r="BW329" s="1207"/>
      <c r="BX329" s="1207"/>
      <c r="BY329" s="1207"/>
      <c r="BZ329" s="1207"/>
      <c r="CA329" s="1207"/>
      <c r="CB329" s="1207"/>
      <c r="CC329" s="1207"/>
      <c r="CD329" s="1207"/>
      <c r="CE329" s="1207"/>
      <c r="CF329" s="1207"/>
    </row>
    <row r="330" spans="1:84" ht="135" x14ac:dyDescent="0.2">
      <c r="A330" s="1358">
        <v>2022296</v>
      </c>
      <c r="B330" s="1172">
        <v>7658</v>
      </c>
      <c r="C330" s="1356" t="s">
        <v>681</v>
      </c>
      <c r="D330" s="1190" t="s">
        <v>691</v>
      </c>
      <c r="E330" s="1174" t="s">
        <v>975</v>
      </c>
      <c r="F330" s="1389" t="s">
        <v>976</v>
      </c>
      <c r="G330" s="1390">
        <v>44652</v>
      </c>
      <c r="H330" s="1390">
        <v>44652</v>
      </c>
      <c r="I330" s="1176">
        <v>9</v>
      </c>
      <c r="J330" s="1176" t="s">
        <v>698</v>
      </c>
      <c r="K330" s="1177" t="s">
        <v>676</v>
      </c>
      <c r="L330" s="1178" t="s">
        <v>968</v>
      </c>
      <c r="M330" s="1179">
        <f>300000000-200000000-100000000</f>
        <v>0</v>
      </c>
      <c r="N330" s="1386" t="s">
        <v>774</v>
      </c>
      <c r="O330" s="1174" t="s">
        <v>773</v>
      </c>
      <c r="P330" s="1163" t="s">
        <v>750</v>
      </c>
      <c r="Q330" s="1163"/>
      <c r="R330" s="1269">
        <v>0</v>
      </c>
      <c r="S330" s="1357"/>
      <c r="T330" s="1357">
        <f>+Tabla16[[#This Row],[CDPS A 31 JULIO 2022]]-Tabla16[[#This Row],[CDP]]</f>
        <v>0</v>
      </c>
      <c r="U330" s="1357"/>
      <c r="V330" s="1357"/>
      <c r="W330" s="1357"/>
      <c r="X330" s="1207"/>
      <c r="Y330" s="1207"/>
      <c r="Z330" s="1207"/>
      <c r="AA330" s="1207"/>
      <c r="AB330" s="1207"/>
      <c r="AC330" s="1207"/>
      <c r="AD330" s="1207"/>
      <c r="AE330" s="1207"/>
      <c r="AF330" s="1207"/>
      <c r="AG330" s="1207"/>
      <c r="AH330" s="1207"/>
      <c r="AI330" s="1207"/>
      <c r="AJ330" s="1207"/>
      <c r="AK330" s="1207"/>
      <c r="AL330" s="1207"/>
      <c r="AM330" s="1207"/>
      <c r="AN330" s="1207"/>
      <c r="AO330" s="1207"/>
      <c r="AP330" s="1207"/>
      <c r="AQ330" s="1207"/>
      <c r="AR330" s="1207"/>
      <c r="AS330" s="1207"/>
      <c r="AT330" s="1207"/>
      <c r="AU330" s="1207"/>
      <c r="AV330" s="1207"/>
      <c r="AW330" s="1207"/>
      <c r="AX330" s="1207"/>
      <c r="AY330" s="1207"/>
      <c r="AZ330" s="1207"/>
      <c r="BA330" s="1207"/>
      <c r="BB330" s="1207"/>
      <c r="BC330" s="1207"/>
      <c r="BD330" s="1207"/>
      <c r="BE330" s="1207"/>
      <c r="BF330" s="1207"/>
      <c r="BG330" s="1207"/>
      <c r="BH330" s="1207"/>
      <c r="BI330" s="1207"/>
      <c r="BJ330" s="1207"/>
      <c r="BK330" s="1207"/>
      <c r="BL330" s="1207"/>
      <c r="BM330" s="1207"/>
      <c r="BN330" s="1207"/>
      <c r="BO330" s="1207"/>
      <c r="BP330" s="1207"/>
      <c r="BQ330" s="1207"/>
      <c r="BR330" s="1207"/>
      <c r="BS330" s="1207"/>
      <c r="BT330" s="1207"/>
      <c r="BU330" s="1207"/>
      <c r="BV330" s="1207"/>
      <c r="BW330" s="1207"/>
      <c r="BX330" s="1207"/>
      <c r="BY330" s="1207"/>
      <c r="BZ330" s="1207"/>
      <c r="CA330" s="1207"/>
      <c r="CB330" s="1207"/>
      <c r="CC330" s="1207"/>
      <c r="CD330" s="1207"/>
      <c r="CE330" s="1207"/>
      <c r="CF330" s="1207"/>
    </row>
    <row r="331" spans="1:84" ht="135" x14ac:dyDescent="0.2">
      <c r="A331" s="1355">
        <v>2022297</v>
      </c>
      <c r="B331" s="1172">
        <v>7658</v>
      </c>
      <c r="C331" s="1356" t="s">
        <v>681</v>
      </c>
      <c r="D331" s="1190" t="s">
        <v>691</v>
      </c>
      <c r="E331" s="1174" t="s">
        <v>977</v>
      </c>
      <c r="F331" s="1389" t="s">
        <v>978</v>
      </c>
      <c r="G331" s="1390">
        <v>44593</v>
      </c>
      <c r="H331" s="1390">
        <v>44593</v>
      </c>
      <c r="I331" s="1176">
        <v>5</v>
      </c>
      <c r="J331" s="1176" t="s">
        <v>647</v>
      </c>
      <c r="K331" s="1177" t="s">
        <v>676</v>
      </c>
      <c r="L331" s="1178" t="s">
        <v>968</v>
      </c>
      <c r="M331" s="1179">
        <f>1119870000-514000000-50011677-370857468-105559750+24453598+100000000+18500000+200000000+50011677+370857468+123844882+40150000+52400000+35700000+32850000+11791270</f>
        <v>1140000000</v>
      </c>
      <c r="N331" s="1386" t="s">
        <v>774</v>
      </c>
      <c r="O331" s="1174" t="s">
        <v>773</v>
      </c>
      <c r="P331" s="1163" t="s">
        <v>680</v>
      </c>
      <c r="Q331" s="1163"/>
      <c r="R331" s="1269">
        <v>0</v>
      </c>
      <c r="S331" s="1357"/>
      <c r="T331" s="1357">
        <f>+Tabla16[[#This Row],[CDPS A 31 JULIO 2022]]-Tabla16[[#This Row],[CDP]]</f>
        <v>0</v>
      </c>
      <c r="U331" s="1357"/>
      <c r="V331" s="1357"/>
      <c r="W331" s="1357"/>
      <c r="X331" s="1207"/>
      <c r="Y331" s="1207"/>
      <c r="Z331" s="1207"/>
      <c r="AA331" s="1207"/>
      <c r="AB331" s="1207"/>
      <c r="AC331" s="1207"/>
      <c r="AD331" s="1207"/>
      <c r="AE331" s="1207"/>
      <c r="AF331" s="1207"/>
      <c r="AG331" s="1207"/>
      <c r="AH331" s="1207"/>
      <c r="AI331" s="1207"/>
      <c r="AJ331" s="1207"/>
      <c r="AK331" s="1207"/>
      <c r="AL331" s="1207"/>
      <c r="AM331" s="1207"/>
      <c r="AN331" s="1207"/>
      <c r="AO331" s="1207"/>
      <c r="AP331" s="1207"/>
      <c r="AQ331" s="1207"/>
      <c r="AR331" s="1207"/>
      <c r="AS331" s="1207"/>
      <c r="AT331" s="1207"/>
      <c r="AU331" s="1207"/>
      <c r="AV331" s="1207"/>
      <c r="AW331" s="1207"/>
      <c r="AX331" s="1207"/>
      <c r="AY331" s="1207"/>
      <c r="AZ331" s="1207"/>
      <c r="BA331" s="1207"/>
      <c r="BB331" s="1207"/>
      <c r="BC331" s="1207"/>
      <c r="BD331" s="1207"/>
      <c r="BE331" s="1207"/>
      <c r="BF331" s="1207"/>
      <c r="BG331" s="1207"/>
      <c r="BH331" s="1207"/>
      <c r="BI331" s="1207"/>
      <c r="BJ331" s="1207"/>
      <c r="BK331" s="1207"/>
      <c r="BL331" s="1207"/>
      <c r="BM331" s="1207"/>
      <c r="BN331" s="1207"/>
      <c r="BO331" s="1207"/>
      <c r="BP331" s="1207"/>
      <c r="BQ331" s="1207"/>
      <c r="BR331" s="1207"/>
      <c r="BS331" s="1207"/>
      <c r="BT331" s="1207"/>
      <c r="BU331" s="1207"/>
      <c r="BV331" s="1207"/>
      <c r="BW331" s="1207"/>
      <c r="BX331" s="1207"/>
      <c r="BY331" s="1207"/>
      <c r="BZ331" s="1207"/>
      <c r="CA331" s="1207"/>
      <c r="CB331" s="1207"/>
      <c r="CC331" s="1207"/>
      <c r="CD331" s="1207"/>
      <c r="CE331" s="1207"/>
      <c r="CF331" s="1207"/>
    </row>
    <row r="332" spans="1:84" ht="135" x14ac:dyDescent="0.2">
      <c r="A332" s="1358">
        <v>2022300</v>
      </c>
      <c r="B332" s="1172">
        <v>7658</v>
      </c>
      <c r="C332" s="1356" t="s">
        <v>681</v>
      </c>
      <c r="D332" s="1190" t="s">
        <v>691</v>
      </c>
      <c r="E332" s="1174" t="s">
        <v>980</v>
      </c>
      <c r="F332" s="1389" t="s">
        <v>981</v>
      </c>
      <c r="G332" s="1390">
        <v>44621</v>
      </c>
      <c r="H332" s="1390">
        <v>44621</v>
      </c>
      <c r="I332" s="1176">
        <v>4</v>
      </c>
      <c r="J332" s="1176" t="s">
        <v>698</v>
      </c>
      <c r="K332" s="1177" t="s">
        <v>772</v>
      </c>
      <c r="L332" s="1178" t="s">
        <v>968</v>
      </c>
      <c r="M332" s="1179">
        <v>300000000</v>
      </c>
      <c r="N332" s="1386" t="s">
        <v>774</v>
      </c>
      <c r="O332" s="1174" t="s">
        <v>773</v>
      </c>
      <c r="P332" s="1163" t="s">
        <v>680</v>
      </c>
      <c r="Q332" s="1163"/>
      <c r="R332" s="1269">
        <v>0</v>
      </c>
      <c r="S332" s="1357"/>
      <c r="T332" s="1357">
        <f>+Tabla16[[#This Row],[CDPS A 31 JULIO 2022]]-Tabla16[[#This Row],[CDP]]</f>
        <v>0</v>
      </c>
      <c r="U332" s="1357"/>
      <c r="V332" s="1357"/>
      <c r="W332" s="1357"/>
      <c r="X332" s="1207"/>
      <c r="Y332" s="1207"/>
      <c r="Z332" s="1207"/>
      <c r="AA332" s="1207"/>
      <c r="AB332" s="1207"/>
      <c r="AC332" s="1207"/>
      <c r="AD332" s="1207"/>
      <c r="AE332" s="1207"/>
      <c r="AF332" s="1207"/>
      <c r="AG332" s="1207"/>
      <c r="AH332" s="1207"/>
      <c r="AI332" s="1207"/>
      <c r="AJ332" s="1207"/>
      <c r="AK332" s="1207"/>
      <c r="AL332" s="1207"/>
      <c r="AM332" s="1207"/>
      <c r="AN332" s="1207"/>
      <c r="AO332" s="1207"/>
      <c r="AP332" s="1207"/>
      <c r="AQ332" s="1207"/>
      <c r="AR332" s="1207"/>
      <c r="AS332" s="1207"/>
      <c r="AT332" s="1207"/>
      <c r="AU332" s="1207"/>
      <c r="AV332" s="1207"/>
      <c r="AW332" s="1207"/>
      <c r="AX332" s="1207"/>
      <c r="AY332" s="1207"/>
      <c r="AZ332" s="1207"/>
      <c r="BA332" s="1207"/>
      <c r="BB332" s="1207"/>
      <c r="BC332" s="1207"/>
      <c r="BD332" s="1207"/>
      <c r="BE332" s="1207"/>
      <c r="BF332" s="1207"/>
      <c r="BG332" s="1207"/>
      <c r="BH332" s="1207"/>
      <c r="BI332" s="1207"/>
      <c r="BJ332" s="1207"/>
      <c r="BK332" s="1207"/>
      <c r="BL332" s="1207"/>
      <c r="BM332" s="1207"/>
      <c r="BN332" s="1207"/>
      <c r="BO332" s="1207"/>
      <c r="BP332" s="1207"/>
      <c r="BQ332" s="1207"/>
      <c r="BR332" s="1207"/>
      <c r="BS332" s="1207"/>
      <c r="BT332" s="1207"/>
      <c r="BU332" s="1207"/>
      <c r="BV332" s="1207"/>
      <c r="BW332" s="1207"/>
      <c r="BX332" s="1207"/>
      <c r="BY332" s="1207"/>
      <c r="BZ332" s="1207"/>
      <c r="CA332" s="1207"/>
      <c r="CB332" s="1207"/>
      <c r="CC332" s="1207"/>
      <c r="CD332" s="1207"/>
      <c r="CE332" s="1207"/>
      <c r="CF332" s="1207"/>
    </row>
    <row r="333" spans="1:84" ht="60" x14ac:dyDescent="0.2">
      <c r="A333" s="1355">
        <v>2022301</v>
      </c>
      <c r="B333" s="1172">
        <v>7658</v>
      </c>
      <c r="C333" s="1356" t="s">
        <v>681</v>
      </c>
      <c r="D333" s="1190" t="s">
        <v>691</v>
      </c>
      <c r="E333" s="1174" t="s">
        <v>97</v>
      </c>
      <c r="F333" s="1389" t="s">
        <v>982</v>
      </c>
      <c r="G333" s="1390">
        <v>44621</v>
      </c>
      <c r="H333" s="1390">
        <v>44621</v>
      </c>
      <c r="I333" s="1176" t="s">
        <v>97</v>
      </c>
      <c r="J333" s="1176" t="s">
        <v>97</v>
      </c>
      <c r="K333" s="1177" t="s">
        <v>676</v>
      </c>
      <c r="L333" s="1178" t="s">
        <v>983</v>
      </c>
      <c r="M333" s="1179">
        <f>170000000-46155118-123844882</f>
        <v>0</v>
      </c>
      <c r="N333" s="1386" t="s">
        <v>790</v>
      </c>
      <c r="O333" s="1174" t="s">
        <v>777</v>
      </c>
      <c r="P333" s="1163" t="s">
        <v>750</v>
      </c>
      <c r="Q333" s="1163"/>
      <c r="R333" s="1357">
        <v>0</v>
      </c>
      <c r="S333" s="1357"/>
      <c r="T333" s="1357">
        <f>+Tabla16[[#This Row],[CDPS A 31 JULIO 2022]]-Tabla16[[#This Row],[CDP]]</f>
        <v>0</v>
      </c>
      <c r="U333" s="1357"/>
      <c r="V333" s="1357"/>
      <c r="W333" s="1357"/>
      <c r="X333" s="1207"/>
      <c r="Y333" s="1207"/>
      <c r="Z333" s="1207"/>
      <c r="AA333" s="1207"/>
      <c r="AB333" s="1207"/>
      <c r="AC333" s="1207"/>
      <c r="AD333" s="1207"/>
      <c r="AE333" s="1207"/>
      <c r="AF333" s="1207"/>
      <c r="AG333" s="1207"/>
      <c r="AH333" s="1207"/>
      <c r="AI333" s="1207"/>
      <c r="AJ333" s="1207"/>
      <c r="AK333" s="1207"/>
      <c r="AL333" s="1207"/>
      <c r="AM333" s="1207"/>
      <c r="AN333" s="1207"/>
      <c r="AO333" s="1207"/>
      <c r="AP333" s="1207"/>
      <c r="AQ333" s="1207"/>
      <c r="AR333" s="1207"/>
      <c r="AS333" s="1207"/>
      <c r="AT333" s="1207"/>
      <c r="AU333" s="1207"/>
      <c r="AV333" s="1207"/>
      <c r="AW333" s="1207"/>
      <c r="AX333" s="1207"/>
      <c r="AY333" s="1207"/>
      <c r="AZ333" s="1207"/>
      <c r="BA333" s="1207"/>
      <c r="BB333" s="1207"/>
      <c r="BC333" s="1207"/>
      <c r="BD333" s="1207"/>
      <c r="BE333" s="1207"/>
      <c r="BF333" s="1207"/>
      <c r="BG333" s="1207"/>
      <c r="BH333" s="1207"/>
      <c r="BI333" s="1207"/>
      <c r="BJ333" s="1207"/>
      <c r="BK333" s="1207"/>
      <c r="BL333" s="1207"/>
      <c r="BM333" s="1207"/>
      <c r="BN333" s="1207"/>
      <c r="BO333" s="1207"/>
      <c r="BP333" s="1207"/>
      <c r="BQ333" s="1207"/>
      <c r="BR333" s="1207"/>
      <c r="BS333" s="1207"/>
      <c r="BT333" s="1207"/>
      <c r="BU333" s="1207"/>
      <c r="BV333" s="1207"/>
      <c r="BW333" s="1207"/>
      <c r="BX333" s="1207"/>
      <c r="BY333" s="1207"/>
      <c r="BZ333" s="1207"/>
      <c r="CA333" s="1207"/>
      <c r="CB333" s="1207"/>
      <c r="CC333" s="1207"/>
      <c r="CD333" s="1207"/>
      <c r="CE333" s="1207"/>
      <c r="CF333" s="1207"/>
    </row>
    <row r="334" spans="1:84" ht="60" x14ac:dyDescent="0.2">
      <c r="A334" s="1355">
        <v>2022301</v>
      </c>
      <c r="B334" s="1172">
        <v>7658</v>
      </c>
      <c r="C334" s="1356" t="s">
        <v>681</v>
      </c>
      <c r="D334" s="1190" t="s">
        <v>691</v>
      </c>
      <c r="E334" s="1174" t="s">
        <v>97</v>
      </c>
      <c r="F334" s="1389" t="s">
        <v>982</v>
      </c>
      <c r="G334" s="1390">
        <v>44621</v>
      </c>
      <c r="H334" s="1390">
        <v>44621</v>
      </c>
      <c r="I334" s="1176" t="s">
        <v>97</v>
      </c>
      <c r="J334" s="1176" t="s">
        <v>97</v>
      </c>
      <c r="K334" s="1177" t="s">
        <v>984</v>
      </c>
      <c r="L334" s="1178" t="s">
        <v>983</v>
      </c>
      <c r="M334" s="1179">
        <v>46155118</v>
      </c>
      <c r="N334" s="1386" t="s">
        <v>790</v>
      </c>
      <c r="O334" s="1174" t="s">
        <v>777</v>
      </c>
      <c r="P334" s="1163" t="s">
        <v>750</v>
      </c>
      <c r="Q334" s="1163"/>
      <c r="R334" s="1357">
        <v>46155118</v>
      </c>
      <c r="S334" s="1357">
        <v>46155118</v>
      </c>
      <c r="T334" s="1357">
        <f>+Tabla16[[#This Row],[CDPS A 31 JULIO 2022]]-Tabla16[[#This Row],[CDP]]</f>
        <v>0</v>
      </c>
      <c r="U334" s="1357">
        <v>46155118</v>
      </c>
      <c r="V334" s="1357">
        <v>46155118</v>
      </c>
      <c r="W334" s="1357"/>
      <c r="X334" s="1207"/>
      <c r="Y334" s="1207"/>
      <c r="Z334" s="1207"/>
      <c r="AA334" s="1207"/>
      <c r="AB334" s="1207"/>
      <c r="AC334" s="1207"/>
      <c r="AD334" s="1207"/>
      <c r="AE334" s="1207"/>
      <c r="AF334" s="1207"/>
      <c r="AG334" s="1207"/>
      <c r="AH334" s="1207"/>
      <c r="AI334" s="1207"/>
      <c r="AJ334" s="1207"/>
      <c r="AK334" s="1207"/>
      <c r="AL334" s="1207"/>
      <c r="AM334" s="1207"/>
      <c r="AN334" s="1207"/>
      <c r="AO334" s="1207"/>
      <c r="AP334" s="1207"/>
      <c r="AQ334" s="1207"/>
      <c r="AR334" s="1207"/>
      <c r="AS334" s="1207"/>
      <c r="AT334" s="1207"/>
      <c r="AU334" s="1207"/>
      <c r="AV334" s="1207"/>
      <c r="AW334" s="1207"/>
      <c r="AX334" s="1207"/>
      <c r="AY334" s="1207"/>
      <c r="AZ334" s="1207"/>
      <c r="BA334" s="1207"/>
      <c r="BB334" s="1207"/>
      <c r="BC334" s="1207"/>
      <c r="BD334" s="1207"/>
      <c r="BE334" s="1207"/>
      <c r="BF334" s="1207"/>
      <c r="BG334" s="1207"/>
      <c r="BH334" s="1207"/>
      <c r="BI334" s="1207"/>
      <c r="BJ334" s="1207"/>
      <c r="BK334" s="1207"/>
      <c r="BL334" s="1207"/>
      <c r="BM334" s="1207"/>
      <c r="BN334" s="1207"/>
      <c r="BO334" s="1207"/>
      <c r="BP334" s="1207"/>
      <c r="BQ334" s="1207"/>
      <c r="BR334" s="1207"/>
      <c r="BS334" s="1207"/>
      <c r="BT334" s="1207"/>
      <c r="BU334" s="1207"/>
      <c r="BV334" s="1207"/>
      <c r="BW334" s="1207"/>
      <c r="BX334" s="1207"/>
      <c r="BY334" s="1207"/>
      <c r="BZ334" s="1207"/>
      <c r="CA334" s="1207"/>
      <c r="CB334" s="1207"/>
      <c r="CC334" s="1207"/>
      <c r="CD334" s="1207"/>
      <c r="CE334" s="1207"/>
      <c r="CF334" s="1207"/>
    </row>
    <row r="335" spans="1:84" ht="135" x14ac:dyDescent="0.2">
      <c r="A335" s="1355">
        <v>2022302</v>
      </c>
      <c r="B335" s="1172">
        <v>7658</v>
      </c>
      <c r="C335" s="1356" t="s">
        <v>681</v>
      </c>
      <c r="D335" s="1190" t="s">
        <v>691</v>
      </c>
      <c r="E335" s="1174" t="s">
        <v>985</v>
      </c>
      <c r="F335" s="1389" t="s">
        <v>986</v>
      </c>
      <c r="G335" s="1390">
        <v>44652</v>
      </c>
      <c r="H335" s="1390">
        <v>44652</v>
      </c>
      <c r="I335" s="1176">
        <v>10</v>
      </c>
      <c r="J335" s="1176" t="s">
        <v>647</v>
      </c>
      <c r="K335" s="1177" t="s">
        <v>676</v>
      </c>
      <c r="L335" s="1178" t="s">
        <v>987</v>
      </c>
      <c r="M335" s="1179">
        <v>308129000</v>
      </c>
      <c r="N335" s="1386" t="s">
        <v>774</v>
      </c>
      <c r="O335" s="1174" t="s">
        <v>773</v>
      </c>
      <c r="P335" s="1163" t="s">
        <v>680</v>
      </c>
      <c r="Q335" s="1163"/>
      <c r="R335" s="1357">
        <v>308129000</v>
      </c>
      <c r="S335" s="1357">
        <v>308129000</v>
      </c>
      <c r="T335" s="1357">
        <f>+Tabla16[[#This Row],[CDPS A 31 JULIO 2022]]-Tabla16[[#This Row],[CDP]]</f>
        <v>0</v>
      </c>
      <c r="U335" s="1357">
        <v>308129000</v>
      </c>
      <c r="V335" s="1357"/>
      <c r="W335" s="1357"/>
      <c r="X335" s="1207"/>
      <c r="Y335" s="1207"/>
      <c r="Z335" s="1207"/>
      <c r="AA335" s="1207"/>
      <c r="AB335" s="1207"/>
      <c r="AC335" s="1207"/>
      <c r="AD335" s="1207"/>
      <c r="AE335" s="1207"/>
      <c r="AF335" s="1207"/>
      <c r="AG335" s="1207"/>
      <c r="AH335" s="1207"/>
      <c r="AI335" s="1207"/>
      <c r="AJ335" s="1207"/>
      <c r="AK335" s="1207"/>
      <c r="AL335" s="1207"/>
      <c r="AM335" s="1207"/>
      <c r="AN335" s="1207"/>
      <c r="AO335" s="1207"/>
      <c r="AP335" s="1207"/>
      <c r="AQ335" s="1207"/>
      <c r="AR335" s="1207"/>
      <c r="AS335" s="1207"/>
      <c r="AT335" s="1207"/>
      <c r="AU335" s="1207"/>
      <c r="AV335" s="1207"/>
      <c r="AW335" s="1207"/>
      <c r="AX335" s="1207"/>
      <c r="AY335" s="1207"/>
      <c r="AZ335" s="1207"/>
      <c r="BA335" s="1207"/>
      <c r="BB335" s="1207"/>
      <c r="BC335" s="1207"/>
      <c r="BD335" s="1207"/>
      <c r="BE335" s="1207"/>
      <c r="BF335" s="1207"/>
      <c r="BG335" s="1207"/>
      <c r="BH335" s="1207"/>
      <c r="BI335" s="1207"/>
      <c r="BJ335" s="1207"/>
      <c r="BK335" s="1207"/>
      <c r="BL335" s="1207"/>
      <c r="BM335" s="1207"/>
      <c r="BN335" s="1207"/>
      <c r="BO335" s="1207"/>
      <c r="BP335" s="1207"/>
      <c r="BQ335" s="1207"/>
      <c r="BR335" s="1207"/>
      <c r="BS335" s="1207"/>
      <c r="BT335" s="1207"/>
      <c r="BU335" s="1207"/>
      <c r="BV335" s="1207"/>
      <c r="BW335" s="1207"/>
      <c r="BX335" s="1207"/>
      <c r="BY335" s="1207"/>
      <c r="BZ335" s="1207"/>
      <c r="CA335" s="1207"/>
      <c r="CB335" s="1207"/>
      <c r="CC335" s="1207"/>
      <c r="CD335" s="1207"/>
      <c r="CE335" s="1207"/>
      <c r="CF335" s="1207"/>
    </row>
    <row r="336" spans="1:84" ht="135" x14ac:dyDescent="0.2">
      <c r="A336" s="1358">
        <v>2022306</v>
      </c>
      <c r="B336" s="1172">
        <v>7658</v>
      </c>
      <c r="C336" s="1356" t="s">
        <v>681</v>
      </c>
      <c r="D336" s="1190" t="s">
        <v>691</v>
      </c>
      <c r="E336" s="1174" t="s">
        <v>969</v>
      </c>
      <c r="F336" s="1389" t="s">
        <v>994</v>
      </c>
      <c r="G336" s="1390">
        <v>44682</v>
      </c>
      <c r="H336" s="1390">
        <v>44701</v>
      </c>
      <c r="I336" s="1176">
        <v>8</v>
      </c>
      <c r="J336" s="1176" t="s">
        <v>682</v>
      </c>
      <c r="K336" s="1177" t="s">
        <v>772</v>
      </c>
      <c r="L336" s="1178" t="s">
        <v>968</v>
      </c>
      <c r="M336" s="1179">
        <f>21000000-21000000</f>
        <v>0</v>
      </c>
      <c r="N336" s="1386" t="s">
        <v>774</v>
      </c>
      <c r="O336" s="1174" t="s">
        <v>773</v>
      </c>
      <c r="P336" s="1163" t="s">
        <v>680</v>
      </c>
      <c r="Q336" s="1163"/>
      <c r="R336" s="1269">
        <v>0</v>
      </c>
      <c r="S336" s="1357"/>
      <c r="T336" s="1357">
        <f>+Tabla16[[#This Row],[CDPS A 31 JULIO 2022]]-Tabla16[[#This Row],[CDP]]</f>
        <v>0</v>
      </c>
      <c r="U336" s="1357"/>
      <c r="V336" s="1357"/>
      <c r="W336" s="1357"/>
      <c r="X336" s="1207"/>
      <c r="Y336" s="1207"/>
      <c r="Z336" s="1207"/>
      <c r="AA336" s="1207"/>
      <c r="AB336" s="1207"/>
      <c r="AC336" s="1207"/>
      <c r="AD336" s="1207"/>
      <c r="AE336" s="1207"/>
      <c r="AF336" s="1207"/>
      <c r="AG336" s="1207"/>
      <c r="AH336" s="1207"/>
      <c r="AI336" s="1207"/>
      <c r="AJ336" s="1207"/>
      <c r="AK336" s="1207"/>
      <c r="AL336" s="1207"/>
      <c r="AM336" s="1207"/>
      <c r="AN336" s="1207"/>
      <c r="AO336" s="1207"/>
      <c r="AP336" s="1207"/>
      <c r="AQ336" s="1207"/>
      <c r="AR336" s="1207"/>
      <c r="AS336" s="1207"/>
      <c r="AT336" s="1207"/>
      <c r="AU336" s="1207"/>
      <c r="AV336" s="1207"/>
      <c r="AW336" s="1207"/>
      <c r="AX336" s="1207"/>
      <c r="AY336" s="1207"/>
      <c r="AZ336" s="1207"/>
      <c r="BA336" s="1207"/>
      <c r="BB336" s="1207"/>
      <c r="BC336" s="1207"/>
      <c r="BD336" s="1207"/>
      <c r="BE336" s="1207"/>
      <c r="BF336" s="1207"/>
      <c r="BG336" s="1207"/>
      <c r="BH336" s="1207"/>
      <c r="BI336" s="1207"/>
      <c r="BJ336" s="1207"/>
      <c r="BK336" s="1207"/>
      <c r="BL336" s="1207"/>
      <c r="BM336" s="1207"/>
      <c r="BN336" s="1207"/>
      <c r="BO336" s="1207"/>
      <c r="BP336" s="1207"/>
      <c r="BQ336" s="1207"/>
      <c r="BR336" s="1207"/>
      <c r="BS336" s="1207"/>
      <c r="BT336" s="1207"/>
      <c r="BU336" s="1207"/>
      <c r="BV336" s="1207"/>
      <c r="BW336" s="1207"/>
      <c r="BX336" s="1207"/>
      <c r="BY336" s="1207"/>
      <c r="BZ336" s="1207"/>
      <c r="CA336" s="1207"/>
      <c r="CB336" s="1207"/>
      <c r="CC336" s="1207"/>
      <c r="CD336" s="1207"/>
      <c r="CE336" s="1207"/>
      <c r="CF336" s="1207"/>
    </row>
    <row r="337" spans="1:84" ht="75" x14ac:dyDescent="0.2">
      <c r="A337" s="1358">
        <v>2022307</v>
      </c>
      <c r="B337" s="1172">
        <v>7658</v>
      </c>
      <c r="C337" s="1356" t="s">
        <v>681</v>
      </c>
      <c r="D337" s="1190" t="s">
        <v>691</v>
      </c>
      <c r="E337" s="1174" t="s">
        <v>973</v>
      </c>
      <c r="F337" s="1190" t="s">
        <v>995</v>
      </c>
      <c r="G337" s="1390">
        <v>44634</v>
      </c>
      <c r="H337" s="1390">
        <v>44634</v>
      </c>
      <c r="I337" s="1176">
        <v>6</v>
      </c>
      <c r="J337" s="1176" t="s">
        <v>647</v>
      </c>
      <c r="K337" s="1177" t="s">
        <v>772</v>
      </c>
      <c r="L337" s="1178" t="s">
        <v>968</v>
      </c>
      <c r="M337" s="1179">
        <f>1000000000-200000000+450000000+250000000</f>
        <v>1500000000</v>
      </c>
      <c r="N337" s="1386" t="s">
        <v>790</v>
      </c>
      <c r="O337" s="1174" t="s">
        <v>777</v>
      </c>
      <c r="P337" s="1163" t="s">
        <v>680</v>
      </c>
      <c r="Q337" s="1163"/>
      <c r="R337" s="1357">
        <v>1500000000</v>
      </c>
      <c r="S337" s="1357"/>
      <c r="T337" s="1357">
        <f>+Tabla16[[#This Row],[CDPS A 31 JULIO 2022]]-Tabla16[[#This Row],[CDP]]</f>
        <v>1500000000</v>
      </c>
      <c r="U337" s="1357"/>
      <c r="V337" s="1357"/>
      <c r="W337" s="1357"/>
      <c r="X337" s="1207"/>
      <c r="Y337" s="1207"/>
      <c r="Z337" s="1207"/>
      <c r="AA337" s="1207"/>
      <c r="AB337" s="1207"/>
      <c r="AC337" s="1207"/>
      <c r="AD337" s="1207"/>
      <c r="AE337" s="1207"/>
      <c r="AF337" s="1207"/>
      <c r="AG337" s="1207"/>
      <c r="AH337" s="1207"/>
      <c r="AI337" s="1207"/>
      <c r="AJ337" s="1207"/>
      <c r="AK337" s="1207"/>
      <c r="AL337" s="1207"/>
      <c r="AM337" s="1207"/>
      <c r="AN337" s="1207"/>
      <c r="AO337" s="1207"/>
      <c r="AP337" s="1207"/>
      <c r="AQ337" s="1207"/>
      <c r="AR337" s="1207"/>
      <c r="AS337" s="1207"/>
      <c r="AT337" s="1207"/>
      <c r="AU337" s="1207"/>
      <c r="AV337" s="1207"/>
      <c r="AW337" s="1207"/>
      <c r="AX337" s="1207"/>
      <c r="AY337" s="1207"/>
      <c r="AZ337" s="1207"/>
      <c r="BA337" s="1207"/>
      <c r="BB337" s="1207"/>
      <c r="BC337" s="1207"/>
      <c r="BD337" s="1207"/>
      <c r="BE337" s="1207"/>
      <c r="BF337" s="1207"/>
      <c r="BG337" s="1207"/>
      <c r="BH337" s="1207"/>
      <c r="BI337" s="1207"/>
      <c r="BJ337" s="1207"/>
      <c r="BK337" s="1207"/>
      <c r="BL337" s="1207"/>
      <c r="BM337" s="1207"/>
      <c r="BN337" s="1207"/>
      <c r="BO337" s="1207"/>
      <c r="BP337" s="1207"/>
      <c r="BQ337" s="1207"/>
      <c r="BR337" s="1207"/>
      <c r="BS337" s="1207"/>
      <c r="BT337" s="1207"/>
      <c r="BU337" s="1207"/>
      <c r="BV337" s="1207"/>
      <c r="BW337" s="1207"/>
      <c r="BX337" s="1207"/>
      <c r="BY337" s="1207"/>
      <c r="BZ337" s="1207"/>
      <c r="CA337" s="1207"/>
      <c r="CB337" s="1207"/>
      <c r="CC337" s="1207"/>
      <c r="CD337" s="1207"/>
      <c r="CE337" s="1207"/>
      <c r="CF337" s="1207"/>
    </row>
    <row r="338" spans="1:84" ht="90" x14ac:dyDescent="0.2">
      <c r="A338" s="1355">
        <v>2022310</v>
      </c>
      <c r="B338" s="1172">
        <v>7658</v>
      </c>
      <c r="C338" s="1356" t="s">
        <v>681</v>
      </c>
      <c r="D338" s="1190" t="s">
        <v>697</v>
      </c>
      <c r="E338" s="1174">
        <v>80111600</v>
      </c>
      <c r="F338" s="1389" t="s">
        <v>1000</v>
      </c>
      <c r="G338" s="1390">
        <v>44562</v>
      </c>
      <c r="H338" s="1390">
        <v>44592</v>
      </c>
      <c r="I338" s="1176">
        <v>7</v>
      </c>
      <c r="J338" s="1176" t="s">
        <v>675</v>
      </c>
      <c r="K338" s="1177" t="s">
        <v>676</v>
      </c>
      <c r="L338" s="1178" t="s">
        <v>677</v>
      </c>
      <c r="M338" s="1179">
        <f>30429000-10500000+1806000</f>
        <v>21735000</v>
      </c>
      <c r="N338" s="1386" t="s">
        <v>767</v>
      </c>
      <c r="O338" s="1174" t="s">
        <v>766</v>
      </c>
      <c r="P338" s="1207" t="s">
        <v>680</v>
      </c>
      <c r="Q338" s="1163"/>
      <c r="R338" s="1357">
        <v>21735000</v>
      </c>
      <c r="S338" s="1357"/>
      <c r="T338" s="1357">
        <f>+Tabla16[[#This Row],[CDPS A 31 JULIO 2022]]-Tabla16[[#This Row],[CDP]]</f>
        <v>21735000</v>
      </c>
      <c r="U338" s="1357"/>
      <c r="V338" s="1357"/>
      <c r="W338" s="1357"/>
      <c r="X338" s="1207"/>
      <c r="Y338" s="1207"/>
      <c r="Z338" s="1207"/>
      <c r="AA338" s="1207"/>
      <c r="AB338" s="1207"/>
      <c r="AC338" s="1207"/>
      <c r="AD338" s="1207"/>
      <c r="AE338" s="1207"/>
      <c r="AF338" s="1207"/>
      <c r="AG338" s="1207"/>
      <c r="AH338" s="1207"/>
      <c r="AI338" s="1207"/>
      <c r="AJ338" s="1207"/>
      <c r="AK338" s="1207"/>
      <c r="AL338" s="1207"/>
      <c r="AM338" s="1207"/>
      <c r="AN338" s="1207"/>
      <c r="AO338" s="1207"/>
      <c r="AP338" s="1207"/>
      <c r="AQ338" s="1207"/>
      <c r="AR338" s="1207"/>
      <c r="AS338" s="1207"/>
      <c r="AT338" s="1207"/>
      <c r="AU338" s="1207"/>
      <c r="AV338" s="1207"/>
      <c r="AW338" s="1207"/>
      <c r="AX338" s="1207"/>
      <c r="AY338" s="1207"/>
      <c r="AZ338" s="1207"/>
      <c r="BA338" s="1207"/>
      <c r="BB338" s="1207"/>
      <c r="BC338" s="1207"/>
      <c r="BD338" s="1207"/>
      <c r="BE338" s="1207"/>
      <c r="BF338" s="1207"/>
      <c r="BG338" s="1207"/>
      <c r="BH338" s="1207"/>
      <c r="BI338" s="1207"/>
      <c r="BJ338" s="1207"/>
      <c r="BK338" s="1207"/>
      <c r="BL338" s="1207"/>
      <c r="BM338" s="1207"/>
      <c r="BN338" s="1207"/>
      <c r="BO338" s="1207"/>
      <c r="BP338" s="1207"/>
      <c r="BQ338" s="1207"/>
      <c r="BR338" s="1207"/>
      <c r="BS338" s="1207"/>
      <c r="BT338" s="1207"/>
      <c r="BU338" s="1207"/>
      <c r="BV338" s="1207"/>
      <c r="BW338" s="1207"/>
      <c r="BX338" s="1207"/>
      <c r="BY338" s="1207"/>
      <c r="BZ338" s="1207"/>
      <c r="CA338" s="1207"/>
      <c r="CB338" s="1207"/>
      <c r="CC338" s="1207"/>
      <c r="CD338" s="1207"/>
      <c r="CE338" s="1207"/>
      <c r="CF338" s="1207"/>
    </row>
    <row r="339" spans="1:84" ht="90" x14ac:dyDescent="0.2">
      <c r="A339" s="1355">
        <v>2022311</v>
      </c>
      <c r="B339" s="1172">
        <v>7658</v>
      </c>
      <c r="C339" s="1356" t="s">
        <v>681</v>
      </c>
      <c r="D339" s="1190" t="s">
        <v>697</v>
      </c>
      <c r="E339" s="1174">
        <v>80111600</v>
      </c>
      <c r="F339" s="1389" t="s">
        <v>1001</v>
      </c>
      <c r="G339" s="1390">
        <v>44562</v>
      </c>
      <c r="H339" s="1390">
        <v>44592</v>
      </c>
      <c r="I339" s="1176">
        <v>11</v>
      </c>
      <c r="J339" s="1176" t="s">
        <v>675</v>
      </c>
      <c r="K339" s="1177" t="s">
        <v>676</v>
      </c>
      <c r="L339" s="1178" t="s">
        <v>677</v>
      </c>
      <c r="M339" s="1376">
        <f>26950000-9800000</f>
        <v>17150000</v>
      </c>
      <c r="N339" s="1386" t="s">
        <v>767</v>
      </c>
      <c r="O339" s="1174" t="s">
        <v>766</v>
      </c>
      <c r="P339" s="1207" t="s">
        <v>680</v>
      </c>
      <c r="Q339" s="1163"/>
      <c r="R339" s="1357">
        <v>17150000</v>
      </c>
      <c r="S339" s="1357">
        <v>17150000</v>
      </c>
      <c r="T339" s="1357">
        <f>+Tabla16[[#This Row],[CDPS A 31 JULIO 2022]]-Tabla16[[#This Row],[CDP]]</f>
        <v>0</v>
      </c>
      <c r="U339" s="1357">
        <v>17150000</v>
      </c>
      <c r="V339" s="1357">
        <v>10371667</v>
      </c>
      <c r="W339" s="1357"/>
      <c r="X339" s="1207"/>
      <c r="Y339" s="1207"/>
      <c r="Z339" s="1207"/>
      <c r="AA339" s="1207"/>
      <c r="AB339" s="1207"/>
      <c r="AC339" s="1207"/>
      <c r="AD339" s="1207"/>
      <c r="AE339" s="1207"/>
      <c r="AF339" s="1207"/>
      <c r="AG339" s="1207"/>
      <c r="AH339" s="1207"/>
      <c r="AI339" s="1207"/>
      <c r="AJ339" s="1207"/>
      <c r="AK339" s="1207"/>
      <c r="AL339" s="1207"/>
      <c r="AM339" s="1207"/>
      <c r="AN339" s="1207"/>
      <c r="AO339" s="1207"/>
      <c r="AP339" s="1207"/>
      <c r="AQ339" s="1207"/>
      <c r="AR339" s="1207"/>
      <c r="AS339" s="1207"/>
      <c r="AT339" s="1207"/>
      <c r="AU339" s="1207"/>
      <c r="AV339" s="1207"/>
      <c r="AW339" s="1207"/>
      <c r="AX339" s="1207"/>
      <c r="AY339" s="1207"/>
      <c r="AZ339" s="1207"/>
      <c r="BA339" s="1207"/>
      <c r="BB339" s="1207"/>
      <c r="BC339" s="1207"/>
      <c r="BD339" s="1207"/>
      <c r="BE339" s="1207"/>
      <c r="BF339" s="1207"/>
      <c r="BG339" s="1207"/>
      <c r="BH339" s="1207"/>
      <c r="BI339" s="1207"/>
      <c r="BJ339" s="1207"/>
      <c r="BK339" s="1207"/>
      <c r="BL339" s="1207"/>
      <c r="BM339" s="1207"/>
      <c r="BN339" s="1207"/>
      <c r="BO339" s="1207"/>
      <c r="BP339" s="1207"/>
      <c r="BQ339" s="1207"/>
      <c r="BR339" s="1207"/>
      <c r="BS339" s="1207"/>
      <c r="BT339" s="1207"/>
      <c r="BU339" s="1207"/>
      <c r="BV339" s="1207"/>
      <c r="BW339" s="1207"/>
      <c r="BX339" s="1207"/>
      <c r="BY339" s="1207"/>
      <c r="BZ339" s="1207"/>
      <c r="CA339" s="1207"/>
      <c r="CB339" s="1207"/>
      <c r="CC339" s="1207"/>
      <c r="CD339" s="1207"/>
      <c r="CE339" s="1207"/>
      <c r="CF339" s="1207"/>
    </row>
    <row r="340" spans="1:84" ht="90" x14ac:dyDescent="0.2">
      <c r="A340" s="1355">
        <v>2022312</v>
      </c>
      <c r="B340" s="1172">
        <v>7658</v>
      </c>
      <c r="C340" s="1356" t="s">
        <v>681</v>
      </c>
      <c r="D340" s="1190" t="s">
        <v>697</v>
      </c>
      <c r="E340" s="1174">
        <v>80111600</v>
      </c>
      <c r="F340" s="1389" t="s">
        <v>1001</v>
      </c>
      <c r="G340" s="1390">
        <v>44562</v>
      </c>
      <c r="H340" s="1390">
        <v>44592</v>
      </c>
      <c r="I340" s="1176">
        <v>11</v>
      </c>
      <c r="J340" s="1176" t="s">
        <v>675</v>
      </c>
      <c r="K340" s="1177" t="s">
        <v>676</v>
      </c>
      <c r="L340" s="1178" t="s">
        <v>677</v>
      </c>
      <c r="M340" s="1179">
        <f>26950000-2359000-7441000</f>
        <v>17150000</v>
      </c>
      <c r="N340" s="1386" t="s">
        <v>767</v>
      </c>
      <c r="O340" s="1174" t="s">
        <v>766</v>
      </c>
      <c r="P340" s="1207" t="s">
        <v>680</v>
      </c>
      <c r="Q340" s="1163"/>
      <c r="R340" s="1357">
        <v>17150000</v>
      </c>
      <c r="S340" s="1357">
        <v>17150000</v>
      </c>
      <c r="T340" s="1357">
        <f>+Tabla16[[#This Row],[CDPS A 31 JULIO 2022]]-Tabla16[[#This Row],[CDP]]</f>
        <v>0</v>
      </c>
      <c r="U340" s="1357">
        <v>17150000</v>
      </c>
      <c r="V340" s="1357">
        <v>8003333</v>
      </c>
      <c r="W340" s="1357"/>
      <c r="X340" s="1207"/>
      <c r="Y340" s="1207"/>
      <c r="Z340" s="1207"/>
      <c r="AA340" s="1207"/>
      <c r="AB340" s="1207"/>
      <c r="AC340" s="1207"/>
      <c r="AD340" s="1207"/>
      <c r="AE340" s="1207"/>
      <c r="AF340" s="1207"/>
      <c r="AG340" s="1207"/>
      <c r="AH340" s="1207"/>
      <c r="AI340" s="1207"/>
      <c r="AJ340" s="1207"/>
      <c r="AK340" s="1207"/>
      <c r="AL340" s="1207"/>
      <c r="AM340" s="1207"/>
      <c r="AN340" s="1207"/>
      <c r="AO340" s="1207"/>
      <c r="AP340" s="1207"/>
      <c r="AQ340" s="1207"/>
      <c r="AR340" s="1207"/>
      <c r="AS340" s="1207"/>
      <c r="AT340" s="1207"/>
      <c r="AU340" s="1207"/>
      <c r="AV340" s="1207"/>
      <c r="AW340" s="1207"/>
      <c r="AX340" s="1207"/>
      <c r="AY340" s="1207"/>
      <c r="AZ340" s="1207"/>
      <c r="BA340" s="1207"/>
      <c r="BB340" s="1207"/>
      <c r="BC340" s="1207"/>
      <c r="BD340" s="1207"/>
      <c r="BE340" s="1207"/>
      <c r="BF340" s="1207"/>
      <c r="BG340" s="1207"/>
      <c r="BH340" s="1207"/>
      <c r="BI340" s="1207"/>
      <c r="BJ340" s="1207"/>
      <c r="BK340" s="1207"/>
      <c r="BL340" s="1207"/>
      <c r="BM340" s="1207"/>
      <c r="BN340" s="1207"/>
      <c r="BO340" s="1207"/>
      <c r="BP340" s="1207"/>
      <c r="BQ340" s="1207"/>
      <c r="BR340" s="1207"/>
      <c r="BS340" s="1207"/>
      <c r="BT340" s="1207"/>
      <c r="BU340" s="1207"/>
      <c r="BV340" s="1207"/>
      <c r="BW340" s="1207"/>
      <c r="BX340" s="1207"/>
      <c r="BY340" s="1207"/>
      <c r="BZ340" s="1207"/>
      <c r="CA340" s="1207"/>
      <c r="CB340" s="1207"/>
      <c r="CC340" s="1207"/>
      <c r="CD340" s="1207"/>
      <c r="CE340" s="1207"/>
      <c r="CF340" s="1207"/>
    </row>
    <row r="341" spans="1:84" ht="90" x14ac:dyDescent="0.2">
      <c r="A341" s="1355">
        <v>2022313</v>
      </c>
      <c r="B341" s="1172">
        <v>7658</v>
      </c>
      <c r="C341" s="1356" t="s">
        <v>681</v>
      </c>
      <c r="D341" s="1190" t="s">
        <v>697</v>
      </c>
      <c r="E341" s="1174">
        <v>80111600</v>
      </c>
      <c r="F341" s="1389" t="s">
        <v>1002</v>
      </c>
      <c r="G341" s="1390">
        <v>44562</v>
      </c>
      <c r="H341" s="1390">
        <v>44592</v>
      </c>
      <c r="I341" s="1176">
        <v>11</v>
      </c>
      <c r="J341" s="1176" t="s">
        <v>675</v>
      </c>
      <c r="K341" s="1177" t="s">
        <v>676</v>
      </c>
      <c r="L341" s="1178" t="s">
        <v>677</v>
      </c>
      <c r="M341" s="1179">
        <f>59202000-9490000-15087800</f>
        <v>34624200</v>
      </c>
      <c r="N341" s="1386" t="s">
        <v>767</v>
      </c>
      <c r="O341" s="1174" t="s">
        <v>766</v>
      </c>
      <c r="P341" s="1207" t="s">
        <v>680</v>
      </c>
      <c r="Q341" s="1163"/>
      <c r="R341" s="1357">
        <v>48438000</v>
      </c>
      <c r="S341" s="1357">
        <v>48438000</v>
      </c>
      <c r="T341" s="1357">
        <f>+Tabla16[[#This Row],[CDPS A 31 JULIO 2022]]-Tabla16[[#This Row],[CDP]]</f>
        <v>0</v>
      </c>
      <c r="U341" s="1357">
        <v>48438000</v>
      </c>
      <c r="V341" s="1357">
        <v>23860200</v>
      </c>
      <c r="W341" s="1357"/>
      <c r="X341" s="1207"/>
      <c r="Y341" s="1207"/>
      <c r="Z341" s="1207"/>
      <c r="AA341" s="1207"/>
      <c r="AB341" s="1207"/>
      <c r="AC341" s="1207"/>
      <c r="AD341" s="1207"/>
      <c r="AE341" s="1207"/>
      <c r="AF341" s="1207"/>
      <c r="AG341" s="1207"/>
      <c r="AH341" s="1207"/>
      <c r="AI341" s="1207"/>
      <c r="AJ341" s="1207"/>
      <c r="AK341" s="1207"/>
      <c r="AL341" s="1207"/>
      <c r="AM341" s="1207"/>
      <c r="AN341" s="1207"/>
      <c r="AO341" s="1207"/>
      <c r="AP341" s="1207"/>
      <c r="AQ341" s="1207"/>
      <c r="AR341" s="1207"/>
      <c r="AS341" s="1207"/>
      <c r="AT341" s="1207"/>
      <c r="AU341" s="1207"/>
      <c r="AV341" s="1207"/>
      <c r="AW341" s="1207"/>
      <c r="AX341" s="1207"/>
      <c r="AY341" s="1207"/>
      <c r="AZ341" s="1207"/>
      <c r="BA341" s="1207"/>
      <c r="BB341" s="1207"/>
      <c r="BC341" s="1207"/>
      <c r="BD341" s="1207"/>
      <c r="BE341" s="1207"/>
      <c r="BF341" s="1207"/>
      <c r="BG341" s="1207"/>
      <c r="BH341" s="1207"/>
      <c r="BI341" s="1207"/>
      <c r="BJ341" s="1207"/>
      <c r="BK341" s="1207"/>
      <c r="BL341" s="1207"/>
      <c r="BM341" s="1207"/>
      <c r="BN341" s="1207"/>
      <c r="BO341" s="1207"/>
      <c r="BP341" s="1207"/>
      <c r="BQ341" s="1207"/>
      <c r="BR341" s="1207"/>
      <c r="BS341" s="1207"/>
      <c r="BT341" s="1207"/>
      <c r="BU341" s="1207"/>
      <c r="BV341" s="1207"/>
      <c r="BW341" s="1207"/>
      <c r="BX341" s="1207"/>
      <c r="BY341" s="1207"/>
      <c r="BZ341" s="1207"/>
      <c r="CA341" s="1207"/>
      <c r="CB341" s="1207"/>
      <c r="CC341" s="1207"/>
      <c r="CD341" s="1207"/>
      <c r="CE341" s="1207"/>
      <c r="CF341" s="1207"/>
    </row>
    <row r="342" spans="1:84" ht="90" x14ac:dyDescent="0.2">
      <c r="A342" s="1355">
        <v>2022314</v>
      </c>
      <c r="B342" s="1172">
        <v>7658</v>
      </c>
      <c r="C342" s="1356" t="s">
        <v>681</v>
      </c>
      <c r="D342" s="1190" t="s">
        <v>697</v>
      </c>
      <c r="E342" s="1174">
        <v>80111600</v>
      </c>
      <c r="F342" s="1389" t="s">
        <v>1003</v>
      </c>
      <c r="G342" s="1390">
        <v>44562</v>
      </c>
      <c r="H342" s="1390">
        <v>44592</v>
      </c>
      <c r="I342" s="1176">
        <v>11</v>
      </c>
      <c r="J342" s="1176" t="s">
        <v>675</v>
      </c>
      <c r="K342" s="1177" t="s">
        <v>676</v>
      </c>
      <c r="L342" s="1178" t="s">
        <v>677</v>
      </c>
      <c r="M342" s="1179">
        <v>36850000</v>
      </c>
      <c r="N342" s="1386" t="s">
        <v>767</v>
      </c>
      <c r="O342" s="1174" t="s">
        <v>766</v>
      </c>
      <c r="P342" s="1207" t="s">
        <v>680</v>
      </c>
      <c r="Q342" s="1163"/>
      <c r="R342" s="1357">
        <v>36850000</v>
      </c>
      <c r="S342" s="1357">
        <v>36850000</v>
      </c>
      <c r="T342" s="1357">
        <f>+Tabla16[[#This Row],[CDPS A 31 JULIO 2022]]-Tabla16[[#This Row],[CDP]]</f>
        <v>0</v>
      </c>
      <c r="U342" s="1357">
        <v>36850000</v>
      </c>
      <c r="V342" s="1357">
        <v>13846667</v>
      </c>
      <c r="W342" s="1357"/>
      <c r="X342" s="1207"/>
      <c r="Y342" s="1207"/>
      <c r="Z342" s="1207"/>
      <c r="AA342" s="1207"/>
      <c r="AB342" s="1207"/>
      <c r="AC342" s="1207"/>
      <c r="AD342" s="1207"/>
      <c r="AE342" s="1207"/>
      <c r="AF342" s="1207"/>
      <c r="AG342" s="1207"/>
      <c r="AH342" s="1207"/>
      <c r="AI342" s="1207"/>
      <c r="AJ342" s="1207"/>
      <c r="AK342" s="1207"/>
      <c r="AL342" s="1207"/>
      <c r="AM342" s="1207"/>
      <c r="AN342" s="1207"/>
      <c r="AO342" s="1207"/>
      <c r="AP342" s="1207"/>
      <c r="AQ342" s="1207"/>
      <c r="AR342" s="1207"/>
      <c r="AS342" s="1207"/>
      <c r="AT342" s="1207"/>
      <c r="AU342" s="1207"/>
      <c r="AV342" s="1207"/>
      <c r="AW342" s="1207"/>
      <c r="AX342" s="1207"/>
      <c r="AY342" s="1207"/>
      <c r="AZ342" s="1207"/>
      <c r="BA342" s="1207"/>
      <c r="BB342" s="1207"/>
      <c r="BC342" s="1207"/>
      <c r="BD342" s="1207"/>
      <c r="BE342" s="1207"/>
      <c r="BF342" s="1207"/>
      <c r="BG342" s="1207"/>
      <c r="BH342" s="1207"/>
      <c r="BI342" s="1207"/>
      <c r="BJ342" s="1207"/>
      <c r="BK342" s="1207"/>
      <c r="BL342" s="1207"/>
      <c r="BM342" s="1207"/>
      <c r="BN342" s="1207"/>
      <c r="BO342" s="1207"/>
      <c r="BP342" s="1207"/>
      <c r="BQ342" s="1207"/>
      <c r="BR342" s="1207"/>
      <c r="BS342" s="1207"/>
      <c r="BT342" s="1207"/>
      <c r="BU342" s="1207"/>
      <c r="BV342" s="1207"/>
      <c r="BW342" s="1207"/>
      <c r="BX342" s="1207"/>
      <c r="BY342" s="1207"/>
      <c r="BZ342" s="1207"/>
      <c r="CA342" s="1207"/>
      <c r="CB342" s="1207"/>
      <c r="CC342" s="1207"/>
      <c r="CD342" s="1207"/>
      <c r="CE342" s="1207"/>
      <c r="CF342" s="1207"/>
    </row>
    <row r="343" spans="1:84" ht="90" x14ac:dyDescent="0.2">
      <c r="A343" s="1355">
        <v>2022315</v>
      </c>
      <c r="B343" s="1172">
        <v>7658</v>
      </c>
      <c r="C343" s="1356" t="s">
        <v>681</v>
      </c>
      <c r="D343" s="1190" t="s">
        <v>697</v>
      </c>
      <c r="E343" s="1174">
        <v>80111600</v>
      </c>
      <c r="F343" s="1389" t="s">
        <v>1004</v>
      </c>
      <c r="G343" s="1390">
        <v>44562</v>
      </c>
      <c r="H343" s="1390">
        <v>44592</v>
      </c>
      <c r="I343" s="1176">
        <v>11</v>
      </c>
      <c r="J343" s="1176" t="s">
        <v>675</v>
      </c>
      <c r="K343" s="1177" t="s">
        <v>676</v>
      </c>
      <c r="L343" s="1178" t="s">
        <v>677</v>
      </c>
      <c r="M343" s="1179">
        <f>47817000-16953300-434700</f>
        <v>30429000</v>
      </c>
      <c r="N343" s="1386" t="s">
        <v>767</v>
      </c>
      <c r="O343" s="1174" t="s">
        <v>766</v>
      </c>
      <c r="P343" s="1207" t="s">
        <v>680</v>
      </c>
      <c r="Q343" s="1163"/>
      <c r="R343" s="1357">
        <v>30429000</v>
      </c>
      <c r="S343" s="1357">
        <v>30429000</v>
      </c>
      <c r="T343" s="1357">
        <f>+Tabla16[[#This Row],[CDPS A 31 JULIO 2022]]-Tabla16[[#This Row],[CDP]]</f>
        <v>0</v>
      </c>
      <c r="U343" s="1357">
        <v>30429000</v>
      </c>
      <c r="V343" s="1357">
        <v>18981900</v>
      </c>
      <c r="W343" s="1357"/>
      <c r="X343" s="1207"/>
      <c r="Y343" s="1207"/>
      <c r="Z343" s="1207"/>
      <c r="AA343" s="1207"/>
      <c r="AB343" s="1207"/>
      <c r="AC343" s="1207"/>
      <c r="AD343" s="1207"/>
      <c r="AE343" s="1207"/>
      <c r="AF343" s="1207"/>
      <c r="AG343" s="1207"/>
      <c r="AH343" s="1207"/>
      <c r="AI343" s="1207"/>
      <c r="AJ343" s="1207"/>
      <c r="AK343" s="1207"/>
      <c r="AL343" s="1207"/>
      <c r="AM343" s="1207"/>
      <c r="AN343" s="1207"/>
      <c r="AO343" s="1207"/>
      <c r="AP343" s="1207"/>
      <c r="AQ343" s="1207"/>
      <c r="AR343" s="1207"/>
      <c r="AS343" s="1207"/>
      <c r="AT343" s="1207"/>
      <c r="AU343" s="1207"/>
      <c r="AV343" s="1207"/>
      <c r="AW343" s="1207"/>
      <c r="AX343" s="1207"/>
      <c r="AY343" s="1207"/>
      <c r="AZ343" s="1207"/>
      <c r="BA343" s="1207"/>
      <c r="BB343" s="1207"/>
      <c r="BC343" s="1207"/>
      <c r="BD343" s="1207"/>
      <c r="BE343" s="1207"/>
      <c r="BF343" s="1207"/>
      <c r="BG343" s="1207"/>
      <c r="BH343" s="1207"/>
      <c r="BI343" s="1207"/>
      <c r="BJ343" s="1207"/>
      <c r="BK343" s="1207"/>
      <c r="BL343" s="1207"/>
      <c r="BM343" s="1207"/>
      <c r="BN343" s="1207"/>
      <c r="BO343" s="1207"/>
      <c r="BP343" s="1207"/>
      <c r="BQ343" s="1207"/>
      <c r="BR343" s="1207"/>
      <c r="BS343" s="1207"/>
      <c r="BT343" s="1207"/>
      <c r="BU343" s="1207"/>
      <c r="BV343" s="1207"/>
      <c r="BW343" s="1207"/>
      <c r="BX343" s="1207"/>
      <c r="BY343" s="1207"/>
      <c r="BZ343" s="1207"/>
      <c r="CA343" s="1207"/>
      <c r="CB343" s="1207"/>
      <c r="CC343" s="1207"/>
      <c r="CD343" s="1207"/>
      <c r="CE343" s="1207"/>
      <c r="CF343" s="1207"/>
    </row>
    <row r="344" spans="1:84" ht="90" x14ac:dyDescent="0.2">
      <c r="A344" s="1355">
        <v>2022316</v>
      </c>
      <c r="B344" s="1172">
        <v>7658</v>
      </c>
      <c r="C344" s="1356" t="s">
        <v>681</v>
      </c>
      <c r="D344" s="1190" t="s">
        <v>697</v>
      </c>
      <c r="E344" s="1174">
        <v>80111600</v>
      </c>
      <c r="F344" s="1389" t="s">
        <v>1005</v>
      </c>
      <c r="G344" s="1390">
        <v>44562</v>
      </c>
      <c r="H344" s="1390">
        <v>44592</v>
      </c>
      <c r="I344" s="1176">
        <v>11</v>
      </c>
      <c r="J344" s="1176" t="s">
        <v>675</v>
      </c>
      <c r="K344" s="1177" t="s">
        <v>676</v>
      </c>
      <c r="L344" s="1178" t="s">
        <v>677</v>
      </c>
      <c r="M344" s="1179">
        <v>59202000</v>
      </c>
      <c r="N344" s="1386" t="s">
        <v>767</v>
      </c>
      <c r="O344" s="1174" t="s">
        <v>766</v>
      </c>
      <c r="P344" s="1207" t="s">
        <v>680</v>
      </c>
      <c r="Q344" s="1163"/>
      <c r="R344" s="1357">
        <v>59202000</v>
      </c>
      <c r="S344" s="1357">
        <v>59202000</v>
      </c>
      <c r="T344" s="1357">
        <f>+Tabla16[[#This Row],[CDPS A 31 JULIO 2022]]-Tabla16[[#This Row],[CDP]]</f>
        <v>0</v>
      </c>
      <c r="U344" s="1357">
        <v>59202000</v>
      </c>
      <c r="V344" s="1357">
        <v>21528000</v>
      </c>
      <c r="W344" s="1357"/>
      <c r="X344" s="1207"/>
      <c r="Y344" s="1207"/>
      <c r="Z344" s="1207"/>
      <c r="AA344" s="1207"/>
      <c r="AB344" s="1207"/>
      <c r="AC344" s="1207"/>
      <c r="AD344" s="1207"/>
      <c r="AE344" s="1207"/>
      <c r="AF344" s="1207"/>
      <c r="AG344" s="1207"/>
      <c r="AH344" s="1207"/>
      <c r="AI344" s="1207"/>
      <c r="AJ344" s="1207"/>
      <c r="AK344" s="1207"/>
      <c r="AL344" s="1207"/>
      <c r="AM344" s="1207"/>
      <c r="AN344" s="1207"/>
      <c r="AO344" s="1207"/>
      <c r="AP344" s="1207"/>
      <c r="AQ344" s="1207"/>
      <c r="AR344" s="1207"/>
      <c r="AS344" s="1207"/>
      <c r="AT344" s="1207"/>
      <c r="AU344" s="1207"/>
      <c r="AV344" s="1207"/>
      <c r="AW344" s="1207"/>
      <c r="AX344" s="1207"/>
      <c r="AY344" s="1207"/>
      <c r="AZ344" s="1207"/>
      <c r="BA344" s="1207"/>
      <c r="BB344" s="1207"/>
      <c r="BC344" s="1207"/>
      <c r="BD344" s="1207"/>
      <c r="BE344" s="1207"/>
      <c r="BF344" s="1207"/>
      <c r="BG344" s="1207"/>
      <c r="BH344" s="1207"/>
      <c r="BI344" s="1207"/>
      <c r="BJ344" s="1207"/>
      <c r="BK344" s="1207"/>
      <c r="BL344" s="1207"/>
      <c r="BM344" s="1207"/>
      <c r="BN344" s="1207"/>
      <c r="BO344" s="1207"/>
      <c r="BP344" s="1207"/>
      <c r="BQ344" s="1207"/>
      <c r="BR344" s="1207"/>
      <c r="BS344" s="1207"/>
      <c r="BT344" s="1207"/>
      <c r="BU344" s="1207"/>
      <c r="BV344" s="1207"/>
      <c r="BW344" s="1207"/>
      <c r="BX344" s="1207"/>
      <c r="BY344" s="1207"/>
      <c r="BZ344" s="1207"/>
      <c r="CA344" s="1207"/>
      <c r="CB344" s="1207"/>
      <c r="CC344" s="1207"/>
      <c r="CD344" s="1207"/>
      <c r="CE344" s="1207"/>
      <c r="CF344" s="1207"/>
    </row>
    <row r="345" spans="1:84" ht="90" x14ac:dyDescent="0.2">
      <c r="A345" s="1355">
        <v>2022317</v>
      </c>
      <c r="B345" s="1172">
        <v>7658</v>
      </c>
      <c r="C345" s="1356" t="s">
        <v>681</v>
      </c>
      <c r="D345" s="1190" t="s">
        <v>697</v>
      </c>
      <c r="E345" s="1174">
        <v>80111600</v>
      </c>
      <c r="F345" s="1389" t="s">
        <v>1006</v>
      </c>
      <c r="G345" s="1390">
        <v>44562</v>
      </c>
      <c r="H345" s="1390">
        <v>44592</v>
      </c>
      <c r="I345" s="1176">
        <v>11</v>
      </c>
      <c r="J345" s="1176" t="s">
        <v>675</v>
      </c>
      <c r="K345" s="1177" t="s">
        <v>676</v>
      </c>
      <c r="L345" s="1178" t="s">
        <v>677</v>
      </c>
      <c r="M345" s="1179">
        <f>31880000-3985000</f>
        <v>27895000</v>
      </c>
      <c r="N345" s="1386" t="s">
        <v>767</v>
      </c>
      <c r="O345" s="1174" t="s">
        <v>766</v>
      </c>
      <c r="P345" s="1207" t="s">
        <v>680</v>
      </c>
      <c r="Q345" s="1163"/>
      <c r="R345" s="1357">
        <v>27895000</v>
      </c>
      <c r="S345" s="1357">
        <v>27895000</v>
      </c>
      <c r="T345" s="1357">
        <f>+Tabla16[[#This Row],[CDPS A 31 JULIO 2022]]-Tabla16[[#This Row],[CDP]]</f>
        <v>0</v>
      </c>
      <c r="U345" s="1357">
        <v>27895000</v>
      </c>
      <c r="V345" s="1357"/>
      <c r="W345" s="1357"/>
      <c r="X345" s="1207"/>
      <c r="Y345" s="1207"/>
      <c r="Z345" s="1207"/>
      <c r="AA345" s="1207"/>
      <c r="AB345" s="1207"/>
      <c r="AC345" s="1207"/>
      <c r="AD345" s="1207"/>
      <c r="AE345" s="1207"/>
      <c r="AF345" s="1207"/>
      <c r="AG345" s="1207"/>
      <c r="AH345" s="1207"/>
      <c r="AI345" s="1207"/>
      <c r="AJ345" s="1207"/>
      <c r="AK345" s="1207"/>
      <c r="AL345" s="1207"/>
      <c r="AM345" s="1207"/>
      <c r="AN345" s="1207"/>
      <c r="AO345" s="1207"/>
      <c r="AP345" s="1207"/>
      <c r="AQ345" s="1207"/>
      <c r="AR345" s="1207"/>
      <c r="AS345" s="1207"/>
      <c r="AT345" s="1207"/>
      <c r="AU345" s="1207"/>
      <c r="AV345" s="1207"/>
      <c r="AW345" s="1207"/>
      <c r="AX345" s="1207"/>
      <c r="AY345" s="1207"/>
      <c r="AZ345" s="1207"/>
      <c r="BA345" s="1207"/>
      <c r="BB345" s="1207"/>
      <c r="BC345" s="1207"/>
      <c r="BD345" s="1207"/>
      <c r="BE345" s="1207"/>
      <c r="BF345" s="1207"/>
      <c r="BG345" s="1207"/>
      <c r="BH345" s="1207"/>
      <c r="BI345" s="1207"/>
      <c r="BJ345" s="1207"/>
      <c r="BK345" s="1207"/>
      <c r="BL345" s="1207"/>
      <c r="BM345" s="1207"/>
      <c r="BN345" s="1207"/>
      <c r="BO345" s="1207"/>
      <c r="BP345" s="1207"/>
      <c r="BQ345" s="1207"/>
      <c r="BR345" s="1207"/>
      <c r="BS345" s="1207"/>
      <c r="BT345" s="1207"/>
      <c r="BU345" s="1207"/>
      <c r="BV345" s="1207"/>
      <c r="BW345" s="1207"/>
      <c r="BX345" s="1207"/>
      <c r="BY345" s="1207"/>
      <c r="BZ345" s="1207"/>
      <c r="CA345" s="1207"/>
      <c r="CB345" s="1207"/>
      <c r="CC345" s="1207"/>
      <c r="CD345" s="1207"/>
      <c r="CE345" s="1207"/>
      <c r="CF345" s="1207"/>
    </row>
    <row r="346" spans="1:84" ht="90" x14ac:dyDescent="0.2">
      <c r="A346" s="1355">
        <v>2022318</v>
      </c>
      <c r="B346" s="1172">
        <v>7658</v>
      </c>
      <c r="C346" s="1356" t="s">
        <v>681</v>
      </c>
      <c r="D346" s="1190" t="s">
        <v>697</v>
      </c>
      <c r="E346" s="1174">
        <v>80111600</v>
      </c>
      <c r="F346" s="1389" t="s">
        <v>1007</v>
      </c>
      <c r="G346" s="1390">
        <v>44562</v>
      </c>
      <c r="H346" s="1390">
        <v>44592</v>
      </c>
      <c r="I346" s="1176">
        <v>11</v>
      </c>
      <c r="J346" s="1176" t="s">
        <v>675</v>
      </c>
      <c r="K346" s="1177" t="s">
        <v>676</v>
      </c>
      <c r="L346" s="1178" t="s">
        <v>677</v>
      </c>
      <c r="M346" s="1179">
        <v>16146000</v>
      </c>
      <c r="N346" s="1386" t="s">
        <v>767</v>
      </c>
      <c r="O346" s="1174" t="s">
        <v>766</v>
      </c>
      <c r="P346" s="1207" t="s">
        <v>680</v>
      </c>
      <c r="Q346" s="1163"/>
      <c r="R346" s="1357">
        <v>16146000</v>
      </c>
      <c r="S346" s="1357">
        <v>16146000</v>
      </c>
      <c r="T346" s="1357">
        <f>+Tabla16[[#This Row],[CDPS A 31 JULIO 2022]]-Tabla16[[#This Row],[CDP]]</f>
        <v>0</v>
      </c>
      <c r="U346" s="1357">
        <v>16146000</v>
      </c>
      <c r="V346" s="1357">
        <v>11391900</v>
      </c>
      <c r="W346" s="1357"/>
      <c r="X346" s="1207"/>
      <c r="Y346" s="1207"/>
      <c r="Z346" s="1207"/>
      <c r="AA346" s="1207"/>
      <c r="AB346" s="1207"/>
      <c r="AC346" s="1207"/>
      <c r="AD346" s="1207"/>
      <c r="AE346" s="1207"/>
      <c r="AF346" s="1207"/>
      <c r="AG346" s="1207"/>
      <c r="AH346" s="1207"/>
      <c r="AI346" s="1207"/>
      <c r="AJ346" s="1207"/>
      <c r="AK346" s="1207"/>
      <c r="AL346" s="1207"/>
      <c r="AM346" s="1207"/>
      <c r="AN346" s="1207"/>
      <c r="AO346" s="1207"/>
      <c r="AP346" s="1207"/>
      <c r="AQ346" s="1207"/>
      <c r="AR346" s="1207"/>
      <c r="AS346" s="1207"/>
      <c r="AT346" s="1207"/>
      <c r="AU346" s="1207"/>
      <c r="AV346" s="1207"/>
      <c r="AW346" s="1207"/>
      <c r="AX346" s="1207"/>
      <c r="AY346" s="1207"/>
      <c r="AZ346" s="1207"/>
      <c r="BA346" s="1207"/>
      <c r="BB346" s="1207"/>
      <c r="BC346" s="1207"/>
      <c r="BD346" s="1207"/>
      <c r="BE346" s="1207"/>
      <c r="BF346" s="1207"/>
      <c r="BG346" s="1207"/>
      <c r="BH346" s="1207"/>
      <c r="BI346" s="1207"/>
      <c r="BJ346" s="1207"/>
      <c r="BK346" s="1207"/>
      <c r="BL346" s="1207"/>
      <c r="BM346" s="1207"/>
      <c r="BN346" s="1207"/>
      <c r="BO346" s="1207"/>
      <c r="BP346" s="1207"/>
      <c r="BQ346" s="1207"/>
      <c r="BR346" s="1207"/>
      <c r="BS346" s="1207"/>
      <c r="BT346" s="1207"/>
      <c r="BU346" s="1207"/>
      <c r="BV346" s="1207"/>
      <c r="BW346" s="1207"/>
      <c r="BX346" s="1207"/>
      <c r="BY346" s="1207"/>
      <c r="BZ346" s="1207"/>
      <c r="CA346" s="1207"/>
      <c r="CB346" s="1207"/>
      <c r="CC346" s="1207"/>
      <c r="CD346" s="1207"/>
      <c r="CE346" s="1207"/>
      <c r="CF346" s="1207"/>
    </row>
    <row r="347" spans="1:84" ht="90" x14ac:dyDescent="0.2">
      <c r="A347" s="1355">
        <v>2022319</v>
      </c>
      <c r="B347" s="1172">
        <v>7658</v>
      </c>
      <c r="C347" s="1356" t="s">
        <v>681</v>
      </c>
      <c r="D347" s="1190" t="s">
        <v>697</v>
      </c>
      <c r="E347" s="1174">
        <v>80111600</v>
      </c>
      <c r="F347" s="1389" t="s">
        <v>1008</v>
      </c>
      <c r="G347" s="1390">
        <v>44562</v>
      </c>
      <c r="H347" s="1390">
        <v>44592</v>
      </c>
      <c r="I347" s="1176">
        <v>11</v>
      </c>
      <c r="J347" s="1176" t="s">
        <v>675</v>
      </c>
      <c r="K347" s="1177" t="s">
        <v>676</v>
      </c>
      <c r="L347" s="1178" t="s">
        <v>677</v>
      </c>
      <c r="M347" s="1179">
        <f>80300000-16146000-21528000-4422667</f>
        <v>38203333</v>
      </c>
      <c r="N347" s="1386" t="s">
        <v>767</v>
      </c>
      <c r="O347" s="1174" t="s">
        <v>766</v>
      </c>
      <c r="P347" s="1207" t="s">
        <v>680</v>
      </c>
      <c r="Q347" s="1163"/>
      <c r="R347" s="1357">
        <v>80300000</v>
      </c>
      <c r="S347" s="1357">
        <v>80300000</v>
      </c>
      <c r="T347" s="1357">
        <f>+Tabla16[[#This Row],[CDPS A 31 JULIO 2022]]-Tabla16[[#This Row],[CDP]]</f>
        <v>0</v>
      </c>
      <c r="U347" s="1357">
        <v>80300000</v>
      </c>
      <c r="V347" s="1357">
        <v>30903333</v>
      </c>
      <c r="W347" s="1357"/>
      <c r="X347" s="1207"/>
      <c r="Y347" s="1207"/>
      <c r="Z347" s="1207"/>
      <c r="AA347" s="1207"/>
      <c r="AB347" s="1207"/>
      <c r="AC347" s="1207"/>
      <c r="AD347" s="1207"/>
      <c r="AE347" s="1207"/>
      <c r="AF347" s="1207"/>
      <c r="AG347" s="1207"/>
      <c r="AH347" s="1207"/>
      <c r="AI347" s="1207"/>
      <c r="AJ347" s="1207"/>
      <c r="AK347" s="1207"/>
      <c r="AL347" s="1207"/>
      <c r="AM347" s="1207"/>
      <c r="AN347" s="1207"/>
      <c r="AO347" s="1207"/>
      <c r="AP347" s="1207"/>
      <c r="AQ347" s="1207"/>
      <c r="AR347" s="1207"/>
      <c r="AS347" s="1207"/>
      <c r="AT347" s="1207"/>
      <c r="AU347" s="1207"/>
      <c r="AV347" s="1207"/>
      <c r="AW347" s="1207"/>
      <c r="AX347" s="1207"/>
      <c r="AY347" s="1207"/>
      <c r="AZ347" s="1207"/>
      <c r="BA347" s="1207"/>
      <c r="BB347" s="1207"/>
      <c r="BC347" s="1207"/>
      <c r="BD347" s="1207"/>
      <c r="BE347" s="1207"/>
      <c r="BF347" s="1207"/>
      <c r="BG347" s="1207"/>
      <c r="BH347" s="1207"/>
      <c r="BI347" s="1207"/>
      <c r="BJ347" s="1207"/>
      <c r="BK347" s="1207"/>
      <c r="BL347" s="1207"/>
      <c r="BM347" s="1207"/>
      <c r="BN347" s="1207"/>
      <c r="BO347" s="1207"/>
      <c r="BP347" s="1207"/>
      <c r="BQ347" s="1207"/>
      <c r="BR347" s="1207"/>
      <c r="BS347" s="1207"/>
      <c r="BT347" s="1207"/>
      <c r="BU347" s="1207"/>
      <c r="BV347" s="1207"/>
      <c r="BW347" s="1207"/>
      <c r="BX347" s="1207"/>
      <c r="BY347" s="1207"/>
      <c r="BZ347" s="1207"/>
      <c r="CA347" s="1207"/>
      <c r="CB347" s="1207"/>
      <c r="CC347" s="1207"/>
      <c r="CD347" s="1207"/>
      <c r="CE347" s="1207"/>
      <c r="CF347" s="1207"/>
    </row>
    <row r="348" spans="1:84" ht="90" x14ac:dyDescent="0.2">
      <c r="A348" s="1355">
        <v>2022320</v>
      </c>
      <c r="B348" s="1172">
        <v>7658</v>
      </c>
      <c r="C348" s="1356" t="s">
        <v>681</v>
      </c>
      <c r="D348" s="1190" t="s">
        <v>697</v>
      </c>
      <c r="E348" s="1174">
        <v>80111600</v>
      </c>
      <c r="F348" s="1389" t="s">
        <v>1009</v>
      </c>
      <c r="G348" s="1390">
        <v>44562</v>
      </c>
      <c r="H348" s="1390">
        <v>44592</v>
      </c>
      <c r="I348" s="1176">
        <v>11</v>
      </c>
      <c r="J348" s="1176" t="s">
        <v>675</v>
      </c>
      <c r="K348" s="1177" t="s">
        <v>676</v>
      </c>
      <c r="L348" s="1178" t="s">
        <v>677</v>
      </c>
      <c r="M348" s="1179">
        <f>56925000-20700000</f>
        <v>36225000</v>
      </c>
      <c r="N348" s="1386" t="s">
        <v>767</v>
      </c>
      <c r="O348" s="1174" t="s">
        <v>766</v>
      </c>
      <c r="P348" s="1207" t="s">
        <v>680</v>
      </c>
      <c r="Q348" s="1163"/>
      <c r="R348" s="1357">
        <v>36225000</v>
      </c>
      <c r="S348" s="1357">
        <v>36225000</v>
      </c>
      <c r="T348" s="1357">
        <f>+Tabla16[[#This Row],[CDPS A 31 JULIO 2022]]-Tabla16[[#This Row],[CDP]]</f>
        <v>0</v>
      </c>
      <c r="U348" s="1357">
        <v>36225000</v>
      </c>
      <c r="V348" s="1357">
        <v>22942500</v>
      </c>
      <c r="W348" s="1357"/>
      <c r="X348" s="1207"/>
      <c r="Y348" s="1207"/>
      <c r="Z348" s="1207"/>
      <c r="AA348" s="1207"/>
      <c r="AB348" s="1207"/>
      <c r="AC348" s="1207"/>
      <c r="AD348" s="1207"/>
      <c r="AE348" s="1207"/>
      <c r="AF348" s="1207"/>
      <c r="AG348" s="1207"/>
      <c r="AH348" s="1207"/>
      <c r="AI348" s="1207"/>
      <c r="AJ348" s="1207"/>
      <c r="AK348" s="1207"/>
      <c r="AL348" s="1207"/>
      <c r="AM348" s="1207"/>
      <c r="AN348" s="1207"/>
      <c r="AO348" s="1207"/>
      <c r="AP348" s="1207"/>
      <c r="AQ348" s="1207"/>
      <c r="AR348" s="1207"/>
      <c r="AS348" s="1207"/>
      <c r="AT348" s="1207"/>
      <c r="AU348" s="1207"/>
      <c r="AV348" s="1207"/>
      <c r="AW348" s="1207"/>
      <c r="AX348" s="1207"/>
      <c r="AY348" s="1207"/>
      <c r="AZ348" s="1207"/>
      <c r="BA348" s="1207"/>
      <c r="BB348" s="1207"/>
      <c r="BC348" s="1207"/>
      <c r="BD348" s="1207"/>
      <c r="BE348" s="1207"/>
      <c r="BF348" s="1207"/>
      <c r="BG348" s="1207"/>
      <c r="BH348" s="1207"/>
      <c r="BI348" s="1207"/>
      <c r="BJ348" s="1207"/>
      <c r="BK348" s="1207"/>
      <c r="BL348" s="1207"/>
      <c r="BM348" s="1207"/>
      <c r="BN348" s="1207"/>
      <c r="BO348" s="1207"/>
      <c r="BP348" s="1207"/>
      <c r="BQ348" s="1207"/>
      <c r="BR348" s="1207"/>
      <c r="BS348" s="1207"/>
      <c r="BT348" s="1207"/>
      <c r="BU348" s="1207"/>
      <c r="BV348" s="1207"/>
      <c r="BW348" s="1207"/>
      <c r="BX348" s="1207"/>
      <c r="BY348" s="1207"/>
      <c r="BZ348" s="1207"/>
      <c r="CA348" s="1207"/>
      <c r="CB348" s="1207"/>
      <c r="CC348" s="1207"/>
      <c r="CD348" s="1207"/>
      <c r="CE348" s="1207"/>
      <c r="CF348" s="1207"/>
    </row>
    <row r="349" spans="1:84" ht="90" x14ac:dyDescent="0.2">
      <c r="A349" s="1355">
        <v>2022321</v>
      </c>
      <c r="B349" s="1172">
        <v>7658</v>
      </c>
      <c r="C349" s="1356" t="s">
        <v>681</v>
      </c>
      <c r="D349" s="1190" t="s">
        <v>697</v>
      </c>
      <c r="E349" s="1174">
        <v>80111600</v>
      </c>
      <c r="F349" s="1389" t="s">
        <v>1010</v>
      </c>
      <c r="G349" s="1390">
        <v>44562</v>
      </c>
      <c r="H349" s="1390">
        <v>44592</v>
      </c>
      <c r="I349" s="1176">
        <v>10</v>
      </c>
      <c r="J349" s="1176" t="s">
        <v>675</v>
      </c>
      <c r="K349" s="1177" t="s">
        <v>676</v>
      </c>
      <c r="L349" s="1178" t="s">
        <v>677</v>
      </c>
      <c r="M349" s="1179">
        <f>23100000-11550000</f>
        <v>11550000</v>
      </c>
      <c r="N349" s="1386" t="s">
        <v>767</v>
      </c>
      <c r="O349" s="1174" t="s">
        <v>766</v>
      </c>
      <c r="P349" s="1207" t="s">
        <v>680</v>
      </c>
      <c r="Q349" s="1163"/>
      <c r="R349" s="1357">
        <v>11550000</v>
      </c>
      <c r="S349" s="1357">
        <v>11550000</v>
      </c>
      <c r="T349" s="1357">
        <f>+Tabla16[[#This Row],[CDPS A 31 JULIO 2022]]-Tabla16[[#This Row],[CDP]]</f>
        <v>0</v>
      </c>
      <c r="U349" s="1357">
        <v>11550000</v>
      </c>
      <c r="V349" s="1357">
        <v>10780000</v>
      </c>
      <c r="W349" s="1357"/>
      <c r="X349" s="1207"/>
      <c r="Y349" s="1207"/>
      <c r="Z349" s="1207"/>
      <c r="AA349" s="1207"/>
      <c r="AB349" s="1207"/>
      <c r="AC349" s="1207"/>
      <c r="AD349" s="1207"/>
      <c r="AE349" s="1207"/>
      <c r="AF349" s="1207"/>
      <c r="AG349" s="1207"/>
      <c r="AH349" s="1207"/>
      <c r="AI349" s="1207"/>
      <c r="AJ349" s="1207"/>
      <c r="AK349" s="1207"/>
      <c r="AL349" s="1207"/>
      <c r="AM349" s="1207"/>
      <c r="AN349" s="1207"/>
      <c r="AO349" s="1207"/>
      <c r="AP349" s="1207"/>
      <c r="AQ349" s="1207"/>
      <c r="AR349" s="1207"/>
      <c r="AS349" s="1207"/>
      <c r="AT349" s="1207"/>
      <c r="AU349" s="1207"/>
      <c r="AV349" s="1207"/>
      <c r="AW349" s="1207"/>
      <c r="AX349" s="1207"/>
      <c r="AY349" s="1207"/>
      <c r="AZ349" s="1207"/>
      <c r="BA349" s="1207"/>
      <c r="BB349" s="1207"/>
      <c r="BC349" s="1207"/>
      <c r="BD349" s="1207"/>
      <c r="BE349" s="1207"/>
      <c r="BF349" s="1207"/>
      <c r="BG349" s="1207"/>
      <c r="BH349" s="1207"/>
      <c r="BI349" s="1207"/>
      <c r="BJ349" s="1207"/>
      <c r="BK349" s="1207"/>
      <c r="BL349" s="1207"/>
      <c r="BM349" s="1207"/>
      <c r="BN349" s="1207"/>
      <c r="BO349" s="1207"/>
      <c r="BP349" s="1207"/>
      <c r="BQ349" s="1207"/>
      <c r="BR349" s="1207"/>
      <c r="BS349" s="1207"/>
      <c r="BT349" s="1207"/>
      <c r="BU349" s="1207"/>
      <c r="BV349" s="1207"/>
      <c r="BW349" s="1207"/>
      <c r="BX349" s="1207"/>
      <c r="BY349" s="1207"/>
      <c r="BZ349" s="1207"/>
      <c r="CA349" s="1207"/>
      <c r="CB349" s="1207"/>
      <c r="CC349" s="1207"/>
      <c r="CD349" s="1207"/>
      <c r="CE349" s="1207"/>
      <c r="CF349" s="1207"/>
    </row>
    <row r="350" spans="1:84" ht="90" x14ac:dyDescent="0.2">
      <c r="A350" s="1355">
        <v>2022322</v>
      </c>
      <c r="B350" s="1172">
        <v>7658</v>
      </c>
      <c r="C350" s="1356" t="s">
        <v>681</v>
      </c>
      <c r="D350" s="1190" t="s">
        <v>697</v>
      </c>
      <c r="E350" s="1174">
        <v>80111600</v>
      </c>
      <c r="F350" s="1389" t="s">
        <v>1011</v>
      </c>
      <c r="G350" s="1390">
        <v>44562</v>
      </c>
      <c r="H350" s="1390">
        <v>44592</v>
      </c>
      <c r="I350" s="1176">
        <v>4</v>
      </c>
      <c r="J350" s="1176" t="s">
        <v>675</v>
      </c>
      <c r="K350" s="1177" t="s">
        <v>676</v>
      </c>
      <c r="L350" s="1178" t="s">
        <v>677</v>
      </c>
      <c r="M350" s="1179">
        <v>26950000</v>
      </c>
      <c r="N350" s="1386" t="s">
        <v>767</v>
      </c>
      <c r="O350" s="1174" t="s">
        <v>766</v>
      </c>
      <c r="P350" s="1207" t="s">
        <v>680</v>
      </c>
      <c r="Q350" s="1163"/>
      <c r="R350" s="1357">
        <v>26950000</v>
      </c>
      <c r="S350" s="1357">
        <v>26950000</v>
      </c>
      <c r="T350" s="1357">
        <f>+Tabla16[[#This Row],[CDPS A 31 JULIO 2022]]-Tabla16[[#This Row],[CDP]]</f>
        <v>0</v>
      </c>
      <c r="U350" s="1357">
        <v>26950000</v>
      </c>
      <c r="V350" s="1357">
        <v>15400000</v>
      </c>
      <c r="W350" s="1357"/>
      <c r="X350" s="1207"/>
      <c r="Y350" s="1207"/>
      <c r="Z350" s="1207"/>
      <c r="AA350" s="1207"/>
      <c r="AB350" s="1207"/>
      <c r="AC350" s="1207"/>
      <c r="AD350" s="1207"/>
      <c r="AE350" s="1207"/>
      <c r="AF350" s="1207"/>
      <c r="AG350" s="1207"/>
      <c r="AH350" s="1207"/>
      <c r="AI350" s="1207"/>
      <c r="AJ350" s="1207"/>
      <c r="AK350" s="1207"/>
      <c r="AL350" s="1207"/>
      <c r="AM350" s="1207"/>
      <c r="AN350" s="1207"/>
      <c r="AO350" s="1207"/>
      <c r="AP350" s="1207"/>
      <c r="AQ350" s="1207"/>
      <c r="AR350" s="1207"/>
      <c r="AS350" s="1207"/>
      <c r="AT350" s="1207"/>
      <c r="AU350" s="1207"/>
      <c r="AV350" s="1207"/>
      <c r="AW350" s="1207"/>
      <c r="AX350" s="1207"/>
      <c r="AY350" s="1207"/>
      <c r="AZ350" s="1207"/>
      <c r="BA350" s="1207"/>
      <c r="BB350" s="1207"/>
      <c r="BC350" s="1207"/>
      <c r="BD350" s="1207"/>
      <c r="BE350" s="1207"/>
      <c r="BF350" s="1207"/>
      <c r="BG350" s="1207"/>
      <c r="BH350" s="1207"/>
      <c r="BI350" s="1207"/>
      <c r="BJ350" s="1207"/>
      <c r="BK350" s="1207"/>
      <c r="BL350" s="1207"/>
      <c r="BM350" s="1207"/>
      <c r="BN350" s="1207"/>
      <c r="BO350" s="1207"/>
      <c r="BP350" s="1207"/>
      <c r="BQ350" s="1207"/>
      <c r="BR350" s="1207"/>
      <c r="BS350" s="1207"/>
      <c r="BT350" s="1207"/>
      <c r="BU350" s="1207"/>
      <c r="BV350" s="1207"/>
      <c r="BW350" s="1207"/>
      <c r="BX350" s="1207"/>
      <c r="BY350" s="1207"/>
      <c r="BZ350" s="1207"/>
      <c r="CA350" s="1207"/>
      <c r="CB350" s="1207"/>
      <c r="CC350" s="1207"/>
      <c r="CD350" s="1207"/>
      <c r="CE350" s="1207"/>
      <c r="CF350" s="1207"/>
    </row>
    <row r="351" spans="1:84" ht="90" x14ac:dyDescent="0.2">
      <c r="A351" s="1355">
        <v>2022323</v>
      </c>
      <c r="B351" s="1172">
        <v>7658</v>
      </c>
      <c r="C351" s="1356" t="s">
        <v>681</v>
      </c>
      <c r="D351" s="1190" t="s">
        <v>697</v>
      </c>
      <c r="E351" s="1174">
        <v>80111600</v>
      </c>
      <c r="F351" s="1389" t="s">
        <v>1012</v>
      </c>
      <c r="G351" s="1390">
        <v>44562</v>
      </c>
      <c r="H351" s="1390">
        <v>44592</v>
      </c>
      <c r="I351" s="1176">
        <v>11</v>
      </c>
      <c r="J351" s="1176" t="s">
        <v>675</v>
      </c>
      <c r="K351" s="1177" t="s">
        <v>676</v>
      </c>
      <c r="L351" s="1178" t="s">
        <v>677</v>
      </c>
      <c r="M351" s="1179">
        <f>47817000-13041000</f>
        <v>34776000</v>
      </c>
      <c r="N351" s="1386" t="s">
        <v>767</v>
      </c>
      <c r="O351" s="1174" t="s">
        <v>766</v>
      </c>
      <c r="P351" s="1207" t="s">
        <v>680</v>
      </c>
      <c r="Q351" s="1163"/>
      <c r="R351" s="1357">
        <v>34776000</v>
      </c>
      <c r="S351" s="1357">
        <v>34776000</v>
      </c>
      <c r="T351" s="1357">
        <f>+Tabla16[[#This Row],[CDPS A 31 JULIO 2022]]-Tabla16[[#This Row],[CDP]]</f>
        <v>0</v>
      </c>
      <c r="U351" s="1357">
        <v>34776000</v>
      </c>
      <c r="V351" s="1357">
        <v>18402300</v>
      </c>
      <c r="W351" s="1357"/>
      <c r="X351" s="1207"/>
      <c r="Y351" s="1207"/>
      <c r="Z351" s="1207"/>
      <c r="AA351" s="1207"/>
      <c r="AB351" s="1207"/>
      <c r="AC351" s="1207"/>
      <c r="AD351" s="1207"/>
      <c r="AE351" s="1207"/>
      <c r="AF351" s="1207"/>
      <c r="AG351" s="1207"/>
      <c r="AH351" s="1207"/>
      <c r="AI351" s="1207"/>
      <c r="AJ351" s="1207"/>
      <c r="AK351" s="1207"/>
      <c r="AL351" s="1207"/>
      <c r="AM351" s="1207"/>
      <c r="AN351" s="1207"/>
      <c r="AO351" s="1207"/>
      <c r="AP351" s="1207"/>
      <c r="AQ351" s="1207"/>
      <c r="AR351" s="1207"/>
      <c r="AS351" s="1207"/>
      <c r="AT351" s="1207"/>
      <c r="AU351" s="1207"/>
      <c r="AV351" s="1207"/>
      <c r="AW351" s="1207"/>
      <c r="AX351" s="1207"/>
      <c r="AY351" s="1207"/>
      <c r="AZ351" s="1207"/>
      <c r="BA351" s="1207"/>
      <c r="BB351" s="1207"/>
      <c r="BC351" s="1207"/>
      <c r="BD351" s="1207"/>
      <c r="BE351" s="1207"/>
      <c r="BF351" s="1207"/>
      <c r="BG351" s="1207"/>
      <c r="BH351" s="1207"/>
      <c r="BI351" s="1207"/>
      <c r="BJ351" s="1207"/>
      <c r="BK351" s="1207"/>
      <c r="BL351" s="1207"/>
      <c r="BM351" s="1207"/>
      <c r="BN351" s="1207"/>
      <c r="BO351" s="1207"/>
      <c r="BP351" s="1207"/>
      <c r="BQ351" s="1207"/>
      <c r="BR351" s="1207"/>
      <c r="BS351" s="1207"/>
      <c r="BT351" s="1207"/>
      <c r="BU351" s="1207"/>
      <c r="BV351" s="1207"/>
      <c r="BW351" s="1207"/>
      <c r="BX351" s="1207"/>
      <c r="BY351" s="1207"/>
      <c r="BZ351" s="1207"/>
      <c r="CA351" s="1207"/>
      <c r="CB351" s="1207"/>
      <c r="CC351" s="1207"/>
      <c r="CD351" s="1207"/>
      <c r="CE351" s="1207"/>
      <c r="CF351" s="1207"/>
    </row>
    <row r="352" spans="1:84" ht="225" x14ac:dyDescent="0.2">
      <c r="A352" s="1355">
        <v>2022324</v>
      </c>
      <c r="B352" s="1172">
        <v>7658</v>
      </c>
      <c r="C352" s="1356" t="s">
        <v>681</v>
      </c>
      <c r="D352" s="1190" t="s">
        <v>697</v>
      </c>
      <c r="E352" s="1174" t="s">
        <v>1013</v>
      </c>
      <c r="F352" s="1389" t="s">
        <v>1014</v>
      </c>
      <c r="G352" s="1390">
        <v>44711</v>
      </c>
      <c r="H352" s="1390">
        <v>44728</v>
      </c>
      <c r="I352" s="1176">
        <v>6</v>
      </c>
      <c r="J352" s="1176" t="s">
        <v>647</v>
      </c>
      <c r="K352" s="1177" t="s">
        <v>772</v>
      </c>
      <c r="L352" s="1178" t="s">
        <v>983</v>
      </c>
      <c r="M352" s="1179">
        <f>200000000+65961254</f>
        <v>265961254</v>
      </c>
      <c r="N352" s="1386" t="s">
        <v>767</v>
      </c>
      <c r="O352" s="1174" t="s">
        <v>766</v>
      </c>
      <c r="P352" s="1207" t="s">
        <v>680</v>
      </c>
      <c r="Q352" s="1163"/>
      <c r="R352" s="1357">
        <v>265961254</v>
      </c>
      <c r="S352" s="1357">
        <v>265961254</v>
      </c>
      <c r="T352" s="1357">
        <f>+Tabla16[[#This Row],[CDPS A 31 JULIO 2022]]-Tabla16[[#This Row],[CDP]]</f>
        <v>0</v>
      </c>
      <c r="U352" s="1357"/>
      <c r="V352" s="1357"/>
      <c r="W352" s="1357"/>
      <c r="X352" s="1207"/>
      <c r="Y352" s="1207"/>
      <c r="Z352" s="1207"/>
      <c r="AA352" s="1207"/>
      <c r="AB352" s="1207"/>
      <c r="AC352" s="1207"/>
      <c r="AD352" s="1207"/>
      <c r="AE352" s="1207"/>
      <c r="AF352" s="1207"/>
      <c r="AG352" s="1207"/>
      <c r="AH352" s="1207"/>
      <c r="AI352" s="1207"/>
      <c r="AJ352" s="1207"/>
      <c r="AK352" s="1207"/>
      <c r="AL352" s="1207"/>
      <c r="AM352" s="1207"/>
      <c r="AN352" s="1207"/>
      <c r="AO352" s="1207"/>
      <c r="AP352" s="1207"/>
      <c r="AQ352" s="1207"/>
      <c r="AR352" s="1207"/>
      <c r="AS352" s="1207"/>
      <c r="AT352" s="1207"/>
      <c r="AU352" s="1207"/>
      <c r="AV352" s="1207"/>
      <c r="AW352" s="1207"/>
      <c r="AX352" s="1207"/>
      <c r="AY352" s="1207"/>
      <c r="AZ352" s="1207"/>
      <c r="BA352" s="1207"/>
      <c r="BB352" s="1207"/>
      <c r="BC352" s="1207"/>
      <c r="BD352" s="1207"/>
      <c r="BE352" s="1207"/>
      <c r="BF352" s="1207"/>
      <c r="BG352" s="1207"/>
      <c r="BH352" s="1207"/>
      <c r="BI352" s="1207"/>
      <c r="BJ352" s="1207"/>
      <c r="BK352" s="1207"/>
      <c r="BL352" s="1207"/>
      <c r="BM352" s="1207"/>
      <c r="BN352" s="1207"/>
      <c r="BO352" s="1207"/>
      <c r="BP352" s="1207"/>
      <c r="BQ352" s="1207"/>
      <c r="BR352" s="1207"/>
      <c r="BS352" s="1207"/>
      <c r="BT352" s="1207"/>
      <c r="BU352" s="1207"/>
      <c r="BV352" s="1207"/>
      <c r="BW352" s="1207"/>
      <c r="BX352" s="1207"/>
      <c r="BY352" s="1207"/>
      <c r="BZ352" s="1207"/>
      <c r="CA352" s="1207"/>
      <c r="CB352" s="1207"/>
      <c r="CC352" s="1207"/>
      <c r="CD352" s="1207"/>
      <c r="CE352" s="1207"/>
      <c r="CF352" s="1207"/>
    </row>
    <row r="353" spans="1:84" ht="105" x14ac:dyDescent="0.2">
      <c r="A353" s="1355">
        <v>2022325</v>
      </c>
      <c r="B353" s="1172">
        <v>7658</v>
      </c>
      <c r="C353" s="1356" t="s">
        <v>681</v>
      </c>
      <c r="D353" s="1190" t="s">
        <v>697</v>
      </c>
      <c r="E353" s="1174" t="s">
        <v>1015</v>
      </c>
      <c r="F353" s="1389" t="s">
        <v>1016</v>
      </c>
      <c r="G353" s="1390">
        <v>44682</v>
      </c>
      <c r="H353" s="1390">
        <v>44712</v>
      </c>
      <c r="I353" s="1176">
        <v>6</v>
      </c>
      <c r="J353" s="1176" t="s">
        <v>647</v>
      </c>
      <c r="K353" s="1177" t="s">
        <v>676</v>
      </c>
      <c r="L353" s="1178" t="s">
        <v>677</v>
      </c>
      <c r="M353" s="1179">
        <v>770904000</v>
      </c>
      <c r="N353" s="1386" t="s">
        <v>767</v>
      </c>
      <c r="O353" s="1174" t="s">
        <v>766</v>
      </c>
      <c r="P353" s="1207" t="s">
        <v>680</v>
      </c>
      <c r="Q353" s="1163"/>
      <c r="R353" s="1357">
        <v>770904000</v>
      </c>
      <c r="S353" s="1357">
        <v>770904000</v>
      </c>
      <c r="T353" s="1357">
        <f>+Tabla16[[#This Row],[CDPS A 31 JULIO 2022]]-Tabla16[[#This Row],[CDP]]</f>
        <v>0</v>
      </c>
      <c r="U353" s="1357"/>
      <c r="V353" s="1357"/>
      <c r="W353" s="1357"/>
      <c r="X353" s="1207"/>
      <c r="Y353" s="1207"/>
      <c r="Z353" s="1207"/>
      <c r="AA353" s="1207"/>
      <c r="AB353" s="1207"/>
      <c r="AC353" s="1207"/>
      <c r="AD353" s="1207"/>
      <c r="AE353" s="1207"/>
      <c r="AF353" s="1207"/>
      <c r="AG353" s="1207"/>
      <c r="AH353" s="1207"/>
      <c r="AI353" s="1207"/>
      <c r="AJ353" s="1207"/>
      <c r="AK353" s="1207"/>
      <c r="AL353" s="1207"/>
      <c r="AM353" s="1207"/>
      <c r="AN353" s="1207"/>
      <c r="AO353" s="1207"/>
      <c r="AP353" s="1207"/>
      <c r="AQ353" s="1207"/>
      <c r="AR353" s="1207"/>
      <c r="AS353" s="1207"/>
      <c r="AT353" s="1207"/>
      <c r="AU353" s="1207"/>
      <c r="AV353" s="1207"/>
      <c r="AW353" s="1207"/>
      <c r="AX353" s="1207"/>
      <c r="AY353" s="1207"/>
      <c r="AZ353" s="1207"/>
      <c r="BA353" s="1207"/>
      <c r="BB353" s="1207"/>
      <c r="BC353" s="1207"/>
      <c r="BD353" s="1207"/>
      <c r="BE353" s="1207"/>
      <c r="BF353" s="1207"/>
      <c r="BG353" s="1207"/>
      <c r="BH353" s="1207"/>
      <c r="BI353" s="1207"/>
      <c r="BJ353" s="1207"/>
      <c r="BK353" s="1207"/>
      <c r="BL353" s="1207"/>
      <c r="BM353" s="1207"/>
      <c r="BN353" s="1207"/>
      <c r="BO353" s="1207"/>
      <c r="BP353" s="1207"/>
      <c r="BQ353" s="1207"/>
      <c r="BR353" s="1207"/>
      <c r="BS353" s="1207"/>
      <c r="BT353" s="1207"/>
      <c r="BU353" s="1207"/>
      <c r="BV353" s="1207"/>
      <c r="BW353" s="1207"/>
      <c r="BX353" s="1207"/>
      <c r="BY353" s="1207"/>
      <c r="BZ353" s="1207"/>
      <c r="CA353" s="1207"/>
      <c r="CB353" s="1207"/>
      <c r="CC353" s="1207"/>
      <c r="CD353" s="1207"/>
      <c r="CE353" s="1207"/>
      <c r="CF353" s="1207"/>
    </row>
    <row r="354" spans="1:84" ht="90" x14ac:dyDescent="0.2">
      <c r="A354" s="1355">
        <v>2022326</v>
      </c>
      <c r="B354" s="1172">
        <v>7658</v>
      </c>
      <c r="C354" s="1356" t="s">
        <v>681</v>
      </c>
      <c r="D354" s="1190" t="s">
        <v>697</v>
      </c>
      <c r="E354" s="1174" t="s">
        <v>1017</v>
      </c>
      <c r="F354" s="1389" t="s">
        <v>1018</v>
      </c>
      <c r="G354" s="1390">
        <v>44711</v>
      </c>
      <c r="H354" s="1390">
        <v>44728</v>
      </c>
      <c r="I354" s="1176">
        <v>6</v>
      </c>
      <c r="J354" s="1176" t="s">
        <v>647</v>
      </c>
      <c r="K354" s="1177" t="s">
        <v>772</v>
      </c>
      <c r="L354" s="1178" t="s">
        <v>983</v>
      </c>
      <c r="M354" s="1179">
        <f>1100000000-65961254</f>
        <v>1034038746</v>
      </c>
      <c r="N354" s="1386" t="s">
        <v>767</v>
      </c>
      <c r="O354" s="1174" t="s">
        <v>766</v>
      </c>
      <c r="P354" s="1207" t="s">
        <v>680</v>
      </c>
      <c r="Q354" s="1163"/>
      <c r="R354" s="1357">
        <v>1034038746</v>
      </c>
      <c r="S354" s="1357">
        <v>1034038746</v>
      </c>
      <c r="T354" s="1357">
        <f>+Tabla16[[#This Row],[CDPS A 31 JULIO 2022]]-Tabla16[[#This Row],[CDP]]</f>
        <v>0</v>
      </c>
      <c r="U354" s="1357"/>
      <c r="V354" s="1357"/>
      <c r="W354" s="1357"/>
      <c r="X354" s="1207"/>
      <c r="Y354" s="1207"/>
      <c r="Z354" s="1207"/>
      <c r="AA354" s="1207"/>
      <c r="AB354" s="1207"/>
      <c r="AC354" s="1207"/>
      <c r="AD354" s="1207"/>
      <c r="AE354" s="1207"/>
      <c r="AF354" s="1207"/>
      <c r="AG354" s="1207"/>
      <c r="AH354" s="1207"/>
      <c r="AI354" s="1207"/>
      <c r="AJ354" s="1207"/>
      <c r="AK354" s="1207"/>
      <c r="AL354" s="1207"/>
      <c r="AM354" s="1207"/>
      <c r="AN354" s="1207"/>
      <c r="AO354" s="1207"/>
      <c r="AP354" s="1207"/>
      <c r="AQ354" s="1207"/>
      <c r="AR354" s="1207"/>
      <c r="AS354" s="1207"/>
      <c r="AT354" s="1207"/>
      <c r="AU354" s="1207"/>
      <c r="AV354" s="1207"/>
      <c r="AW354" s="1207"/>
      <c r="AX354" s="1207"/>
      <c r="AY354" s="1207"/>
      <c r="AZ354" s="1207"/>
      <c r="BA354" s="1207"/>
      <c r="BB354" s="1207"/>
      <c r="BC354" s="1207"/>
      <c r="BD354" s="1207"/>
      <c r="BE354" s="1207"/>
      <c r="BF354" s="1207"/>
      <c r="BG354" s="1207"/>
      <c r="BH354" s="1207"/>
      <c r="BI354" s="1207"/>
      <c r="BJ354" s="1207"/>
      <c r="BK354" s="1207"/>
      <c r="BL354" s="1207"/>
      <c r="BM354" s="1207"/>
      <c r="BN354" s="1207"/>
      <c r="BO354" s="1207"/>
      <c r="BP354" s="1207"/>
      <c r="BQ354" s="1207"/>
      <c r="BR354" s="1207"/>
      <c r="BS354" s="1207"/>
      <c r="BT354" s="1207"/>
      <c r="BU354" s="1207"/>
      <c r="BV354" s="1207"/>
      <c r="BW354" s="1207"/>
      <c r="BX354" s="1207"/>
      <c r="BY354" s="1207"/>
      <c r="BZ354" s="1207"/>
      <c r="CA354" s="1207"/>
      <c r="CB354" s="1207"/>
      <c r="CC354" s="1207"/>
      <c r="CD354" s="1207"/>
      <c r="CE354" s="1207"/>
      <c r="CF354" s="1207"/>
    </row>
    <row r="355" spans="1:84" ht="90" x14ac:dyDescent="0.2">
      <c r="A355" s="1355">
        <v>2022327</v>
      </c>
      <c r="B355" s="1172">
        <v>7658</v>
      </c>
      <c r="C355" s="1356" t="s">
        <v>681</v>
      </c>
      <c r="D355" s="1190" t="s">
        <v>697</v>
      </c>
      <c r="E355" s="1174">
        <v>90121800</v>
      </c>
      <c r="F355" s="1389" t="s">
        <v>1019</v>
      </c>
      <c r="G355" s="1390">
        <v>44562</v>
      </c>
      <c r="H355" s="1390">
        <v>44592</v>
      </c>
      <c r="I355" s="1176">
        <v>12</v>
      </c>
      <c r="J355" s="1176" t="s">
        <v>97</v>
      </c>
      <c r="K355" s="1177" t="s">
        <v>676</v>
      </c>
      <c r="L355" s="1178" t="s">
        <v>677</v>
      </c>
      <c r="M355" s="1179">
        <f>40000000+10000000+10000000+54800000+15000000+75000000</f>
        <v>204800000</v>
      </c>
      <c r="N355" s="1386" t="s">
        <v>767</v>
      </c>
      <c r="O355" s="1174" t="s">
        <v>766</v>
      </c>
      <c r="P355" s="1207" t="s">
        <v>680</v>
      </c>
      <c r="Q355" s="1163"/>
      <c r="R355" s="1357">
        <v>190731814</v>
      </c>
      <c r="S355" s="1357">
        <v>40731814</v>
      </c>
      <c r="T355" s="1357">
        <f>+Tabla16[[#This Row],[CDPS A 31 JULIO 2022]]-Tabla16[[#This Row],[CDP]]</f>
        <v>150000000</v>
      </c>
      <c r="U355" s="1357">
        <v>27119209</v>
      </c>
      <c r="V355" s="1357">
        <v>27119209</v>
      </c>
      <c r="W355" s="1357"/>
      <c r="X355" s="1207"/>
      <c r="Y355" s="1207"/>
      <c r="Z355" s="1207"/>
      <c r="AA355" s="1207"/>
      <c r="AB355" s="1207"/>
      <c r="AC355" s="1207"/>
      <c r="AD355" s="1207"/>
      <c r="AE355" s="1207"/>
      <c r="AF355" s="1207"/>
      <c r="AG355" s="1207"/>
      <c r="AH355" s="1207"/>
      <c r="AI355" s="1207"/>
      <c r="AJ355" s="1207"/>
      <c r="AK355" s="1207"/>
      <c r="AL355" s="1207"/>
      <c r="AM355" s="1207"/>
      <c r="AN355" s="1207"/>
      <c r="AO355" s="1207"/>
      <c r="AP355" s="1207"/>
      <c r="AQ355" s="1207"/>
      <c r="AR355" s="1207"/>
      <c r="AS355" s="1207"/>
      <c r="AT355" s="1207"/>
      <c r="AU355" s="1207"/>
      <c r="AV355" s="1207"/>
      <c r="AW355" s="1207"/>
      <c r="AX355" s="1207"/>
      <c r="AY355" s="1207"/>
      <c r="AZ355" s="1207"/>
      <c r="BA355" s="1207"/>
      <c r="BB355" s="1207"/>
      <c r="BC355" s="1207"/>
      <c r="BD355" s="1207"/>
      <c r="BE355" s="1207"/>
      <c r="BF355" s="1207"/>
      <c r="BG355" s="1207"/>
      <c r="BH355" s="1207"/>
      <c r="BI355" s="1207"/>
      <c r="BJ355" s="1207"/>
      <c r="BK355" s="1207"/>
      <c r="BL355" s="1207"/>
      <c r="BM355" s="1207"/>
      <c r="BN355" s="1207"/>
      <c r="BO355" s="1207"/>
      <c r="BP355" s="1207"/>
      <c r="BQ355" s="1207"/>
      <c r="BR355" s="1207"/>
      <c r="BS355" s="1207"/>
      <c r="BT355" s="1207"/>
      <c r="BU355" s="1207"/>
      <c r="BV355" s="1207"/>
      <c r="BW355" s="1207"/>
      <c r="BX355" s="1207"/>
      <c r="BY355" s="1207"/>
      <c r="BZ355" s="1207"/>
      <c r="CA355" s="1207"/>
      <c r="CB355" s="1207"/>
      <c r="CC355" s="1207"/>
      <c r="CD355" s="1207"/>
      <c r="CE355" s="1207"/>
      <c r="CF355" s="1207"/>
    </row>
    <row r="356" spans="1:84" ht="90" x14ac:dyDescent="0.2">
      <c r="A356" s="1355">
        <v>2022328</v>
      </c>
      <c r="B356" s="1172">
        <v>7658</v>
      </c>
      <c r="C356" s="1356" t="s">
        <v>681</v>
      </c>
      <c r="D356" s="1190" t="s">
        <v>697</v>
      </c>
      <c r="E356" s="1174">
        <v>90121800</v>
      </c>
      <c r="F356" s="1389" t="s">
        <v>1020</v>
      </c>
      <c r="G356" s="1390">
        <v>44562</v>
      </c>
      <c r="H356" s="1390">
        <v>44592</v>
      </c>
      <c r="I356" s="1176">
        <v>12</v>
      </c>
      <c r="J356" s="1176" t="s">
        <v>97</v>
      </c>
      <c r="K356" s="1177" t="s">
        <v>676</v>
      </c>
      <c r="L356" s="1178" t="s">
        <v>677</v>
      </c>
      <c r="M356" s="1179">
        <v>80000000</v>
      </c>
      <c r="N356" s="1386" t="s">
        <v>767</v>
      </c>
      <c r="O356" s="1174" t="s">
        <v>766</v>
      </c>
      <c r="P356" s="1207" t="s">
        <v>680</v>
      </c>
      <c r="Q356" s="1163"/>
      <c r="R356" s="1357">
        <v>50000000</v>
      </c>
      <c r="S356" s="1357">
        <v>50000000</v>
      </c>
      <c r="T356" s="1357">
        <f>+Tabla16[[#This Row],[CDPS A 31 JULIO 2022]]-Tabla16[[#This Row],[CDP]]</f>
        <v>0</v>
      </c>
      <c r="U356" s="1357"/>
      <c r="V356" s="1357"/>
      <c r="W356" s="1357"/>
      <c r="X356" s="1207"/>
      <c r="Y356" s="1207"/>
      <c r="Z356" s="1207"/>
      <c r="AA356" s="1207"/>
      <c r="AB356" s="1207"/>
      <c r="AC356" s="1207"/>
      <c r="AD356" s="1207"/>
      <c r="AE356" s="1207"/>
      <c r="AF356" s="1207"/>
      <c r="AG356" s="1207"/>
      <c r="AH356" s="1207"/>
      <c r="AI356" s="1207"/>
      <c r="AJ356" s="1207"/>
      <c r="AK356" s="1207"/>
      <c r="AL356" s="1207"/>
      <c r="AM356" s="1207"/>
      <c r="AN356" s="1207"/>
      <c r="AO356" s="1207"/>
      <c r="AP356" s="1207"/>
      <c r="AQ356" s="1207"/>
      <c r="AR356" s="1207"/>
      <c r="AS356" s="1207"/>
      <c r="AT356" s="1207"/>
      <c r="AU356" s="1207"/>
      <c r="AV356" s="1207"/>
      <c r="AW356" s="1207"/>
      <c r="AX356" s="1207"/>
      <c r="AY356" s="1207"/>
      <c r="AZ356" s="1207"/>
      <c r="BA356" s="1207"/>
      <c r="BB356" s="1207"/>
      <c r="BC356" s="1207"/>
      <c r="BD356" s="1207"/>
      <c r="BE356" s="1207"/>
      <c r="BF356" s="1207"/>
      <c r="BG356" s="1207"/>
      <c r="BH356" s="1207"/>
      <c r="BI356" s="1207"/>
      <c r="BJ356" s="1207"/>
      <c r="BK356" s="1207"/>
      <c r="BL356" s="1207"/>
      <c r="BM356" s="1207"/>
      <c r="BN356" s="1207"/>
      <c r="BO356" s="1207"/>
      <c r="BP356" s="1207"/>
      <c r="BQ356" s="1207"/>
      <c r="BR356" s="1207"/>
      <c r="BS356" s="1207"/>
      <c r="BT356" s="1207"/>
      <c r="BU356" s="1207"/>
      <c r="BV356" s="1207"/>
      <c r="BW356" s="1207"/>
      <c r="BX356" s="1207"/>
      <c r="BY356" s="1207"/>
      <c r="BZ356" s="1207"/>
      <c r="CA356" s="1207"/>
      <c r="CB356" s="1207"/>
      <c r="CC356" s="1207"/>
      <c r="CD356" s="1207"/>
      <c r="CE356" s="1207"/>
      <c r="CF356" s="1207"/>
    </row>
    <row r="357" spans="1:84" ht="135" x14ac:dyDescent="0.2">
      <c r="A357" s="1355">
        <v>2022330</v>
      </c>
      <c r="B357" s="1172">
        <v>7658</v>
      </c>
      <c r="C357" s="1356" t="s">
        <v>681</v>
      </c>
      <c r="D357" s="1190" t="s">
        <v>703</v>
      </c>
      <c r="E357" s="1174" t="s">
        <v>1022</v>
      </c>
      <c r="F357" s="1389" t="s">
        <v>1023</v>
      </c>
      <c r="G357" s="1390">
        <v>44666</v>
      </c>
      <c r="H357" s="1390">
        <v>44727</v>
      </c>
      <c r="I357" s="1176">
        <v>12</v>
      </c>
      <c r="J357" s="1176" t="s">
        <v>647</v>
      </c>
      <c r="K357" s="1177" t="s">
        <v>772</v>
      </c>
      <c r="L357" s="1178" t="s">
        <v>983</v>
      </c>
      <c r="M357" s="1179">
        <f>5600000000+1078000000</f>
        <v>6678000000</v>
      </c>
      <c r="N357" s="1386" t="s">
        <v>778</v>
      </c>
      <c r="O357" s="1174" t="s">
        <v>773</v>
      </c>
      <c r="P357" s="1207" t="s">
        <v>680</v>
      </c>
      <c r="Q357" s="1163"/>
      <c r="R357" s="1357">
        <v>6678000000</v>
      </c>
      <c r="S357" s="1357">
        <v>6678000000</v>
      </c>
      <c r="T357" s="1357">
        <f>+Tabla16[[#This Row],[CDPS A 31 JULIO 2022]]-Tabla16[[#This Row],[CDP]]</f>
        <v>0</v>
      </c>
      <c r="U357" s="1357"/>
      <c r="V357" s="1357"/>
      <c r="W357" s="1357"/>
      <c r="X357" s="1207"/>
      <c r="Y357" s="1207"/>
      <c r="Z357" s="1207"/>
      <c r="AA357" s="1207"/>
      <c r="AB357" s="1207"/>
      <c r="AC357" s="1207"/>
      <c r="AD357" s="1207"/>
      <c r="AE357" s="1207"/>
      <c r="AF357" s="1207"/>
      <c r="AG357" s="1207"/>
      <c r="AH357" s="1207"/>
      <c r="AI357" s="1207"/>
      <c r="AJ357" s="1207"/>
      <c r="AK357" s="1207"/>
      <c r="AL357" s="1207"/>
      <c r="AM357" s="1207"/>
      <c r="AN357" s="1207"/>
      <c r="AO357" s="1207"/>
      <c r="AP357" s="1207"/>
      <c r="AQ357" s="1207"/>
      <c r="AR357" s="1207"/>
      <c r="AS357" s="1207"/>
      <c r="AT357" s="1207"/>
      <c r="AU357" s="1207"/>
      <c r="AV357" s="1207"/>
      <c r="AW357" s="1207"/>
      <c r="AX357" s="1207"/>
      <c r="AY357" s="1207"/>
      <c r="AZ357" s="1207"/>
      <c r="BA357" s="1207"/>
      <c r="BB357" s="1207"/>
      <c r="BC357" s="1207"/>
      <c r="BD357" s="1207"/>
      <c r="BE357" s="1207"/>
      <c r="BF357" s="1207"/>
      <c r="BG357" s="1207"/>
      <c r="BH357" s="1207"/>
      <c r="BI357" s="1207"/>
      <c r="BJ357" s="1207"/>
      <c r="BK357" s="1207"/>
      <c r="BL357" s="1207"/>
      <c r="BM357" s="1207"/>
      <c r="BN357" s="1207"/>
      <c r="BO357" s="1207"/>
      <c r="BP357" s="1207"/>
      <c r="BQ357" s="1207"/>
      <c r="BR357" s="1207"/>
      <c r="BS357" s="1207"/>
      <c r="BT357" s="1207"/>
      <c r="BU357" s="1207"/>
      <c r="BV357" s="1207"/>
      <c r="BW357" s="1207"/>
      <c r="BX357" s="1207"/>
      <c r="BY357" s="1207"/>
      <c r="BZ357" s="1207"/>
      <c r="CA357" s="1207"/>
      <c r="CB357" s="1207"/>
      <c r="CC357" s="1207"/>
      <c r="CD357" s="1207"/>
      <c r="CE357" s="1207"/>
      <c r="CF357" s="1207"/>
    </row>
    <row r="358" spans="1:84" ht="195" x14ac:dyDescent="0.2">
      <c r="A358" s="1355">
        <v>2022331</v>
      </c>
      <c r="B358" s="1172">
        <v>7658</v>
      </c>
      <c r="C358" s="1356" t="s">
        <v>681</v>
      </c>
      <c r="D358" s="1190" t="s">
        <v>703</v>
      </c>
      <c r="E358" s="1174" t="s">
        <v>1024</v>
      </c>
      <c r="F358" s="1389" t="s">
        <v>1025</v>
      </c>
      <c r="G358" s="1390">
        <v>44635</v>
      </c>
      <c r="H358" s="1390">
        <v>44696</v>
      </c>
      <c r="I358" s="1176">
        <v>6</v>
      </c>
      <c r="J358" s="1176" t="s">
        <v>647</v>
      </c>
      <c r="K358" s="1177" t="s">
        <v>772</v>
      </c>
      <c r="L358" s="1178" t="s">
        <v>983</v>
      </c>
      <c r="M358" s="1179">
        <v>1325000000</v>
      </c>
      <c r="N358" s="1386" t="s">
        <v>1026</v>
      </c>
      <c r="O358" s="1174" t="s">
        <v>773</v>
      </c>
      <c r="P358" s="1207" t="s">
        <v>680</v>
      </c>
      <c r="Q358" s="1163" t="s">
        <v>956</v>
      </c>
      <c r="R358" s="1357">
        <v>1325000000</v>
      </c>
      <c r="S358" s="1357">
        <v>1325000000</v>
      </c>
      <c r="T358" s="1357">
        <f>+Tabla16[[#This Row],[CDPS A 31 JULIO 2022]]-Tabla16[[#This Row],[CDP]]</f>
        <v>0</v>
      </c>
      <c r="U358" s="1357"/>
      <c r="V358" s="1357"/>
      <c r="W358" s="1357"/>
      <c r="X358" s="1207"/>
      <c r="Y358" s="1207"/>
      <c r="Z358" s="1207"/>
      <c r="AA358" s="1207"/>
      <c r="AB358" s="1207"/>
      <c r="AC358" s="1207"/>
      <c r="AD358" s="1207"/>
      <c r="AE358" s="1207"/>
      <c r="AF358" s="1207"/>
      <c r="AG358" s="1207"/>
      <c r="AH358" s="1207"/>
      <c r="AI358" s="1207"/>
      <c r="AJ358" s="1207"/>
      <c r="AK358" s="1207"/>
      <c r="AL358" s="1207"/>
      <c r="AM358" s="1207"/>
      <c r="AN358" s="1207"/>
      <c r="AO358" s="1207"/>
      <c r="AP358" s="1207"/>
      <c r="AQ358" s="1207"/>
      <c r="AR358" s="1207"/>
      <c r="AS358" s="1207"/>
      <c r="AT358" s="1207"/>
      <c r="AU358" s="1207"/>
      <c r="AV358" s="1207"/>
      <c r="AW358" s="1207"/>
      <c r="AX358" s="1207"/>
      <c r="AY358" s="1207"/>
      <c r="AZ358" s="1207"/>
      <c r="BA358" s="1207"/>
      <c r="BB358" s="1207"/>
      <c r="BC358" s="1207"/>
      <c r="BD358" s="1207"/>
      <c r="BE358" s="1207"/>
      <c r="BF358" s="1207"/>
      <c r="BG358" s="1207"/>
      <c r="BH358" s="1207"/>
      <c r="BI358" s="1207"/>
      <c r="BJ358" s="1207"/>
      <c r="BK358" s="1207"/>
      <c r="BL358" s="1207"/>
      <c r="BM358" s="1207"/>
      <c r="BN358" s="1207"/>
      <c r="BO358" s="1207"/>
      <c r="BP358" s="1207"/>
      <c r="BQ358" s="1207"/>
      <c r="BR358" s="1207"/>
      <c r="BS358" s="1207"/>
      <c r="BT358" s="1207"/>
      <c r="BU358" s="1207"/>
      <c r="BV358" s="1207"/>
      <c r="BW358" s="1207"/>
      <c r="BX358" s="1207"/>
      <c r="BY358" s="1207"/>
      <c r="BZ358" s="1207"/>
      <c r="CA358" s="1207"/>
      <c r="CB358" s="1207"/>
      <c r="CC358" s="1207"/>
      <c r="CD358" s="1207"/>
      <c r="CE358" s="1207"/>
      <c r="CF358" s="1207"/>
    </row>
    <row r="359" spans="1:84" ht="195" x14ac:dyDescent="0.2">
      <c r="A359" s="1355">
        <v>2022332</v>
      </c>
      <c r="B359" s="1172">
        <v>7658</v>
      </c>
      <c r="C359" s="1356" t="s">
        <v>681</v>
      </c>
      <c r="D359" s="1190" t="s">
        <v>703</v>
      </c>
      <c r="E359" s="1174" t="s">
        <v>1024</v>
      </c>
      <c r="F359" s="1389" t="s">
        <v>1025</v>
      </c>
      <c r="G359" s="1390">
        <v>44635</v>
      </c>
      <c r="H359" s="1390">
        <v>44696</v>
      </c>
      <c r="I359" s="1176">
        <v>6</v>
      </c>
      <c r="J359" s="1176" t="s">
        <v>647</v>
      </c>
      <c r="K359" s="1177" t="s">
        <v>676</v>
      </c>
      <c r="L359" s="1178" t="s">
        <v>983</v>
      </c>
      <c r="M359" s="1179">
        <f>548720000-252916670-117537030</f>
        <v>178266300</v>
      </c>
      <c r="N359" s="1386" t="s">
        <v>1026</v>
      </c>
      <c r="O359" s="1174" t="s">
        <v>773</v>
      </c>
      <c r="P359" s="1207" t="s">
        <v>680</v>
      </c>
      <c r="Q359" s="1163"/>
      <c r="R359" s="1357">
        <v>295803330</v>
      </c>
      <c r="S359" s="1357">
        <v>295803330</v>
      </c>
      <c r="T359" s="1357">
        <f>+Tabla16[[#This Row],[CDPS A 31 JULIO 2022]]-Tabla16[[#This Row],[CDP]]</f>
        <v>0</v>
      </c>
      <c r="U359" s="1357"/>
      <c r="V359" s="1357"/>
      <c r="W359" s="1357"/>
      <c r="X359" s="1207"/>
      <c r="Y359" s="1207"/>
      <c r="Z359" s="1207"/>
      <c r="AA359" s="1207"/>
      <c r="AB359" s="1207"/>
      <c r="AC359" s="1207"/>
      <c r="AD359" s="1207"/>
      <c r="AE359" s="1207"/>
      <c r="AF359" s="1207"/>
      <c r="AG359" s="1207"/>
      <c r="AH359" s="1207"/>
      <c r="AI359" s="1207"/>
      <c r="AJ359" s="1207"/>
      <c r="AK359" s="1207"/>
      <c r="AL359" s="1207"/>
      <c r="AM359" s="1207"/>
      <c r="AN359" s="1207"/>
      <c r="AO359" s="1207"/>
      <c r="AP359" s="1207"/>
      <c r="AQ359" s="1207"/>
      <c r="AR359" s="1207"/>
      <c r="AS359" s="1207"/>
      <c r="AT359" s="1207"/>
      <c r="AU359" s="1207"/>
      <c r="AV359" s="1207"/>
      <c r="AW359" s="1207"/>
      <c r="AX359" s="1207"/>
      <c r="AY359" s="1207"/>
      <c r="AZ359" s="1207"/>
      <c r="BA359" s="1207"/>
      <c r="BB359" s="1207"/>
      <c r="BC359" s="1207"/>
      <c r="BD359" s="1207"/>
      <c r="BE359" s="1207"/>
      <c r="BF359" s="1207"/>
      <c r="BG359" s="1207"/>
      <c r="BH359" s="1207"/>
      <c r="BI359" s="1207"/>
      <c r="BJ359" s="1207"/>
      <c r="BK359" s="1207"/>
      <c r="BL359" s="1207"/>
      <c r="BM359" s="1207"/>
      <c r="BN359" s="1207"/>
      <c r="BO359" s="1207"/>
      <c r="BP359" s="1207"/>
      <c r="BQ359" s="1207"/>
      <c r="BR359" s="1207"/>
      <c r="BS359" s="1207"/>
      <c r="BT359" s="1207"/>
      <c r="BU359" s="1207"/>
      <c r="BV359" s="1207"/>
      <c r="BW359" s="1207"/>
      <c r="BX359" s="1207"/>
      <c r="BY359" s="1207"/>
      <c r="BZ359" s="1207"/>
      <c r="CA359" s="1207"/>
      <c r="CB359" s="1207"/>
      <c r="CC359" s="1207"/>
      <c r="CD359" s="1207"/>
      <c r="CE359" s="1207"/>
      <c r="CF359" s="1207"/>
    </row>
    <row r="360" spans="1:84" ht="135" x14ac:dyDescent="0.2">
      <c r="A360" s="1355">
        <v>2022334</v>
      </c>
      <c r="B360" s="1172">
        <v>7658</v>
      </c>
      <c r="C360" s="1356" t="s">
        <v>681</v>
      </c>
      <c r="D360" s="1190" t="s">
        <v>703</v>
      </c>
      <c r="E360" s="1174" t="s">
        <v>1027</v>
      </c>
      <c r="F360" s="1389" t="s">
        <v>1028</v>
      </c>
      <c r="G360" s="1390">
        <v>44666</v>
      </c>
      <c r="H360" s="1390">
        <v>44727</v>
      </c>
      <c r="I360" s="1176">
        <v>6</v>
      </c>
      <c r="J360" s="1176" t="s">
        <v>647</v>
      </c>
      <c r="K360" s="1177" t="s">
        <v>676</v>
      </c>
      <c r="L360" s="1178" t="s">
        <v>983</v>
      </c>
      <c r="M360" s="1179">
        <f>204051000-54800000+117537030</f>
        <v>266788030</v>
      </c>
      <c r="N360" s="1386" t="s">
        <v>1026</v>
      </c>
      <c r="O360" s="1174" t="s">
        <v>773</v>
      </c>
      <c r="P360" s="1207" t="s">
        <v>680</v>
      </c>
      <c r="Q360" s="1163"/>
      <c r="R360" s="1357">
        <v>143163926</v>
      </c>
      <c r="S360" s="1357">
        <v>143163926</v>
      </c>
      <c r="T360" s="1357">
        <f>+Tabla16[[#This Row],[CDPS A 31 JULIO 2022]]-Tabla16[[#This Row],[CDP]]</f>
        <v>0</v>
      </c>
      <c r="U360" s="1357"/>
      <c r="V360" s="1357"/>
      <c r="W360" s="1357"/>
      <c r="X360" s="1207"/>
      <c r="Y360" s="1207"/>
      <c r="Z360" s="1207"/>
      <c r="AA360" s="1207"/>
      <c r="AB360" s="1207"/>
      <c r="AC360" s="1207"/>
      <c r="AD360" s="1207"/>
      <c r="AE360" s="1207"/>
      <c r="AF360" s="1207"/>
      <c r="AG360" s="1207"/>
      <c r="AH360" s="1207"/>
      <c r="AI360" s="1207"/>
      <c r="AJ360" s="1207"/>
      <c r="AK360" s="1207"/>
      <c r="AL360" s="1207"/>
      <c r="AM360" s="1207"/>
      <c r="AN360" s="1207"/>
      <c r="AO360" s="1207"/>
      <c r="AP360" s="1207"/>
      <c r="AQ360" s="1207"/>
      <c r="AR360" s="1207"/>
      <c r="AS360" s="1207"/>
      <c r="AT360" s="1207"/>
      <c r="AU360" s="1207"/>
      <c r="AV360" s="1207"/>
      <c r="AW360" s="1207"/>
      <c r="AX360" s="1207"/>
      <c r="AY360" s="1207"/>
      <c r="AZ360" s="1207"/>
      <c r="BA360" s="1207"/>
      <c r="BB360" s="1207"/>
      <c r="BC360" s="1207"/>
      <c r="BD360" s="1207"/>
      <c r="BE360" s="1207"/>
      <c r="BF360" s="1207"/>
      <c r="BG360" s="1207"/>
      <c r="BH360" s="1207"/>
      <c r="BI360" s="1207"/>
      <c r="BJ360" s="1207"/>
      <c r="BK360" s="1207"/>
      <c r="BL360" s="1207"/>
      <c r="BM360" s="1207"/>
      <c r="BN360" s="1207"/>
      <c r="BO360" s="1207"/>
      <c r="BP360" s="1207"/>
      <c r="BQ360" s="1207"/>
      <c r="BR360" s="1207"/>
      <c r="BS360" s="1207"/>
      <c r="BT360" s="1207"/>
      <c r="BU360" s="1207"/>
      <c r="BV360" s="1207"/>
      <c r="BW360" s="1207"/>
      <c r="BX360" s="1207"/>
      <c r="BY360" s="1207"/>
      <c r="BZ360" s="1207"/>
      <c r="CA360" s="1207"/>
      <c r="CB360" s="1207"/>
      <c r="CC360" s="1207"/>
      <c r="CD360" s="1207"/>
      <c r="CE360" s="1207"/>
      <c r="CF360" s="1207"/>
    </row>
    <row r="361" spans="1:84" ht="135" x14ac:dyDescent="0.2">
      <c r="A361" s="1355">
        <v>2022336</v>
      </c>
      <c r="B361" s="1172">
        <v>7658</v>
      </c>
      <c r="C361" s="1356" t="s">
        <v>681</v>
      </c>
      <c r="D361" s="1190" t="s">
        <v>703</v>
      </c>
      <c r="E361" s="1174" t="s">
        <v>1029</v>
      </c>
      <c r="F361" s="1389" t="s">
        <v>1030</v>
      </c>
      <c r="G361" s="1390">
        <v>44682</v>
      </c>
      <c r="H361" s="1390">
        <v>44742</v>
      </c>
      <c r="I361" s="1176">
        <v>3</v>
      </c>
      <c r="J361" s="1176" t="s">
        <v>689</v>
      </c>
      <c r="K361" s="1177" t="s">
        <v>676</v>
      </c>
      <c r="L361" s="1178" t="s">
        <v>983</v>
      </c>
      <c r="M361" s="1179">
        <f>125000000-95000000</f>
        <v>30000000</v>
      </c>
      <c r="N361" s="1386" t="s">
        <v>1026</v>
      </c>
      <c r="O361" s="1174" t="s">
        <v>773</v>
      </c>
      <c r="P361" s="1207" t="s">
        <v>680</v>
      </c>
      <c r="Q361" s="1163"/>
      <c r="R361" s="1269">
        <v>0</v>
      </c>
      <c r="S361" s="1357"/>
      <c r="T361" s="1357">
        <f>+Tabla16[[#This Row],[CDPS A 31 JULIO 2022]]-Tabla16[[#This Row],[CDP]]</f>
        <v>0</v>
      </c>
      <c r="U361" s="1357"/>
      <c r="V361" s="1357"/>
      <c r="W361" s="1357"/>
      <c r="X361" s="1207"/>
      <c r="Y361" s="1207"/>
      <c r="Z361" s="1207"/>
      <c r="AA361" s="1207"/>
      <c r="AB361" s="1207"/>
      <c r="AC361" s="1207"/>
      <c r="AD361" s="1207"/>
      <c r="AE361" s="1207"/>
      <c r="AF361" s="1207"/>
      <c r="AG361" s="1207"/>
      <c r="AH361" s="1207"/>
      <c r="AI361" s="1207"/>
      <c r="AJ361" s="1207"/>
      <c r="AK361" s="1207"/>
      <c r="AL361" s="1207"/>
      <c r="AM361" s="1207"/>
      <c r="AN361" s="1207"/>
      <c r="AO361" s="1207"/>
      <c r="AP361" s="1207"/>
      <c r="AQ361" s="1207"/>
      <c r="AR361" s="1207"/>
      <c r="AS361" s="1207"/>
      <c r="AT361" s="1207"/>
      <c r="AU361" s="1207"/>
      <c r="AV361" s="1207"/>
      <c r="AW361" s="1207"/>
      <c r="AX361" s="1207"/>
      <c r="AY361" s="1207"/>
      <c r="AZ361" s="1207"/>
      <c r="BA361" s="1207"/>
      <c r="BB361" s="1207"/>
      <c r="BC361" s="1207"/>
      <c r="BD361" s="1207"/>
      <c r="BE361" s="1207"/>
      <c r="BF361" s="1207"/>
      <c r="BG361" s="1207"/>
      <c r="BH361" s="1207"/>
      <c r="BI361" s="1207"/>
      <c r="BJ361" s="1207"/>
      <c r="BK361" s="1207"/>
      <c r="BL361" s="1207"/>
      <c r="BM361" s="1207"/>
      <c r="BN361" s="1207"/>
      <c r="BO361" s="1207"/>
      <c r="BP361" s="1207"/>
      <c r="BQ361" s="1207"/>
      <c r="BR361" s="1207"/>
      <c r="BS361" s="1207"/>
      <c r="BT361" s="1207"/>
      <c r="BU361" s="1207"/>
      <c r="BV361" s="1207"/>
      <c r="BW361" s="1207"/>
      <c r="BX361" s="1207"/>
      <c r="BY361" s="1207"/>
      <c r="BZ361" s="1207"/>
      <c r="CA361" s="1207"/>
      <c r="CB361" s="1207"/>
      <c r="CC361" s="1207"/>
      <c r="CD361" s="1207"/>
      <c r="CE361" s="1207"/>
      <c r="CF361" s="1207"/>
    </row>
    <row r="362" spans="1:84" ht="135" x14ac:dyDescent="0.2">
      <c r="A362" s="1355">
        <v>2022337</v>
      </c>
      <c r="B362" s="1172">
        <v>7658</v>
      </c>
      <c r="C362" s="1356" t="s">
        <v>681</v>
      </c>
      <c r="D362" s="1190" t="s">
        <v>703</v>
      </c>
      <c r="E362" s="1174">
        <v>80111600</v>
      </c>
      <c r="F362" s="1389" t="s">
        <v>1031</v>
      </c>
      <c r="G362" s="1390">
        <v>44562</v>
      </c>
      <c r="H362" s="1390">
        <v>44592</v>
      </c>
      <c r="I362" s="1176">
        <v>12</v>
      </c>
      <c r="J362" s="1176" t="s">
        <v>675</v>
      </c>
      <c r="K362" s="1177" t="s">
        <v>676</v>
      </c>
      <c r="L362" s="1178" t="s">
        <v>677</v>
      </c>
      <c r="M362" s="1179">
        <v>25980000</v>
      </c>
      <c r="N362" s="1386" t="s">
        <v>1026</v>
      </c>
      <c r="O362" s="1174" t="s">
        <v>773</v>
      </c>
      <c r="P362" s="1207" t="s">
        <v>680</v>
      </c>
      <c r="Q362" s="1163"/>
      <c r="R362" s="1357">
        <v>25200000</v>
      </c>
      <c r="S362" s="1357">
        <v>25200000</v>
      </c>
      <c r="T362" s="1357">
        <f>+Tabla16[[#This Row],[CDPS A 31 JULIO 2022]]-Tabla16[[#This Row],[CDP]]</f>
        <v>0</v>
      </c>
      <c r="U362" s="1357">
        <v>25200000</v>
      </c>
      <c r="V362" s="1357">
        <v>8400000</v>
      </c>
      <c r="W362" s="1357"/>
      <c r="X362" s="1207"/>
      <c r="Y362" s="1207"/>
      <c r="Z362" s="1207"/>
      <c r="AA362" s="1207"/>
      <c r="AB362" s="1207"/>
      <c r="AC362" s="1207"/>
      <c r="AD362" s="1207"/>
      <c r="AE362" s="1207"/>
      <c r="AF362" s="1207"/>
      <c r="AG362" s="1207"/>
      <c r="AH362" s="1207"/>
      <c r="AI362" s="1207"/>
      <c r="AJ362" s="1207"/>
      <c r="AK362" s="1207"/>
      <c r="AL362" s="1207"/>
      <c r="AM362" s="1207"/>
      <c r="AN362" s="1207"/>
      <c r="AO362" s="1207"/>
      <c r="AP362" s="1207"/>
      <c r="AQ362" s="1207"/>
      <c r="AR362" s="1207"/>
      <c r="AS362" s="1207"/>
      <c r="AT362" s="1207"/>
      <c r="AU362" s="1207"/>
      <c r="AV362" s="1207"/>
      <c r="AW362" s="1207"/>
      <c r="AX362" s="1207"/>
      <c r="AY362" s="1207"/>
      <c r="AZ362" s="1207"/>
      <c r="BA362" s="1207"/>
      <c r="BB362" s="1207"/>
      <c r="BC362" s="1207"/>
      <c r="BD362" s="1207"/>
      <c r="BE362" s="1207"/>
      <c r="BF362" s="1207"/>
      <c r="BG362" s="1207"/>
      <c r="BH362" s="1207"/>
      <c r="BI362" s="1207"/>
      <c r="BJ362" s="1207"/>
      <c r="BK362" s="1207"/>
      <c r="BL362" s="1207"/>
      <c r="BM362" s="1207"/>
      <c r="BN362" s="1207"/>
      <c r="BO362" s="1207"/>
      <c r="BP362" s="1207"/>
      <c r="BQ362" s="1207"/>
      <c r="BR362" s="1207"/>
      <c r="BS362" s="1207"/>
      <c r="BT362" s="1207"/>
      <c r="BU362" s="1207"/>
      <c r="BV362" s="1207"/>
      <c r="BW362" s="1207"/>
      <c r="BX362" s="1207"/>
      <c r="BY362" s="1207"/>
      <c r="BZ362" s="1207"/>
      <c r="CA362" s="1207"/>
      <c r="CB362" s="1207"/>
      <c r="CC362" s="1207"/>
      <c r="CD362" s="1207"/>
      <c r="CE362" s="1207"/>
      <c r="CF362" s="1207"/>
    </row>
    <row r="363" spans="1:84" ht="135" x14ac:dyDescent="0.2">
      <c r="A363" s="1355">
        <v>2022338</v>
      </c>
      <c r="B363" s="1172">
        <v>7658</v>
      </c>
      <c r="C363" s="1356" t="s">
        <v>681</v>
      </c>
      <c r="D363" s="1190" t="s">
        <v>703</v>
      </c>
      <c r="E363" s="1174">
        <v>80111600</v>
      </c>
      <c r="F363" s="1389" t="s">
        <v>1031</v>
      </c>
      <c r="G363" s="1390">
        <v>44562</v>
      </c>
      <c r="H363" s="1390">
        <v>44592</v>
      </c>
      <c r="I363" s="1176">
        <v>12</v>
      </c>
      <c r="J363" s="1176" t="s">
        <v>675</v>
      </c>
      <c r="K363" s="1177" t="s">
        <v>676</v>
      </c>
      <c r="L363" s="1178" t="s">
        <v>677</v>
      </c>
      <c r="M363" s="1179">
        <v>25980000</v>
      </c>
      <c r="N363" s="1386" t="s">
        <v>1026</v>
      </c>
      <c r="O363" s="1174" t="s">
        <v>773</v>
      </c>
      <c r="P363" s="1207" t="s">
        <v>680</v>
      </c>
      <c r="Q363" s="1163"/>
      <c r="R363" s="1357">
        <v>25200000</v>
      </c>
      <c r="S363" s="1357">
        <v>25200000</v>
      </c>
      <c r="T363" s="1357">
        <f>+Tabla16[[#This Row],[CDPS A 31 JULIO 2022]]-Tabla16[[#This Row],[CDP]]</f>
        <v>0</v>
      </c>
      <c r="U363" s="1357">
        <v>25200000</v>
      </c>
      <c r="V363" s="1357">
        <v>8400000</v>
      </c>
      <c r="W363" s="1357"/>
      <c r="X363" s="1207"/>
      <c r="Y363" s="1207"/>
      <c r="Z363" s="1207"/>
      <c r="AA363" s="1207"/>
      <c r="AB363" s="1207"/>
      <c r="AC363" s="1207"/>
      <c r="AD363" s="1207"/>
      <c r="AE363" s="1207"/>
      <c r="AF363" s="1207"/>
      <c r="AG363" s="1207"/>
      <c r="AH363" s="1207"/>
      <c r="AI363" s="1207"/>
      <c r="AJ363" s="1207"/>
      <c r="AK363" s="1207"/>
      <c r="AL363" s="1207"/>
      <c r="AM363" s="1207"/>
      <c r="AN363" s="1207"/>
      <c r="AO363" s="1207"/>
      <c r="AP363" s="1207"/>
      <c r="AQ363" s="1207"/>
      <c r="AR363" s="1207"/>
      <c r="AS363" s="1207"/>
      <c r="AT363" s="1207"/>
      <c r="AU363" s="1207"/>
      <c r="AV363" s="1207"/>
      <c r="AW363" s="1207"/>
      <c r="AX363" s="1207"/>
      <c r="AY363" s="1207"/>
      <c r="AZ363" s="1207"/>
      <c r="BA363" s="1207"/>
      <c r="BB363" s="1207"/>
      <c r="BC363" s="1207"/>
      <c r="BD363" s="1207"/>
      <c r="BE363" s="1207"/>
      <c r="BF363" s="1207"/>
      <c r="BG363" s="1207"/>
      <c r="BH363" s="1207"/>
      <c r="BI363" s="1207"/>
      <c r="BJ363" s="1207"/>
      <c r="BK363" s="1207"/>
      <c r="BL363" s="1207"/>
      <c r="BM363" s="1207"/>
      <c r="BN363" s="1207"/>
      <c r="BO363" s="1207"/>
      <c r="BP363" s="1207"/>
      <c r="BQ363" s="1207"/>
      <c r="BR363" s="1207"/>
      <c r="BS363" s="1207"/>
      <c r="BT363" s="1207"/>
      <c r="BU363" s="1207"/>
      <c r="BV363" s="1207"/>
      <c r="BW363" s="1207"/>
      <c r="BX363" s="1207"/>
      <c r="BY363" s="1207"/>
      <c r="BZ363" s="1207"/>
      <c r="CA363" s="1207"/>
      <c r="CB363" s="1207"/>
      <c r="CC363" s="1207"/>
      <c r="CD363" s="1207"/>
      <c r="CE363" s="1207"/>
      <c r="CF363" s="1207"/>
    </row>
    <row r="364" spans="1:84" ht="135" x14ac:dyDescent="0.2">
      <c r="A364" s="1355">
        <v>2022339</v>
      </c>
      <c r="B364" s="1172">
        <v>7658</v>
      </c>
      <c r="C364" s="1356" t="s">
        <v>681</v>
      </c>
      <c r="D364" s="1190" t="s">
        <v>703</v>
      </c>
      <c r="E364" s="1174">
        <v>80111600</v>
      </c>
      <c r="F364" s="1389" t="s">
        <v>1031</v>
      </c>
      <c r="G364" s="1390">
        <v>44562</v>
      </c>
      <c r="H364" s="1390">
        <v>44592</v>
      </c>
      <c r="I364" s="1176">
        <v>12</v>
      </c>
      <c r="J364" s="1176" t="s">
        <v>675</v>
      </c>
      <c r="K364" s="1177" t="s">
        <v>676</v>
      </c>
      <c r="L364" s="1178" t="s">
        <v>677</v>
      </c>
      <c r="M364" s="1179">
        <v>25980000</v>
      </c>
      <c r="N364" s="1386" t="s">
        <v>1026</v>
      </c>
      <c r="O364" s="1174" t="s">
        <v>773</v>
      </c>
      <c r="P364" s="1207" t="s">
        <v>680</v>
      </c>
      <c r="Q364" s="1163"/>
      <c r="R364" s="1357">
        <v>25200000</v>
      </c>
      <c r="S364" s="1357">
        <v>25200000</v>
      </c>
      <c r="T364" s="1357">
        <f>+Tabla16[[#This Row],[CDPS A 31 JULIO 2022]]-Tabla16[[#This Row],[CDP]]</f>
        <v>0</v>
      </c>
      <c r="U364" s="1357">
        <v>25200000</v>
      </c>
      <c r="V364" s="1357">
        <v>7980000</v>
      </c>
      <c r="W364" s="1357"/>
      <c r="X364" s="1207"/>
      <c r="Y364" s="1207"/>
      <c r="Z364" s="1207"/>
      <c r="AA364" s="1207"/>
      <c r="AB364" s="1207"/>
      <c r="AC364" s="1207"/>
      <c r="AD364" s="1207"/>
      <c r="AE364" s="1207"/>
      <c r="AF364" s="1207"/>
      <c r="AG364" s="1207"/>
      <c r="AH364" s="1207"/>
      <c r="AI364" s="1207"/>
      <c r="AJ364" s="1207"/>
      <c r="AK364" s="1207"/>
      <c r="AL364" s="1207"/>
      <c r="AM364" s="1207"/>
      <c r="AN364" s="1207"/>
      <c r="AO364" s="1207"/>
      <c r="AP364" s="1207"/>
      <c r="AQ364" s="1207"/>
      <c r="AR364" s="1207"/>
      <c r="AS364" s="1207"/>
      <c r="AT364" s="1207"/>
      <c r="AU364" s="1207"/>
      <c r="AV364" s="1207"/>
      <c r="AW364" s="1207"/>
      <c r="AX364" s="1207"/>
      <c r="AY364" s="1207"/>
      <c r="AZ364" s="1207"/>
      <c r="BA364" s="1207"/>
      <c r="BB364" s="1207"/>
      <c r="BC364" s="1207"/>
      <c r="BD364" s="1207"/>
      <c r="BE364" s="1207"/>
      <c r="BF364" s="1207"/>
      <c r="BG364" s="1207"/>
      <c r="BH364" s="1207"/>
      <c r="BI364" s="1207"/>
      <c r="BJ364" s="1207"/>
      <c r="BK364" s="1207"/>
      <c r="BL364" s="1207"/>
      <c r="BM364" s="1207"/>
      <c r="BN364" s="1207"/>
      <c r="BO364" s="1207"/>
      <c r="BP364" s="1207"/>
      <c r="BQ364" s="1207"/>
      <c r="BR364" s="1207"/>
      <c r="BS364" s="1207"/>
      <c r="BT364" s="1207"/>
      <c r="BU364" s="1207"/>
      <c r="BV364" s="1207"/>
      <c r="BW364" s="1207"/>
      <c r="BX364" s="1207"/>
      <c r="BY364" s="1207"/>
      <c r="BZ364" s="1207"/>
      <c r="CA364" s="1207"/>
      <c r="CB364" s="1207"/>
      <c r="CC364" s="1207"/>
      <c r="CD364" s="1207"/>
      <c r="CE364" s="1207"/>
      <c r="CF364" s="1207"/>
    </row>
    <row r="365" spans="1:84" ht="135" x14ac:dyDescent="0.2">
      <c r="A365" s="1355">
        <v>2022340</v>
      </c>
      <c r="B365" s="1172">
        <v>7658</v>
      </c>
      <c r="C365" s="1356" t="s">
        <v>681</v>
      </c>
      <c r="D365" s="1190" t="s">
        <v>703</v>
      </c>
      <c r="E365" s="1174">
        <v>80111600</v>
      </c>
      <c r="F365" s="1389" t="s">
        <v>1031</v>
      </c>
      <c r="G365" s="1390">
        <v>44562</v>
      </c>
      <c r="H365" s="1390">
        <v>44592</v>
      </c>
      <c r="I365" s="1176">
        <v>12</v>
      </c>
      <c r="J365" s="1176" t="s">
        <v>675</v>
      </c>
      <c r="K365" s="1177" t="s">
        <v>676</v>
      </c>
      <c r="L365" s="1178" t="s">
        <v>677</v>
      </c>
      <c r="M365" s="1179">
        <v>25980000</v>
      </c>
      <c r="N365" s="1386" t="s">
        <v>1026</v>
      </c>
      <c r="O365" s="1174" t="s">
        <v>773</v>
      </c>
      <c r="P365" s="1207" t="s">
        <v>680</v>
      </c>
      <c r="Q365" s="1163"/>
      <c r="R365" s="1357">
        <v>25200000</v>
      </c>
      <c r="S365" s="1357">
        <v>25200000</v>
      </c>
      <c r="T365" s="1357">
        <f>+Tabla16[[#This Row],[CDPS A 31 JULIO 2022]]-Tabla16[[#This Row],[CDP]]</f>
        <v>0</v>
      </c>
      <c r="U365" s="1357">
        <v>25200000</v>
      </c>
      <c r="V365" s="1357">
        <v>7770000</v>
      </c>
      <c r="W365" s="1357"/>
      <c r="X365" s="1207"/>
      <c r="Y365" s="1207"/>
      <c r="Z365" s="1207"/>
      <c r="AA365" s="1207"/>
      <c r="AB365" s="1207"/>
      <c r="AC365" s="1207"/>
      <c r="AD365" s="1207"/>
      <c r="AE365" s="1207"/>
      <c r="AF365" s="1207"/>
      <c r="AG365" s="1207"/>
      <c r="AH365" s="1207"/>
      <c r="AI365" s="1207"/>
      <c r="AJ365" s="1207"/>
      <c r="AK365" s="1207"/>
      <c r="AL365" s="1207"/>
      <c r="AM365" s="1207"/>
      <c r="AN365" s="1207"/>
      <c r="AO365" s="1207"/>
      <c r="AP365" s="1207"/>
      <c r="AQ365" s="1207"/>
      <c r="AR365" s="1207"/>
      <c r="AS365" s="1207"/>
      <c r="AT365" s="1207"/>
      <c r="AU365" s="1207"/>
      <c r="AV365" s="1207"/>
      <c r="AW365" s="1207"/>
      <c r="AX365" s="1207"/>
      <c r="AY365" s="1207"/>
      <c r="AZ365" s="1207"/>
      <c r="BA365" s="1207"/>
      <c r="BB365" s="1207"/>
      <c r="BC365" s="1207"/>
      <c r="BD365" s="1207"/>
      <c r="BE365" s="1207"/>
      <c r="BF365" s="1207"/>
      <c r="BG365" s="1207"/>
      <c r="BH365" s="1207"/>
      <c r="BI365" s="1207"/>
      <c r="BJ365" s="1207"/>
      <c r="BK365" s="1207"/>
      <c r="BL365" s="1207"/>
      <c r="BM365" s="1207"/>
      <c r="BN365" s="1207"/>
      <c r="BO365" s="1207"/>
      <c r="BP365" s="1207"/>
      <c r="BQ365" s="1207"/>
      <c r="BR365" s="1207"/>
      <c r="BS365" s="1207"/>
      <c r="BT365" s="1207"/>
      <c r="BU365" s="1207"/>
      <c r="BV365" s="1207"/>
      <c r="BW365" s="1207"/>
      <c r="BX365" s="1207"/>
      <c r="BY365" s="1207"/>
      <c r="BZ365" s="1207"/>
      <c r="CA365" s="1207"/>
      <c r="CB365" s="1207"/>
      <c r="CC365" s="1207"/>
      <c r="CD365" s="1207"/>
      <c r="CE365" s="1207"/>
      <c r="CF365" s="1207"/>
    </row>
    <row r="366" spans="1:84" ht="135" x14ac:dyDescent="0.2">
      <c r="A366" s="1355">
        <v>2022341</v>
      </c>
      <c r="B366" s="1172">
        <v>7658</v>
      </c>
      <c r="C366" s="1356" t="s">
        <v>681</v>
      </c>
      <c r="D366" s="1190" t="s">
        <v>703</v>
      </c>
      <c r="E366" s="1174">
        <v>80111600</v>
      </c>
      <c r="F366" s="1389" t="s">
        <v>1031</v>
      </c>
      <c r="G366" s="1390">
        <v>44562</v>
      </c>
      <c r="H366" s="1390">
        <v>44592</v>
      </c>
      <c r="I366" s="1176">
        <v>12</v>
      </c>
      <c r="J366" s="1176" t="s">
        <v>675</v>
      </c>
      <c r="K366" s="1177" t="s">
        <v>676</v>
      </c>
      <c r="L366" s="1178" t="s">
        <v>677</v>
      </c>
      <c r="M366" s="1179">
        <v>25980000</v>
      </c>
      <c r="N366" s="1386" t="s">
        <v>1026</v>
      </c>
      <c r="O366" s="1174" t="s">
        <v>773</v>
      </c>
      <c r="P366" s="1207" t="s">
        <v>680</v>
      </c>
      <c r="Q366" s="1163"/>
      <c r="R366" s="1357">
        <v>25200000</v>
      </c>
      <c r="S366" s="1357">
        <v>25200000</v>
      </c>
      <c r="T366" s="1357">
        <f>+Tabla16[[#This Row],[CDPS A 31 JULIO 2022]]-Tabla16[[#This Row],[CDP]]</f>
        <v>0</v>
      </c>
      <c r="U366" s="1357">
        <v>25200000</v>
      </c>
      <c r="V366" s="1357">
        <v>8400000</v>
      </c>
      <c r="W366" s="1357"/>
      <c r="X366" s="1207"/>
      <c r="Y366" s="1207"/>
      <c r="Z366" s="1207"/>
      <c r="AA366" s="1207"/>
      <c r="AB366" s="1207"/>
      <c r="AC366" s="1207"/>
      <c r="AD366" s="1207"/>
      <c r="AE366" s="1207"/>
      <c r="AF366" s="1207"/>
      <c r="AG366" s="1207"/>
      <c r="AH366" s="1207"/>
      <c r="AI366" s="1207"/>
      <c r="AJ366" s="1207"/>
      <c r="AK366" s="1207"/>
      <c r="AL366" s="1207"/>
      <c r="AM366" s="1207"/>
      <c r="AN366" s="1207"/>
      <c r="AO366" s="1207"/>
      <c r="AP366" s="1207"/>
      <c r="AQ366" s="1207"/>
      <c r="AR366" s="1207"/>
      <c r="AS366" s="1207"/>
      <c r="AT366" s="1207"/>
      <c r="AU366" s="1207"/>
      <c r="AV366" s="1207"/>
      <c r="AW366" s="1207"/>
      <c r="AX366" s="1207"/>
      <c r="AY366" s="1207"/>
      <c r="AZ366" s="1207"/>
      <c r="BA366" s="1207"/>
      <c r="BB366" s="1207"/>
      <c r="BC366" s="1207"/>
      <c r="BD366" s="1207"/>
      <c r="BE366" s="1207"/>
      <c r="BF366" s="1207"/>
      <c r="BG366" s="1207"/>
      <c r="BH366" s="1207"/>
      <c r="BI366" s="1207"/>
      <c r="BJ366" s="1207"/>
      <c r="BK366" s="1207"/>
      <c r="BL366" s="1207"/>
      <c r="BM366" s="1207"/>
      <c r="BN366" s="1207"/>
      <c r="BO366" s="1207"/>
      <c r="BP366" s="1207"/>
      <c r="BQ366" s="1207"/>
      <c r="BR366" s="1207"/>
      <c r="BS366" s="1207"/>
      <c r="BT366" s="1207"/>
      <c r="BU366" s="1207"/>
      <c r="BV366" s="1207"/>
      <c r="BW366" s="1207"/>
      <c r="BX366" s="1207"/>
      <c r="BY366" s="1207"/>
      <c r="BZ366" s="1207"/>
      <c r="CA366" s="1207"/>
      <c r="CB366" s="1207"/>
      <c r="CC366" s="1207"/>
      <c r="CD366" s="1207"/>
      <c r="CE366" s="1207"/>
      <c r="CF366" s="1207"/>
    </row>
    <row r="367" spans="1:84" ht="135" x14ac:dyDescent="0.2">
      <c r="A367" s="1355">
        <v>2022342</v>
      </c>
      <c r="B367" s="1172">
        <v>7658</v>
      </c>
      <c r="C367" s="1356" t="s">
        <v>681</v>
      </c>
      <c r="D367" s="1190" t="s">
        <v>703</v>
      </c>
      <c r="E367" s="1174">
        <v>80111600</v>
      </c>
      <c r="F367" s="1389" t="s">
        <v>1031</v>
      </c>
      <c r="G367" s="1390">
        <v>44562</v>
      </c>
      <c r="H367" s="1390">
        <v>44592</v>
      </c>
      <c r="I367" s="1176">
        <v>12</v>
      </c>
      <c r="J367" s="1176" t="s">
        <v>675</v>
      </c>
      <c r="K367" s="1177" t="s">
        <v>676</v>
      </c>
      <c r="L367" s="1178" t="s">
        <v>677</v>
      </c>
      <c r="M367" s="1179">
        <v>25980000</v>
      </c>
      <c r="N367" s="1386" t="s">
        <v>1026</v>
      </c>
      <c r="O367" s="1174" t="s">
        <v>773</v>
      </c>
      <c r="P367" s="1207" t="s">
        <v>680</v>
      </c>
      <c r="Q367" s="1163"/>
      <c r="R367" s="1357">
        <v>25200000</v>
      </c>
      <c r="S367" s="1357">
        <v>25200000</v>
      </c>
      <c r="T367" s="1357">
        <f>+Tabla16[[#This Row],[CDPS A 31 JULIO 2022]]-Tabla16[[#This Row],[CDP]]</f>
        <v>0</v>
      </c>
      <c r="U367" s="1357">
        <v>25200000</v>
      </c>
      <c r="V367" s="1357">
        <v>8750000</v>
      </c>
      <c r="W367" s="1357"/>
      <c r="X367" s="1207"/>
      <c r="Y367" s="1207"/>
      <c r="Z367" s="1207"/>
      <c r="AA367" s="1207"/>
      <c r="AB367" s="1207"/>
      <c r="AC367" s="1207"/>
      <c r="AD367" s="1207"/>
      <c r="AE367" s="1207"/>
      <c r="AF367" s="1207"/>
      <c r="AG367" s="1207"/>
      <c r="AH367" s="1207"/>
      <c r="AI367" s="1207"/>
      <c r="AJ367" s="1207"/>
      <c r="AK367" s="1207"/>
      <c r="AL367" s="1207"/>
      <c r="AM367" s="1207"/>
      <c r="AN367" s="1207"/>
      <c r="AO367" s="1207"/>
      <c r="AP367" s="1207"/>
      <c r="AQ367" s="1207"/>
      <c r="AR367" s="1207"/>
      <c r="AS367" s="1207"/>
      <c r="AT367" s="1207"/>
      <c r="AU367" s="1207"/>
      <c r="AV367" s="1207"/>
      <c r="AW367" s="1207"/>
      <c r="AX367" s="1207"/>
      <c r="AY367" s="1207"/>
      <c r="AZ367" s="1207"/>
      <c r="BA367" s="1207"/>
      <c r="BB367" s="1207"/>
      <c r="BC367" s="1207"/>
      <c r="BD367" s="1207"/>
      <c r="BE367" s="1207"/>
      <c r="BF367" s="1207"/>
      <c r="BG367" s="1207"/>
      <c r="BH367" s="1207"/>
      <c r="BI367" s="1207"/>
      <c r="BJ367" s="1207"/>
      <c r="BK367" s="1207"/>
      <c r="BL367" s="1207"/>
      <c r="BM367" s="1207"/>
      <c r="BN367" s="1207"/>
      <c r="BO367" s="1207"/>
      <c r="BP367" s="1207"/>
      <c r="BQ367" s="1207"/>
      <c r="BR367" s="1207"/>
      <c r="BS367" s="1207"/>
      <c r="BT367" s="1207"/>
      <c r="BU367" s="1207"/>
      <c r="BV367" s="1207"/>
      <c r="BW367" s="1207"/>
      <c r="BX367" s="1207"/>
      <c r="BY367" s="1207"/>
      <c r="BZ367" s="1207"/>
      <c r="CA367" s="1207"/>
      <c r="CB367" s="1207"/>
      <c r="CC367" s="1207"/>
      <c r="CD367" s="1207"/>
      <c r="CE367" s="1207"/>
      <c r="CF367" s="1207"/>
    </row>
    <row r="368" spans="1:84" ht="135" x14ac:dyDescent="0.2">
      <c r="A368" s="1355">
        <v>2022343</v>
      </c>
      <c r="B368" s="1172">
        <v>7658</v>
      </c>
      <c r="C368" s="1356" t="s">
        <v>681</v>
      </c>
      <c r="D368" s="1190" t="s">
        <v>703</v>
      </c>
      <c r="E368" s="1174">
        <v>80111600</v>
      </c>
      <c r="F368" s="1389" t="s">
        <v>1031</v>
      </c>
      <c r="G368" s="1390">
        <v>44562</v>
      </c>
      <c r="H368" s="1390">
        <v>44592</v>
      </c>
      <c r="I368" s="1176">
        <v>12</v>
      </c>
      <c r="J368" s="1176" t="s">
        <v>675</v>
      </c>
      <c r="K368" s="1177" t="s">
        <v>676</v>
      </c>
      <c r="L368" s="1178" t="s">
        <v>677</v>
      </c>
      <c r="M368" s="1179">
        <v>25980000</v>
      </c>
      <c r="N368" s="1386" t="s">
        <v>1026</v>
      </c>
      <c r="O368" s="1174" t="s">
        <v>773</v>
      </c>
      <c r="P368" s="1207" t="s">
        <v>680</v>
      </c>
      <c r="Q368" s="1163"/>
      <c r="R368" s="1357">
        <v>25200000</v>
      </c>
      <c r="S368" s="1357">
        <v>25200000</v>
      </c>
      <c r="T368" s="1357">
        <f>+Tabla16[[#This Row],[CDPS A 31 JULIO 2022]]-Tabla16[[#This Row],[CDP]]</f>
        <v>0</v>
      </c>
      <c r="U368" s="1357">
        <v>25200000</v>
      </c>
      <c r="V368" s="1357">
        <v>8400000</v>
      </c>
      <c r="W368" s="1357"/>
      <c r="X368" s="1207"/>
      <c r="Y368" s="1207"/>
      <c r="Z368" s="1207"/>
      <c r="AA368" s="1207"/>
      <c r="AB368" s="1207"/>
      <c r="AC368" s="1207"/>
      <c r="AD368" s="1207"/>
      <c r="AE368" s="1207"/>
      <c r="AF368" s="1207"/>
      <c r="AG368" s="1207"/>
      <c r="AH368" s="1207"/>
      <c r="AI368" s="1207"/>
      <c r="AJ368" s="1207"/>
      <c r="AK368" s="1207"/>
      <c r="AL368" s="1207"/>
      <c r="AM368" s="1207"/>
      <c r="AN368" s="1207"/>
      <c r="AO368" s="1207"/>
      <c r="AP368" s="1207"/>
      <c r="AQ368" s="1207"/>
      <c r="AR368" s="1207"/>
      <c r="AS368" s="1207"/>
      <c r="AT368" s="1207"/>
      <c r="AU368" s="1207"/>
      <c r="AV368" s="1207"/>
      <c r="AW368" s="1207"/>
      <c r="AX368" s="1207"/>
      <c r="AY368" s="1207"/>
      <c r="AZ368" s="1207"/>
      <c r="BA368" s="1207"/>
      <c r="BB368" s="1207"/>
      <c r="BC368" s="1207"/>
      <c r="BD368" s="1207"/>
      <c r="BE368" s="1207"/>
      <c r="BF368" s="1207"/>
      <c r="BG368" s="1207"/>
      <c r="BH368" s="1207"/>
      <c r="BI368" s="1207"/>
      <c r="BJ368" s="1207"/>
      <c r="BK368" s="1207"/>
      <c r="BL368" s="1207"/>
      <c r="BM368" s="1207"/>
      <c r="BN368" s="1207"/>
      <c r="BO368" s="1207"/>
      <c r="BP368" s="1207"/>
      <c r="BQ368" s="1207"/>
      <c r="BR368" s="1207"/>
      <c r="BS368" s="1207"/>
      <c r="BT368" s="1207"/>
      <c r="BU368" s="1207"/>
      <c r="BV368" s="1207"/>
      <c r="BW368" s="1207"/>
      <c r="BX368" s="1207"/>
      <c r="BY368" s="1207"/>
      <c r="BZ368" s="1207"/>
      <c r="CA368" s="1207"/>
      <c r="CB368" s="1207"/>
      <c r="CC368" s="1207"/>
      <c r="CD368" s="1207"/>
      <c r="CE368" s="1207"/>
      <c r="CF368" s="1207"/>
    </row>
    <row r="369" spans="1:84" ht="135" x14ac:dyDescent="0.2">
      <c r="A369" s="1355">
        <v>2022344</v>
      </c>
      <c r="B369" s="1172">
        <v>7658</v>
      </c>
      <c r="C369" s="1356" t="s">
        <v>681</v>
      </c>
      <c r="D369" s="1190" t="s">
        <v>703</v>
      </c>
      <c r="E369" s="1174">
        <v>80111600</v>
      </c>
      <c r="F369" s="1389" t="s">
        <v>1031</v>
      </c>
      <c r="G369" s="1390">
        <v>44562</v>
      </c>
      <c r="H369" s="1390">
        <v>44592</v>
      </c>
      <c r="I369" s="1176">
        <v>12</v>
      </c>
      <c r="J369" s="1176" t="s">
        <v>675</v>
      </c>
      <c r="K369" s="1177" t="s">
        <v>676</v>
      </c>
      <c r="L369" s="1178" t="s">
        <v>677</v>
      </c>
      <c r="M369" s="1179">
        <v>25980000</v>
      </c>
      <c r="N369" s="1386" t="s">
        <v>1026</v>
      </c>
      <c r="O369" s="1174" t="s">
        <v>773</v>
      </c>
      <c r="P369" s="1207" t="s">
        <v>680</v>
      </c>
      <c r="Q369" s="1163"/>
      <c r="R369" s="1357">
        <v>25200000</v>
      </c>
      <c r="S369" s="1357">
        <v>25200000</v>
      </c>
      <c r="T369" s="1357">
        <f>+Tabla16[[#This Row],[CDPS A 31 JULIO 2022]]-Tabla16[[#This Row],[CDP]]</f>
        <v>0</v>
      </c>
      <c r="U369" s="1357">
        <v>25200000</v>
      </c>
      <c r="V369" s="1357">
        <v>7980000</v>
      </c>
      <c r="W369" s="1357"/>
      <c r="X369" s="1207"/>
      <c r="Y369" s="1207"/>
      <c r="Z369" s="1207"/>
      <c r="AA369" s="1207"/>
      <c r="AB369" s="1207"/>
      <c r="AC369" s="1207"/>
      <c r="AD369" s="1207"/>
      <c r="AE369" s="1207"/>
      <c r="AF369" s="1207"/>
      <c r="AG369" s="1207"/>
      <c r="AH369" s="1207"/>
      <c r="AI369" s="1207"/>
      <c r="AJ369" s="1207"/>
      <c r="AK369" s="1207"/>
      <c r="AL369" s="1207"/>
      <c r="AM369" s="1207"/>
      <c r="AN369" s="1207"/>
      <c r="AO369" s="1207"/>
      <c r="AP369" s="1207"/>
      <c r="AQ369" s="1207"/>
      <c r="AR369" s="1207"/>
      <c r="AS369" s="1207"/>
      <c r="AT369" s="1207"/>
      <c r="AU369" s="1207"/>
      <c r="AV369" s="1207"/>
      <c r="AW369" s="1207"/>
      <c r="AX369" s="1207"/>
      <c r="AY369" s="1207"/>
      <c r="AZ369" s="1207"/>
      <c r="BA369" s="1207"/>
      <c r="BB369" s="1207"/>
      <c r="BC369" s="1207"/>
      <c r="BD369" s="1207"/>
      <c r="BE369" s="1207"/>
      <c r="BF369" s="1207"/>
      <c r="BG369" s="1207"/>
      <c r="BH369" s="1207"/>
      <c r="BI369" s="1207"/>
      <c r="BJ369" s="1207"/>
      <c r="BK369" s="1207"/>
      <c r="BL369" s="1207"/>
      <c r="BM369" s="1207"/>
      <c r="BN369" s="1207"/>
      <c r="BO369" s="1207"/>
      <c r="BP369" s="1207"/>
      <c r="BQ369" s="1207"/>
      <c r="BR369" s="1207"/>
      <c r="BS369" s="1207"/>
      <c r="BT369" s="1207"/>
      <c r="BU369" s="1207"/>
      <c r="BV369" s="1207"/>
      <c r="BW369" s="1207"/>
      <c r="BX369" s="1207"/>
      <c r="BY369" s="1207"/>
      <c r="BZ369" s="1207"/>
      <c r="CA369" s="1207"/>
      <c r="CB369" s="1207"/>
      <c r="CC369" s="1207"/>
      <c r="CD369" s="1207"/>
      <c r="CE369" s="1207"/>
      <c r="CF369" s="1207"/>
    </row>
    <row r="370" spans="1:84" ht="135" x14ac:dyDescent="0.2">
      <c r="A370" s="1355">
        <v>2022345</v>
      </c>
      <c r="B370" s="1172">
        <v>7658</v>
      </c>
      <c r="C370" s="1356" t="s">
        <v>681</v>
      </c>
      <c r="D370" s="1190" t="s">
        <v>703</v>
      </c>
      <c r="E370" s="1174">
        <v>80111600</v>
      </c>
      <c r="F370" s="1389" t="s">
        <v>1031</v>
      </c>
      <c r="G370" s="1390">
        <v>44562</v>
      </c>
      <c r="H370" s="1390">
        <v>44592</v>
      </c>
      <c r="I370" s="1176">
        <v>12</v>
      </c>
      <c r="J370" s="1176" t="s">
        <v>675</v>
      </c>
      <c r="K370" s="1177" t="s">
        <v>676</v>
      </c>
      <c r="L370" s="1178" t="s">
        <v>677</v>
      </c>
      <c r="M370" s="1179">
        <v>25980000</v>
      </c>
      <c r="N370" s="1386" t="s">
        <v>1026</v>
      </c>
      <c r="O370" s="1174" t="s">
        <v>773</v>
      </c>
      <c r="P370" s="1207" t="s">
        <v>680</v>
      </c>
      <c r="Q370" s="1163"/>
      <c r="R370" s="1357">
        <v>25200000</v>
      </c>
      <c r="S370" s="1357">
        <v>25200000</v>
      </c>
      <c r="T370" s="1357">
        <f>+Tabla16[[#This Row],[CDPS A 31 JULIO 2022]]-Tabla16[[#This Row],[CDP]]</f>
        <v>0</v>
      </c>
      <c r="U370" s="1357">
        <v>25200000</v>
      </c>
      <c r="V370" s="1357">
        <v>8400000</v>
      </c>
      <c r="W370" s="1357"/>
      <c r="X370" s="1207"/>
      <c r="Y370" s="1207"/>
      <c r="Z370" s="1207"/>
      <c r="AA370" s="1207"/>
      <c r="AB370" s="1207"/>
      <c r="AC370" s="1207"/>
      <c r="AD370" s="1207"/>
      <c r="AE370" s="1207"/>
      <c r="AF370" s="1207"/>
      <c r="AG370" s="1207"/>
      <c r="AH370" s="1207"/>
      <c r="AI370" s="1207"/>
      <c r="AJ370" s="1207"/>
      <c r="AK370" s="1207"/>
      <c r="AL370" s="1207"/>
      <c r="AM370" s="1207"/>
      <c r="AN370" s="1207"/>
      <c r="AO370" s="1207"/>
      <c r="AP370" s="1207"/>
      <c r="AQ370" s="1207"/>
      <c r="AR370" s="1207"/>
      <c r="AS370" s="1207"/>
      <c r="AT370" s="1207"/>
      <c r="AU370" s="1207"/>
      <c r="AV370" s="1207"/>
      <c r="AW370" s="1207"/>
      <c r="AX370" s="1207"/>
      <c r="AY370" s="1207"/>
      <c r="AZ370" s="1207"/>
      <c r="BA370" s="1207"/>
      <c r="BB370" s="1207"/>
      <c r="BC370" s="1207"/>
      <c r="BD370" s="1207"/>
      <c r="BE370" s="1207"/>
      <c r="BF370" s="1207"/>
      <c r="BG370" s="1207"/>
      <c r="BH370" s="1207"/>
      <c r="BI370" s="1207"/>
      <c r="BJ370" s="1207"/>
      <c r="BK370" s="1207"/>
      <c r="BL370" s="1207"/>
      <c r="BM370" s="1207"/>
      <c r="BN370" s="1207"/>
      <c r="BO370" s="1207"/>
      <c r="BP370" s="1207"/>
      <c r="BQ370" s="1207"/>
      <c r="BR370" s="1207"/>
      <c r="BS370" s="1207"/>
      <c r="BT370" s="1207"/>
      <c r="BU370" s="1207"/>
      <c r="BV370" s="1207"/>
      <c r="BW370" s="1207"/>
      <c r="BX370" s="1207"/>
      <c r="BY370" s="1207"/>
      <c r="BZ370" s="1207"/>
      <c r="CA370" s="1207"/>
      <c r="CB370" s="1207"/>
      <c r="CC370" s="1207"/>
      <c r="CD370" s="1207"/>
      <c r="CE370" s="1207"/>
      <c r="CF370" s="1207"/>
    </row>
    <row r="371" spans="1:84" ht="135" x14ac:dyDescent="0.2">
      <c r="A371" s="1355">
        <v>2022346</v>
      </c>
      <c r="B371" s="1172">
        <v>7658</v>
      </c>
      <c r="C371" s="1356" t="s">
        <v>681</v>
      </c>
      <c r="D371" s="1190" t="s">
        <v>703</v>
      </c>
      <c r="E371" s="1174">
        <v>80111600</v>
      </c>
      <c r="F371" s="1389" t="s">
        <v>1031</v>
      </c>
      <c r="G371" s="1390">
        <v>44562</v>
      </c>
      <c r="H371" s="1390">
        <v>44592</v>
      </c>
      <c r="I371" s="1176">
        <v>12</v>
      </c>
      <c r="J371" s="1176" t="s">
        <v>675</v>
      </c>
      <c r="K371" s="1177" t="s">
        <v>676</v>
      </c>
      <c r="L371" s="1178" t="s">
        <v>677</v>
      </c>
      <c r="M371" s="1179">
        <v>25980000</v>
      </c>
      <c r="N371" s="1386" t="s">
        <v>1026</v>
      </c>
      <c r="O371" s="1174" t="s">
        <v>773</v>
      </c>
      <c r="P371" s="1207" t="s">
        <v>680</v>
      </c>
      <c r="Q371" s="1163"/>
      <c r="R371" s="1357">
        <v>25200000</v>
      </c>
      <c r="S371" s="1357">
        <v>25200000</v>
      </c>
      <c r="T371" s="1357">
        <f>+Tabla16[[#This Row],[CDPS A 31 JULIO 2022]]-Tabla16[[#This Row],[CDP]]</f>
        <v>0</v>
      </c>
      <c r="U371" s="1357">
        <v>25200000</v>
      </c>
      <c r="V371" s="1357">
        <v>8400000</v>
      </c>
      <c r="W371" s="1357"/>
      <c r="X371" s="1207"/>
      <c r="Y371" s="1207"/>
      <c r="Z371" s="1207"/>
      <c r="AA371" s="1207"/>
      <c r="AB371" s="1207"/>
      <c r="AC371" s="1207"/>
      <c r="AD371" s="1207"/>
      <c r="AE371" s="1207"/>
      <c r="AF371" s="1207"/>
      <c r="AG371" s="1207"/>
      <c r="AH371" s="1207"/>
      <c r="AI371" s="1207"/>
      <c r="AJ371" s="1207"/>
      <c r="AK371" s="1207"/>
      <c r="AL371" s="1207"/>
      <c r="AM371" s="1207"/>
      <c r="AN371" s="1207"/>
      <c r="AO371" s="1207"/>
      <c r="AP371" s="1207"/>
      <c r="AQ371" s="1207"/>
      <c r="AR371" s="1207"/>
      <c r="AS371" s="1207"/>
      <c r="AT371" s="1207"/>
      <c r="AU371" s="1207"/>
      <c r="AV371" s="1207"/>
      <c r="AW371" s="1207"/>
      <c r="AX371" s="1207"/>
      <c r="AY371" s="1207"/>
      <c r="AZ371" s="1207"/>
      <c r="BA371" s="1207"/>
      <c r="BB371" s="1207"/>
      <c r="BC371" s="1207"/>
      <c r="BD371" s="1207"/>
      <c r="BE371" s="1207"/>
      <c r="BF371" s="1207"/>
      <c r="BG371" s="1207"/>
      <c r="BH371" s="1207"/>
      <c r="BI371" s="1207"/>
      <c r="BJ371" s="1207"/>
      <c r="BK371" s="1207"/>
      <c r="BL371" s="1207"/>
      <c r="BM371" s="1207"/>
      <c r="BN371" s="1207"/>
      <c r="BO371" s="1207"/>
      <c r="BP371" s="1207"/>
      <c r="BQ371" s="1207"/>
      <c r="BR371" s="1207"/>
      <c r="BS371" s="1207"/>
      <c r="BT371" s="1207"/>
      <c r="BU371" s="1207"/>
      <c r="BV371" s="1207"/>
      <c r="BW371" s="1207"/>
      <c r="BX371" s="1207"/>
      <c r="BY371" s="1207"/>
      <c r="BZ371" s="1207"/>
      <c r="CA371" s="1207"/>
      <c r="CB371" s="1207"/>
      <c r="CC371" s="1207"/>
      <c r="CD371" s="1207"/>
      <c r="CE371" s="1207"/>
      <c r="CF371" s="1207"/>
    </row>
    <row r="372" spans="1:84" ht="135" x14ac:dyDescent="0.2">
      <c r="A372" s="1355">
        <v>2022347</v>
      </c>
      <c r="B372" s="1172">
        <v>7658</v>
      </c>
      <c r="C372" s="1356" t="s">
        <v>681</v>
      </c>
      <c r="D372" s="1190" t="s">
        <v>703</v>
      </c>
      <c r="E372" s="1174">
        <v>80111600</v>
      </c>
      <c r="F372" s="1389" t="s">
        <v>1031</v>
      </c>
      <c r="G372" s="1390">
        <v>44562</v>
      </c>
      <c r="H372" s="1390">
        <v>44592</v>
      </c>
      <c r="I372" s="1176">
        <v>12</v>
      </c>
      <c r="J372" s="1176" t="s">
        <v>675</v>
      </c>
      <c r="K372" s="1177" t="s">
        <v>676</v>
      </c>
      <c r="L372" s="1178" t="s">
        <v>677</v>
      </c>
      <c r="M372" s="1179">
        <f>25980000-25980000</f>
        <v>0</v>
      </c>
      <c r="N372" s="1386" t="s">
        <v>1026</v>
      </c>
      <c r="O372" s="1174" t="s">
        <v>773</v>
      </c>
      <c r="P372" s="1207" t="s">
        <v>680</v>
      </c>
      <c r="Q372" s="1163"/>
      <c r="R372" s="1357">
        <v>25200000</v>
      </c>
      <c r="S372" s="1357">
        <v>25200000</v>
      </c>
      <c r="T372" s="1357">
        <f>+Tabla16[[#This Row],[CDPS A 31 JULIO 2022]]-Tabla16[[#This Row],[CDP]]</f>
        <v>0</v>
      </c>
      <c r="U372" s="1357">
        <v>25200000</v>
      </c>
      <c r="V372" s="1357">
        <v>7980000</v>
      </c>
      <c r="W372" s="1357"/>
      <c r="X372" s="1207"/>
      <c r="Y372" s="1207"/>
      <c r="Z372" s="1207"/>
      <c r="AA372" s="1207"/>
      <c r="AB372" s="1207"/>
      <c r="AC372" s="1207"/>
      <c r="AD372" s="1207"/>
      <c r="AE372" s="1207"/>
      <c r="AF372" s="1207"/>
      <c r="AG372" s="1207"/>
      <c r="AH372" s="1207"/>
      <c r="AI372" s="1207"/>
      <c r="AJ372" s="1207"/>
      <c r="AK372" s="1207"/>
      <c r="AL372" s="1207"/>
      <c r="AM372" s="1207"/>
      <c r="AN372" s="1207"/>
      <c r="AO372" s="1207"/>
      <c r="AP372" s="1207"/>
      <c r="AQ372" s="1207"/>
      <c r="AR372" s="1207"/>
      <c r="AS372" s="1207"/>
      <c r="AT372" s="1207"/>
      <c r="AU372" s="1207"/>
      <c r="AV372" s="1207"/>
      <c r="AW372" s="1207"/>
      <c r="AX372" s="1207"/>
      <c r="AY372" s="1207"/>
      <c r="AZ372" s="1207"/>
      <c r="BA372" s="1207"/>
      <c r="BB372" s="1207"/>
      <c r="BC372" s="1207"/>
      <c r="BD372" s="1207"/>
      <c r="BE372" s="1207"/>
      <c r="BF372" s="1207"/>
      <c r="BG372" s="1207"/>
      <c r="BH372" s="1207"/>
      <c r="BI372" s="1207"/>
      <c r="BJ372" s="1207"/>
      <c r="BK372" s="1207"/>
      <c r="BL372" s="1207"/>
      <c r="BM372" s="1207"/>
      <c r="BN372" s="1207"/>
      <c r="BO372" s="1207"/>
      <c r="BP372" s="1207"/>
      <c r="BQ372" s="1207"/>
      <c r="BR372" s="1207"/>
      <c r="BS372" s="1207"/>
      <c r="BT372" s="1207"/>
      <c r="BU372" s="1207"/>
      <c r="BV372" s="1207"/>
      <c r="BW372" s="1207"/>
      <c r="BX372" s="1207"/>
      <c r="BY372" s="1207"/>
      <c r="BZ372" s="1207"/>
      <c r="CA372" s="1207"/>
      <c r="CB372" s="1207"/>
      <c r="CC372" s="1207"/>
      <c r="CD372" s="1207"/>
      <c r="CE372" s="1207"/>
      <c r="CF372" s="1207"/>
    </row>
    <row r="373" spans="1:84" ht="135" x14ac:dyDescent="0.2">
      <c r="A373" s="1355">
        <v>2022348</v>
      </c>
      <c r="B373" s="1172">
        <v>7658</v>
      </c>
      <c r="C373" s="1356" t="s">
        <v>681</v>
      </c>
      <c r="D373" s="1190" t="s">
        <v>703</v>
      </c>
      <c r="E373" s="1174">
        <v>80111600</v>
      </c>
      <c r="F373" s="1389" t="s">
        <v>1031</v>
      </c>
      <c r="G373" s="1390">
        <v>44562</v>
      </c>
      <c r="H373" s="1390">
        <v>44592</v>
      </c>
      <c r="I373" s="1176">
        <v>12</v>
      </c>
      <c r="J373" s="1176" t="s">
        <v>675</v>
      </c>
      <c r="K373" s="1177" t="s">
        <v>676</v>
      </c>
      <c r="L373" s="1178" t="s">
        <v>677</v>
      </c>
      <c r="M373" s="1179">
        <v>25980000</v>
      </c>
      <c r="N373" s="1386" t="s">
        <v>1026</v>
      </c>
      <c r="O373" s="1174" t="s">
        <v>773</v>
      </c>
      <c r="P373" s="1207" t="s">
        <v>680</v>
      </c>
      <c r="Q373" s="1163"/>
      <c r="R373" s="1357">
        <v>25200000</v>
      </c>
      <c r="S373" s="1357">
        <v>25200000</v>
      </c>
      <c r="T373" s="1357">
        <f>+Tabla16[[#This Row],[CDPS A 31 JULIO 2022]]-Tabla16[[#This Row],[CDP]]</f>
        <v>0</v>
      </c>
      <c r="U373" s="1357">
        <v>25200000</v>
      </c>
      <c r="V373" s="1357">
        <v>7980000</v>
      </c>
      <c r="W373" s="1357"/>
      <c r="X373" s="1207"/>
      <c r="Y373" s="1207"/>
      <c r="Z373" s="1207"/>
      <c r="AA373" s="1207"/>
      <c r="AB373" s="1207"/>
      <c r="AC373" s="1207"/>
      <c r="AD373" s="1207"/>
      <c r="AE373" s="1207"/>
      <c r="AF373" s="1207"/>
      <c r="AG373" s="1207"/>
      <c r="AH373" s="1207"/>
      <c r="AI373" s="1207"/>
      <c r="AJ373" s="1207"/>
      <c r="AK373" s="1207"/>
      <c r="AL373" s="1207"/>
      <c r="AM373" s="1207"/>
      <c r="AN373" s="1207"/>
      <c r="AO373" s="1207"/>
      <c r="AP373" s="1207"/>
      <c r="AQ373" s="1207"/>
      <c r="AR373" s="1207"/>
      <c r="AS373" s="1207"/>
      <c r="AT373" s="1207"/>
      <c r="AU373" s="1207"/>
      <c r="AV373" s="1207"/>
      <c r="AW373" s="1207"/>
      <c r="AX373" s="1207"/>
      <c r="AY373" s="1207"/>
      <c r="AZ373" s="1207"/>
      <c r="BA373" s="1207"/>
      <c r="BB373" s="1207"/>
      <c r="BC373" s="1207"/>
      <c r="BD373" s="1207"/>
      <c r="BE373" s="1207"/>
      <c r="BF373" s="1207"/>
      <c r="BG373" s="1207"/>
      <c r="BH373" s="1207"/>
      <c r="BI373" s="1207"/>
      <c r="BJ373" s="1207"/>
      <c r="BK373" s="1207"/>
      <c r="BL373" s="1207"/>
      <c r="BM373" s="1207"/>
      <c r="BN373" s="1207"/>
      <c r="BO373" s="1207"/>
      <c r="BP373" s="1207"/>
      <c r="BQ373" s="1207"/>
      <c r="BR373" s="1207"/>
      <c r="BS373" s="1207"/>
      <c r="BT373" s="1207"/>
      <c r="BU373" s="1207"/>
      <c r="BV373" s="1207"/>
      <c r="BW373" s="1207"/>
      <c r="BX373" s="1207"/>
      <c r="BY373" s="1207"/>
      <c r="BZ373" s="1207"/>
      <c r="CA373" s="1207"/>
      <c r="CB373" s="1207"/>
      <c r="CC373" s="1207"/>
      <c r="CD373" s="1207"/>
      <c r="CE373" s="1207"/>
      <c r="CF373" s="1207"/>
    </row>
    <row r="374" spans="1:84" ht="135" x14ac:dyDescent="0.2">
      <c r="A374" s="1355">
        <v>2022349</v>
      </c>
      <c r="B374" s="1172">
        <v>7658</v>
      </c>
      <c r="C374" s="1356" t="s">
        <v>681</v>
      </c>
      <c r="D374" s="1190" t="s">
        <v>703</v>
      </c>
      <c r="E374" s="1174">
        <v>80111600</v>
      </c>
      <c r="F374" s="1389" t="s">
        <v>1031</v>
      </c>
      <c r="G374" s="1390">
        <v>44562</v>
      </c>
      <c r="H374" s="1390">
        <v>44592</v>
      </c>
      <c r="I374" s="1176">
        <v>12</v>
      </c>
      <c r="J374" s="1176" t="s">
        <v>675</v>
      </c>
      <c r="K374" s="1177" t="s">
        <v>676</v>
      </c>
      <c r="L374" s="1178" t="s">
        <v>677</v>
      </c>
      <c r="M374" s="1179">
        <v>25980000</v>
      </c>
      <c r="N374" s="1386" t="s">
        <v>1026</v>
      </c>
      <c r="O374" s="1174" t="s">
        <v>773</v>
      </c>
      <c r="P374" s="1207" t="s">
        <v>680</v>
      </c>
      <c r="Q374" s="1163"/>
      <c r="R374" s="1357">
        <v>25200000</v>
      </c>
      <c r="S374" s="1357">
        <v>25200000</v>
      </c>
      <c r="T374" s="1357">
        <f>+Tabla16[[#This Row],[CDPS A 31 JULIO 2022]]-Tabla16[[#This Row],[CDP]]</f>
        <v>0</v>
      </c>
      <c r="U374" s="1357">
        <v>25200000</v>
      </c>
      <c r="V374" s="1357">
        <v>7980000</v>
      </c>
      <c r="W374" s="1357"/>
      <c r="X374" s="1207"/>
      <c r="Y374" s="1207"/>
      <c r="Z374" s="1207"/>
      <c r="AA374" s="1207"/>
      <c r="AB374" s="1207"/>
      <c r="AC374" s="1207"/>
      <c r="AD374" s="1207"/>
      <c r="AE374" s="1207"/>
      <c r="AF374" s="1207"/>
      <c r="AG374" s="1207"/>
      <c r="AH374" s="1207"/>
      <c r="AI374" s="1207"/>
      <c r="AJ374" s="1207"/>
      <c r="AK374" s="1207"/>
      <c r="AL374" s="1207"/>
      <c r="AM374" s="1207"/>
      <c r="AN374" s="1207"/>
      <c r="AO374" s="1207"/>
      <c r="AP374" s="1207"/>
      <c r="AQ374" s="1207"/>
      <c r="AR374" s="1207"/>
      <c r="AS374" s="1207"/>
      <c r="AT374" s="1207"/>
      <c r="AU374" s="1207"/>
      <c r="AV374" s="1207"/>
      <c r="AW374" s="1207"/>
      <c r="AX374" s="1207"/>
      <c r="AY374" s="1207"/>
      <c r="AZ374" s="1207"/>
      <c r="BA374" s="1207"/>
      <c r="BB374" s="1207"/>
      <c r="BC374" s="1207"/>
      <c r="BD374" s="1207"/>
      <c r="BE374" s="1207"/>
      <c r="BF374" s="1207"/>
      <c r="BG374" s="1207"/>
      <c r="BH374" s="1207"/>
      <c r="BI374" s="1207"/>
      <c r="BJ374" s="1207"/>
      <c r="BK374" s="1207"/>
      <c r="BL374" s="1207"/>
      <c r="BM374" s="1207"/>
      <c r="BN374" s="1207"/>
      <c r="BO374" s="1207"/>
      <c r="BP374" s="1207"/>
      <c r="BQ374" s="1207"/>
      <c r="BR374" s="1207"/>
      <c r="BS374" s="1207"/>
      <c r="BT374" s="1207"/>
      <c r="BU374" s="1207"/>
      <c r="BV374" s="1207"/>
      <c r="BW374" s="1207"/>
      <c r="BX374" s="1207"/>
      <c r="BY374" s="1207"/>
      <c r="BZ374" s="1207"/>
      <c r="CA374" s="1207"/>
      <c r="CB374" s="1207"/>
      <c r="CC374" s="1207"/>
      <c r="CD374" s="1207"/>
      <c r="CE374" s="1207"/>
      <c r="CF374" s="1207"/>
    </row>
    <row r="375" spans="1:84" ht="135" x14ac:dyDescent="0.2">
      <c r="A375" s="1355">
        <v>2022350</v>
      </c>
      <c r="B375" s="1172">
        <v>7658</v>
      </c>
      <c r="C375" s="1356" t="s">
        <v>681</v>
      </c>
      <c r="D375" s="1190" t="s">
        <v>703</v>
      </c>
      <c r="E375" s="1174">
        <v>80111600</v>
      </c>
      <c r="F375" s="1389" t="s">
        <v>1031</v>
      </c>
      <c r="G375" s="1390">
        <v>44562</v>
      </c>
      <c r="H375" s="1390">
        <v>44592</v>
      </c>
      <c r="I375" s="1176">
        <v>12</v>
      </c>
      <c r="J375" s="1176" t="s">
        <v>675</v>
      </c>
      <c r="K375" s="1177" t="s">
        <v>676</v>
      </c>
      <c r="L375" s="1178" t="s">
        <v>677</v>
      </c>
      <c r="M375" s="1179">
        <v>25980000</v>
      </c>
      <c r="N375" s="1386" t="s">
        <v>1026</v>
      </c>
      <c r="O375" s="1174" t="s">
        <v>773</v>
      </c>
      <c r="P375" s="1207" t="s">
        <v>680</v>
      </c>
      <c r="Q375" s="1163"/>
      <c r="R375" s="1357">
        <v>25200000</v>
      </c>
      <c r="S375" s="1357">
        <v>25200000</v>
      </c>
      <c r="T375" s="1357">
        <f>+Tabla16[[#This Row],[CDPS A 31 JULIO 2022]]-Tabla16[[#This Row],[CDP]]</f>
        <v>0</v>
      </c>
      <c r="U375" s="1357">
        <v>25200000</v>
      </c>
      <c r="V375" s="1357">
        <v>8400000</v>
      </c>
      <c r="W375" s="1357"/>
      <c r="X375" s="1207"/>
      <c r="Y375" s="1207"/>
      <c r="Z375" s="1207"/>
      <c r="AA375" s="1207"/>
      <c r="AB375" s="1207"/>
      <c r="AC375" s="1207"/>
      <c r="AD375" s="1207"/>
      <c r="AE375" s="1207"/>
      <c r="AF375" s="1207"/>
      <c r="AG375" s="1207"/>
      <c r="AH375" s="1207"/>
      <c r="AI375" s="1207"/>
      <c r="AJ375" s="1207"/>
      <c r="AK375" s="1207"/>
      <c r="AL375" s="1207"/>
      <c r="AM375" s="1207"/>
      <c r="AN375" s="1207"/>
      <c r="AO375" s="1207"/>
      <c r="AP375" s="1207"/>
      <c r="AQ375" s="1207"/>
      <c r="AR375" s="1207"/>
      <c r="AS375" s="1207"/>
      <c r="AT375" s="1207"/>
      <c r="AU375" s="1207"/>
      <c r="AV375" s="1207"/>
      <c r="AW375" s="1207"/>
      <c r="AX375" s="1207"/>
      <c r="AY375" s="1207"/>
      <c r="AZ375" s="1207"/>
      <c r="BA375" s="1207"/>
      <c r="BB375" s="1207"/>
      <c r="BC375" s="1207"/>
      <c r="BD375" s="1207"/>
      <c r="BE375" s="1207"/>
      <c r="BF375" s="1207"/>
      <c r="BG375" s="1207"/>
      <c r="BH375" s="1207"/>
      <c r="BI375" s="1207"/>
      <c r="BJ375" s="1207"/>
      <c r="BK375" s="1207"/>
      <c r="BL375" s="1207"/>
      <c r="BM375" s="1207"/>
      <c r="BN375" s="1207"/>
      <c r="BO375" s="1207"/>
      <c r="BP375" s="1207"/>
      <c r="BQ375" s="1207"/>
      <c r="BR375" s="1207"/>
      <c r="BS375" s="1207"/>
      <c r="BT375" s="1207"/>
      <c r="BU375" s="1207"/>
      <c r="BV375" s="1207"/>
      <c r="BW375" s="1207"/>
      <c r="BX375" s="1207"/>
      <c r="BY375" s="1207"/>
      <c r="BZ375" s="1207"/>
      <c r="CA375" s="1207"/>
      <c r="CB375" s="1207"/>
      <c r="CC375" s="1207"/>
      <c r="CD375" s="1207"/>
      <c r="CE375" s="1207"/>
      <c r="CF375" s="1207"/>
    </row>
    <row r="376" spans="1:84" ht="135" x14ac:dyDescent="0.2">
      <c r="A376" s="1355">
        <v>2022351</v>
      </c>
      <c r="B376" s="1172">
        <v>7658</v>
      </c>
      <c r="C376" s="1356" t="s">
        <v>681</v>
      </c>
      <c r="D376" s="1190" t="s">
        <v>703</v>
      </c>
      <c r="E376" s="1174">
        <v>80111600</v>
      </c>
      <c r="F376" s="1389" t="s">
        <v>1031</v>
      </c>
      <c r="G376" s="1390">
        <v>44562</v>
      </c>
      <c r="H376" s="1390">
        <v>44592</v>
      </c>
      <c r="I376" s="1176">
        <v>12</v>
      </c>
      <c r="J376" s="1176" t="s">
        <v>675</v>
      </c>
      <c r="K376" s="1177" t="s">
        <v>676</v>
      </c>
      <c r="L376" s="1178" t="s">
        <v>677</v>
      </c>
      <c r="M376" s="1179">
        <v>25980000</v>
      </c>
      <c r="N376" s="1386" t="s">
        <v>1026</v>
      </c>
      <c r="O376" s="1174" t="s">
        <v>773</v>
      </c>
      <c r="P376" s="1207" t="s">
        <v>680</v>
      </c>
      <c r="Q376" s="1163"/>
      <c r="R376" s="1357">
        <v>25200000</v>
      </c>
      <c r="S376" s="1357">
        <v>25200000</v>
      </c>
      <c r="T376" s="1357">
        <f>+Tabla16[[#This Row],[CDPS A 31 JULIO 2022]]-Tabla16[[#This Row],[CDP]]</f>
        <v>0</v>
      </c>
      <c r="U376" s="1357">
        <v>25200000</v>
      </c>
      <c r="V376" s="1357">
        <v>5810000</v>
      </c>
      <c r="W376" s="1357"/>
      <c r="X376" s="1207"/>
      <c r="Y376" s="1207"/>
      <c r="Z376" s="1207"/>
      <c r="AA376" s="1207"/>
      <c r="AB376" s="1207"/>
      <c r="AC376" s="1207"/>
      <c r="AD376" s="1207"/>
      <c r="AE376" s="1207"/>
      <c r="AF376" s="1207"/>
      <c r="AG376" s="1207"/>
      <c r="AH376" s="1207"/>
      <c r="AI376" s="1207"/>
      <c r="AJ376" s="1207"/>
      <c r="AK376" s="1207"/>
      <c r="AL376" s="1207"/>
      <c r="AM376" s="1207"/>
      <c r="AN376" s="1207"/>
      <c r="AO376" s="1207"/>
      <c r="AP376" s="1207"/>
      <c r="AQ376" s="1207"/>
      <c r="AR376" s="1207"/>
      <c r="AS376" s="1207"/>
      <c r="AT376" s="1207"/>
      <c r="AU376" s="1207"/>
      <c r="AV376" s="1207"/>
      <c r="AW376" s="1207"/>
      <c r="AX376" s="1207"/>
      <c r="AY376" s="1207"/>
      <c r="AZ376" s="1207"/>
      <c r="BA376" s="1207"/>
      <c r="BB376" s="1207"/>
      <c r="BC376" s="1207"/>
      <c r="BD376" s="1207"/>
      <c r="BE376" s="1207"/>
      <c r="BF376" s="1207"/>
      <c r="BG376" s="1207"/>
      <c r="BH376" s="1207"/>
      <c r="BI376" s="1207"/>
      <c r="BJ376" s="1207"/>
      <c r="BK376" s="1207"/>
      <c r="BL376" s="1207"/>
      <c r="BM376" s="1207"/>
      <c r="BN376" s="1207"/>
      <c r="BO376" s="1207"/>
      <c r="BP376" s="1207"/>
      <c r="BQ376" s="1207"/>
      <c r="BR376" s="1207"/>
      <c r="BS376" s="1207"/>
      <c r="BT376" s="1207"/>
      <c r="BU376" s="1207"/>
      <c r="BV376" s="1207"/>
      <c r="BW376" s="1207"/>
      <c r="BX376" s="1207"/>
      <c r="BY376" s="1207"/>
      <c r="BZ376" s="1207"/>
      <c r="CA376" s="1207"/>
      <c r="CB376" s="1207"/>
      <c r="CC376" s="1207"/>
      <c r="CD376" s="1207"/>
      <c r="CE376" s="1207"/>
      <c r="CF376" s="1207"/>
    </row>
    <row r="377" spans="1:84" ht="135" x14ac:dyDescent="0.2">
      <c r="A377" s="1355">
        <v>2022352</v>
      </c>
      <c r="B377" s="1172">
        <v>7658</v>
      </c>
      <c r="C377" s="1356" t="s">
        <v>681</v>
      </c>
      <c r="D377" s="1190" t="s">
        <v>703</v>
      </c>
      <c r="E377" s="1174">
        <v>80111600</v>
      </c>
      <c r="F377" s="1389" t="s">
        <v>1031</v>
      </c>
      <c r="G377" s="1390">
        <v>44562</v>
      </c>
      <c r="H377" s="1390">
        <v>44592</v>
      </c>
      <c r="I377" s="1176">
        <v>12</v>
      </c>
      <c r="J377" s="1176" t="s">
        <v>675</v>
      </c>
      <c r="K377" s="1177" t="s">
        <v>676</v>
      </c>
      <c r="L377" s="1178" t="s">
        <v>677</v>
      </c>
      <c r="M377" s="1179">
        <v>25980000</v>
      </c>
      <c r="N377" s="1386" t="s">
        <v>1026</v>
      </c>
      <c r="O377" s="1174" t="s">
        <v>773</v>
      </c>
      <c r="P377" s="1207" t="s">
        <v>680</v>
      </c>
      <c r="Q377" s="1163"/>
      <c r="R377" s="1357">
        <v>25200000</v>
      </c>
      <c r="S377" s="1357">
        <v>25200000</v>
      </c>
      <c r="T377" s="1357">
        <f>+Tabla16[[#This Row],[CDPS A 31 JULIO 2022]]-Tabla16[[#This Row],[CDP]]</f>
        <v>0</v>
      </c>
      <c r="U377" s="1357">
        <v>25200000</v>
      </c>
      <c r="V377" s="1357">
        <v>8400000</v>
      </c>
      <c r="W377" s="1357"/>
      <c r="X377" s="1207"/>
      <c r="Y377" s="1207"/>
      <c r="Z377" s="1207"/>
      <c r="AA377" s="1207"/>
      <c r="AB377" s="1207"/>
      <c r="AC377" s="1207"/>
      <c r="AD377" s="1207"/>
      <c r="AE377" s="1207"/>
      <c r="AF377" s="1207"/>
      <c r="AG377" s="1207"/>
      <c r="AH377" s="1207"/>
      <c r="AI377" s="1207"/>
      <c r="AJ377" s="1207"/>
      <c r="AK377" s="1207"/>
      <c r="AL377" s="1207"/>
      <c r="AM377" s="1207"/>
      <c r="AN377" s="1207"/>
      <c r="AO377" s="1207"/>
      <c r="AP377" s="1207"/>
      <c r="AQ377" s="1207"/>
      <c r="AR377" s="1207"/>
      <c r="AS377" s="1207"/>
      <c r="AT377" s="1207"/>
      <c r="AU377" s="1207"/>
      <c r="AV377" s="1207"/>
      <c r="AW377" s="1207"/>
      <c r="AX377" s="1207"/>
      <c r="AY377" s="1207"/>
      <c r="AZ377" s="1207"/>
      <c r="BA377" s="1207"/>
      <c r="BB377" s="1207"/>
      <c r="BC377" s="1207"/>
      <c r="BD377" s="1207"/>
      <c r="BE377" s="1207"/>
      <c r="BF377" s="1207"/>
      <c r="BG377" s="1207"/>
      <c r="BH377" s="1207"/>
      <c r="BI377" s="1207"/>
      <c r="BJ377" s="1207"/>
      <c r="BK377" s="1207"/>
      <c r="BL377" s="1207"/>
      <c r="BM377" s="1207"/>
      <c r="BN377" s="1207"/>
      <c r="BO377" s="1207"/>
      <c r="BP377" s="1207"/>
      <c r="BQ377" s="1207"/>
      <c r="BR377" s="1207"/>
      <c r="BS377" s="1207"/>
      <c r="BT377" s="1207"/>
      <c r="BU377" s="1207"/>
      <c r="BV377" s="1207"/>
      <c r="BW377" s="1207"/>
      <c r="BX377" s="1207"/>
      <c r="BY377" s="1207"/>
      <c r="BZ377" s="1207"/>
      <c r="CA377" s="1207"/>
      <c r="CB377" s="1207"/>
      <c r="CC377" s="1207"/>
      <c r="CD377" s="1207"/>
      <c r="CE377" s="1207"/>
      <c r="CF377" s="1207"/>
    </row>
    <row r="378" spans="1:84" ht="135" x14ac:dyDescent="0.2">
      <c r="A378" s="1355">
        <v>2022353</v>
      </c>
      <c r="B378" s="1172">
        <v>7658</v>
      </c>
      <c r="C378" s="1356" t="s">
        <v>681</v>
      </c>
      <c r="D378" s="1190" t="s">
        <v>703</v>
      </c>
      <c r="E378" s="1174">
        <v>80111600</v>
      </c>
      <c r="F378" s="1389" t="s">
        <v>1031</v>
      </c>
      <c r="G378" s="1390">
        <v>44562</v>
      </c>
      <c r="H378" s="1390">
        <v>44592</v>
      </c>
      <c r="I378" s="1176">
        <v>12</v>
      </c>
      <c r="J378" s="1176" t="s">
        <v>675</v>
      </c>
      <c r="K378" s="1177" t="s">
        <v>676</v>
      </c>
      <c r="L378" s="1178" t="s">
        <v>677</v>
      </c>
      <c r="M378" s="1179">
        <f>25980000+25980000</f>
        <v>51960000</v>
      </c>
      <c r="N378" s="1386" t="s">
        <v>1026</v>
      </c>
      <c r="O378" s="1174" t="s">
        <v>773</v>
      </c>
      <c r="P378" s="1207" t="s">
        <v>680</v>
      </c>
      <c r="Q378" s="1163"/>
      <c r="R378" s="1357">
        <v>25200000</v>
      </c>
      <c r="S378" s="1357">
        <v>25200000</v>
      </c>
      <c r="T378" s="1357">
        <f>+Tabla16[[#This Row],[CDPS A 31 JULIO 2022]]-Tabla16[[#This Row],[CDP]]</f>
        <v>0</v>
      </c>
      <c r="U378" s="1357">
        <v>25200000</v>
      </c>
      <c r="V378" s="1357">
        <v>8400000</v>
      </c>
      <c r="W378" s="1357"/>
      <c r="X378" s="1207"/>
      <c r="Y378" s="1207"/>
      <c r="Z378" s="1207"/>
      <c r="AA378" s="1207"/>
      <c r="AB378" s="1207"/>
      <c r="AC378" s="1207"/>
      <c r="AD378" s="1207"/>
      <c r="AE378" s="1207"/>
      <c r="AF378" s="1207"/>
      <c r="AG378" s="1207"/>
      <c r="AH378" s="1207"/>
      <c r="AI378" s="1207"/>
      <c r="AJ378" s="1207"/>
      <c r="AK378" s="1207"/>
      <c r="AL378" s="1207"/>
      <c r="AM378" s="1207"/>
      <c r="AN378" s="1207"/>
      <c r="AO378" s="1207"/>
      <c r="AP378" s="1207"/>
      <c r="AQ378" s="1207"/>
      <c r="AR378" s="1207"/>
      <c r="AS378" s="1207"/>
      <c r="AT378" s="1207"/>
      <c r="AU378" s="1207"/>
      <c r="AV378" s="1207"/>
      <c r="AW378" s="1207"/>
      <c r="AX378" s="1207"/>
      <c r="AY378" s="1207"/>
      <c r="AZ378" s="1207"/>
      <c r="BA378" s="1207"/>
      <c r="BB378" s="1207"/>
      <c r="BC378" s="1207"/>
      <c r="BD378" s="1207"/>
      <c r="BE378" s="1207"/>
      <c r="BF378" s="1207"/>
      <c r="BG378" s="1207"/>
      <c r="BH378" s="1207"/>
      <c r="BI378" s="1207"/>
      <c r="BJ378" s="1207"/>
      <c r="BK378" s="1207"/>
      <c r="BL378" s="1207"/>
      <c r="BM378" s="1207"/>
      <c r="BN378" s="1207"/>
      <c r="BO378" s="1207"/>
      <c r="BP378" s="1207"/>
      <c r="BQ378" s="1207"/>
      <c r="BR378" s="1207"/>
      <c r="BS378" s="1207"/>
      <c r="BT378" s="1207"/>
      <c r="BU378" s="1207"/>
      <c r="BV378" s="1207"/>
      <c r="BW378" s="1207"/>
      <c r="BX378" s="1207"/>
      <c r="BY378" s="1207"/>
      <c r="BZ378" s="1207"/>
      <c r="CA378" s="1207"/>
      <c r="CB378" s="1207"/>
      <c r="CC378" s="1207"/>
      <c r="CD378" s="1207"/>
      <c r="CE378" s="1207"/>
      <c r="CF378" s="1207"/>
    </row>
    <row r="379" spans="1:84" ht="135" x14ac:dyDescent="0.2">
      <c r="A379" s="1355">
        <v>2022354</v>
      </c>
      <c r="B379" s="1172">
        <v>7658</v>
      </c>
      <c r="C379" s="1356" t="s">
        <v>681</v>
      </c>
      <c r="D379" s="1190" t="s">
        <v>703</v>
      </c>
      <c r="E379" s="1174">
        <v>80111600</v>
      </c>
      <c r="F379" s="1389" t="s">
        <v>1032</v>
      </c>
      <c r="G379" s="1390">
        <v>44562</v>
      </c>
      <c r="H379" s="1390">
        <v>44592</v>
      </c>
      <c r="I379" s="1176">
        <v>12</v>
      </c>
      <c r="J379" s="1176" t="s">
        <v>675</v>
      </c>
      <c r="K379" s="1177" t="s">
        <v>676</v>
      </c>
      <c r="L379" s="1178" t="s">
        <v>677</v>
      </c>
      <c r="M379" s="1179">
        <f>30300000-900000</f>
        <v>29400000</v>
      </c>
      <c r="N379" s="1386" t="s">
        <v>1026</v>
      </c>
      <c r="O379" s="1174" t="s">
        <v>773</v>
      </c>
      <c r="P379" s="1207" t="s">
        <v>680</v>
      </c>
      <c r="Q379" s="1163"/>
      <c r="R379" s="1357">
        <v>29400000</v>
      </c>
      <c r="S379" s="1357">
        <v>29400000</v>
      </c>
      <c r="T379" s="1357">
        <f>+Tabla16[[#This Row],[CDPS A 31 JULIO 2022]]-Tabla16[[#This Row],[CDP]]</f>
        <v>0</v>
      </c>
      <c r="U379" s="1357">
        <v>29400000</v>
      </c>
      <c r="V379" s="1357">
        <v>9800000</v>
      </c>
      <c r="W379" s="1357"/>
      <c r="X379" s="1207"/>
      <c r="Y379" s="1207"/>
      <c r="Z379" s="1207"/>
      <c r="AA379" s="1207"/>
      <c r="AB379" s="1207"/>
      <c r="AC379" s="1207"/>
      <c r="AD379" s="1207"/>
      <c r="AE379" s="1207"/>
      <c r="AF379" s="1207"/>
      <c r="AG379" s="1207"/>
      <c r="AH379" s="1207"/>
      <c r="AI379" s="1207"/>
      <c r="AJ379" s="1207"/>
      <c r="AK379" s="1207"/>
      <c r="AL379" s="1207"/>
      <c r="AM379" s="1207"/>
      <c r="AN379" s="1207"/>
      <c r="AO379" s="1207"/>
      <c r="AP379" s="1207"/>
      <c r="AQ379" s="1207"/>
      <c r="AR379" s="1207"/>
      <c r="AS379" s="1207"/>
      <c r="AT379" s="1207"/>
      <c r="AU379" s="1207"/>
      <c r="AV379" s="1207"/>
      <c r="AW379" s="1207"/>
      <c r="AX379" s="1207"/>
      <c r="AY379" s="1207"/>
      <c r="AZ379" s="1207"/>
      <c r="BA379" s="1207"/>
      <c r="BB379" s="1207"/>
      <c r="BC379" s="1207"/>
      <c r="BD379" s="1207"/>
      <c r="BE379" s="1207"/>
      <c r="BF379" s="1207"/>
      <c r="BG379" s="1207"/>
      <c r="BH379" s="1207"/>
      <c r="BI379" s="1207"/>
      <c r="BJ379" s="1207"/>
      <c r="BK379" s="1207"/>
      <c r="BL379" s="1207"/>
      <c r="BM379" s="1207"/>
      <c r="BN379" s="1207"/>
      <c r="BO379" s="1207"/>
      <c r="BP379" s="1207"/>
      <c r="BQ379" s="1207"/>
      <c r="BR379" s="1207"/>
      <c r="BS379" s="1207"/>
      <c r="BT379" s="1207"/>
      <c r="BU379" s="1207"/>
      <c r="BV379" s="1207"/>
      <c r="BW379" s="1207"/>
      <c r="BX379" s="1207"/>
      <c r="BY379" s="1207"/>
      <c r="BZ379" s="1207"/>
      <c r="CA379" s="1207"/>
      <c r="CB379" s="1207"/>
      <c r="CC379" s="1207"/>
      <c r="CD379" s="1207"/>
      <c r="CE379" s="1207"/>
      <c r="CF379" s="1207"/>
    </row>
    <row r="380" spans="1:84" ht="135" x14ac:dyDescent="0.2">
      <c r="A380" s="1355">
        <v>2022355</v>
      </c>
      <c r="B380" s="1172">
        <v>7658</v>
      </c>
      <c r="C380" s="1356" t="s">
        <v>681</v>
      </c>
      <c r="D380" s="1190" t="s">
        <v>703</v>
      </c>
      <c r="E380" s="1174">
        <v>80111600</v>
      </c>
      <c r="F380" s="1389" t="s">
        <v>1032</v>
      </c>
      <c r="G380" s="1390">
        <v>44562</v>
      </c>
      <c r="H380" s="1390">
        <v>44592</v>
      </c>
      <c r="I380" s="1176">
        <v>12</v>
      </c>
      <c r="J380" s="1176" t="s">
        <v>675</v>
      </c>
      <c r="K380" s="1177" t="s">
        <v>676</v>
      </c>
      <c r="L380" s="1178" t="s">
        <v>677</v>
      </c>
      <c r="M380" s="1179">
        <f>30300000-900000</f>
        <v>29400000</v>
      </c>
      <c r="N380" s="1386" t="s">
        <v>1026</v>
      </c>
      <c r="O380" s="1174" t="s">
        <v>773</v>
      </c>
      <c r="P380" s="1207" t="s">
        <v>680</v>
      </c>
      <c r="Q380" s="1163"/>
      <c r="R380" s="1357">
        <v>29400000</v>
      </c>
      <c r="S380" s="1357">
        <v>29400000</v>
      </c>
      <c r="T380" s="1357">
        <f>+Tabla16[[#This Row],[CDPS A 31 JULIO 2022]]-Tabla16[[#This Row],[CDP]]</f>
        <v>0</v>
      </c>
      <c r="U380" s="1357">
        <v>29400000</v>
      </c>
      <c r="V380" s="1357">
        <v>9800000</v>
      </c>
      <c r="W380" s="1357"/>
      <c r="X380" s="1207"/>
      <c r="Y380" s="1207"/>
      <c r="Z380" s="1207"/>
      <c r="AA380" s="1207"/>
      <c r="AB380" s="1207"/>
      <c r="AC380" s="1207"/>
      <c r="AD380" s="1207"/>
      <c r="AE380" s="1207"/>
      <c r="AF380" s="1207"/>
      <c r="AG380" s="1207"/>
      <c r="AH380" s="1207"/>
      <c r="AI380" s="1207"/>
      <c r="AJ380" s="1207"/>
      <c r="AK380" s="1207"/>
      <c r="AL380" s="1207"/>
      <c r="AM380" s="1207"/>
      <c r="AN380" s="1207"/>
      <c r="AO380" s="1207"/>
      <c r="AP380" s="1207"/>
      <c r="AQ380" s="1207"/>
      <c r="AR380" s="1207"/>
      <c r="AS380" s="1207"/>
      <c r="AT380" s="1207"/>
      <c r="AU380" s="1207"/>
      <c r="AV380" s="1207"/>
      <c r="AW380" s="1207"/>
      <c r="AX380" s="1207"/>
      <c r="AY380" s="1207"/>
      <c r="AZ380" s="1207"/>
      <c r="BA380" s="1207"/>
      <c r="BB380" s="1207"/>
      <c r="BC380" s="1207"/>
      <c r="BD380" s="1207"/>
      <c r="BE380" s="1207"/>
      <c r="BF380" s="1207"/>
      <c r="BG380" s="1207"/>
      <c r="BH380" s="1207"/>
      <c r="BI380" s="1207"/>
      <c r="BJ380" s="1207"/>
      <c r="BK380" s="1207"/>
      <c r="BL380" s="1207"/>
      <c r="BM380" s="1207"/>
      <c r="BN380" s="1207"/>
      <c r="BO380" s="1207"/>
      <c r="BP380" s="1207"/>
      <c r="BQ380" s="1207"/>
      <c r="BR380" s="1207"/>
      <c r="BS380" s="1207"/>
      <c r="BT380" s="1207"/>
      <c r="BU380" s="1207"/>
      <c r="BV380" s="1207"/>
      <c r="BW380" s="1207"/>
      <c r="BX380" s="1207"/>
      <c r="BY380" s="1207"/>
      <c r="BZ380" s="1207"/>
      <c r="CA380" s="1207"/>
      <c r="CB380" s="1207"/>
      <c r="CC380" s="1207"/>
      <c r="CD380" s="1207"/>
      <c r="CE380" s="1207"/>
      <c r="CF380" s="1207"/>
    </row>
    <row r="381" spans="1:84" ht="135" x14ac:dyDescent="0.2">
      <c r="A381" s="1355">
        <v>2022356</v>
      </c>
      <c r="B381" s="1172">
        <v>7658</v>
      </c>
      <c r="C381" s="1356" t="s">
        <v>681</v>
      </c>
      <c r="D381" s="1190" t="s">
        <v>703</v>
      </c>
      <c r="E381" s="1174">
        <v>80111600</v>
      </c>
      <c r="F381" s="1389" t="s">
        <v>1032</v>
      </c>
      <c r="G381" s="1390">
        <v>44562</v>
      </c>
      <c r="H381" s="1390">
        <v>44592</v>
      </c>
      <c r="I381" s="1176">
        <v>12</v>
      </c>
      <c r="J381" s="1176" t="s">
        <v>675</v>
      </c>
      <c r="K381" s="1177" t="s">
        <v>676</v>
      </c>
      <c r="L381" s="1178" t="s">
        <v>677</v>
      </c>
      <c r="M381" s="1179">
        <f>30300000-900000</f>
        <v>29400000</v>
      </c>
      <c r="N381" s="1386" t="s">
        <v>1026</v>
      </c>
      <c r="O381" s="1174" t="s">
        <v>773</v>
      </c>
      <c r="P381" s="1207" t="s">
        <v>680</v>
      </c>
      <c r="Q381" s="1163"/>
      <c r="R381" s="1357">
        <v>29400000</v>
      </c>
      <c r="S381" s="1357">
        <v>29400000</v>
      </c>
      <c r="T381" s="1357">
        <f>+Tabla16[[#This Row],[CDPS A 31 JULIO 2022]]-Tabla16[[#This Row],[CDP]]</f>
        <v>0</v>
      </c>
      <c r="U381" s="1357">
        <v>29400000</v>
      </c>
      <c r="V381" s="1357">
        <v>9800000</v>
      </c>
      <c r="W381" s="1357"/>
      <c r="X381" s="1207"/>
      <c r="Y381" s="1207"/>
      <c r="Z381" s="1207"/>
      <c r="AA381" s="1207"/>
      <c r="AB381" s="1207"/>
      <c r="AC381" s="1207"/>
      <c r="AD381" s="1207"/>
      <c r="AE381" s="1207"/>
      <c r="AF381" s="1207"/>
      <c r="AG381" s="1207"/>
      <c r="AH381" s="1207"/>
      <c r="AI381" s="1207"/>
      <c r="AJ381" s="1207"/>
      <c r="AK381" s="1207"/>
      <c r="AL381" s="1207"/>
      <c r="AM381" s="1207"/>
      <c r="AN381" s="1207"/>
      <c r="AO381" s="1207"/>
      <c r="AP381" s="1207"/>
      <c r="AQ381" s="1207"/>
      <c r="AR381" s="1207"/>
      <c r="AS381" s="1207"/>
      <c r="AT381" s="1207"/>
      <c r="AU381" s="1207"/>
      <c r="AV381" s="1207"/>
      <c r="AW381" s="1207"/>
      <c r="AX381" s="1207"/>
      <c r="AY381" s="1207"/>
      <c r="AZ381" s="1207"/>
      <c r="BA381" s="1207"/>
      <c r="BB381" s="1207"/>
      <c r="BC381" s="1207"/>
      <c r="BD381" s="1207"/>
      <c r="BE381" s="1207"/>
      <c r="BF381" s="1207"/>
      <c r="BG381" s="1207"/>
      <c r="BH381" s="1207"/>
      <c r="BI381" s="1207"/>
      <c r="BJ381" s="1207"/>
      <c r="BK381" s="1207"/>
      <c r="BL381" s="1207"/>
      <c r="BM381" s="1207"/>
      <c r="BN381" s="1207"/>
      <c r="BO381" s="1207"/>
      <c r="BP381" s="1207"/>
      <c r="BQ381" s="1207"/>
      <c r="BR381" s="1207"/>
      <c r="BS381" s="1207"/>
      <c r="BT381" s="1207"/>
      <c r="BU381" s="1207"/>
      <c r="BV381" s="1207"/>
      <c r="BW381" s="1207"/>
      <c r="BX381" s="1207"/>
      <c r="BY381" s="1207"/>
      <c r="BZ381" s="1207"/>
      <c r="CA381" s="1207"/>
      <c r="CB381" s="1207"/>
      <c r="CC381" s="1207"/>
      <c r="CD381" s="1207"/>
      <c r="CE381" s="1207"/>
      <c r="CF381" s="1207"/>
    </row>
    <row r="382" spans="1:84" ht="135" x14ac:dyDescent="0.2">
      <c r="A382" s="1355">
        <v>2022357</v>
      </c>
      <c r="B382" s="1172">
        <v>7658</v>
      </c>
      <c r="C382" s="1356" t="s">
        <v>681</v>
      </c>
      <c r="D382" s="1190" t="s">
        <v>703</v>
      </c>
      <c r="E382" s="1174">
        <v>80111600</v>
      </c>
      <c r="F382" s="1389" t="s">
        <v>1032</v>
      </c>
      <c r="G382" s="1390">
        <v>44562</v>
      </c>
      <c r="H382" s="1390">
        <v>44592</v>
      </c>
      <c r="I382" s="1176">
        <v>12</v>
      </c>
      <c r="J382" s="1176" t="s">
        <v>675</v>
      </c>
      <c r="K382" s="1177" t="s">
        <v>676</v>
      </c>
      <c r="L382" s="1178" t="s">
        <v>677</v>
      </c>
      <c r="M382" s="1179">
        <f>30300000-900000</f>
        <v>29400000</v>
      </c>
      <c r="N382" s="1386" t="s">
        <v>1026</v>
      </c>
      <c r="O382" s="1174" t="s">
        <v>773</v>
      </c>
      <c r="P382" s="1207" t="s">
        <v>680</v>
      </c>
      <c r="Q382" s="1163"/>
      <c r="R382" s="1357">
        <v>29400000</v>
      </c>
      <c r="S382" s="1357">
        <v>29400000</v>
      </c>
      <c r="T382" s="1357">
        <f>+Tabla16[[#This Row],[CDPS A 31 JULIO 2022]]-Tabla16[[#This Row],[CDP]]</f>
        <v>0</v>
      </c>
      <c r="U382" s="1357">
        <v>29400000</v>
      </c>
      <c r="V382" s="1357">
        <v>3511667</v>
      </c>
      <c r="W382" s="1357"/>
      <c r="X382" s="1207"/>
      <c r="Y382" s="1207"/>
      <c r="Z382" s="1207"/>
      <c r="AA382" s="1207"/>
      <c r="AB382" s="1207"/>
      <c r="AC382" s="1207"/>
      <c r="AD382" s="1207"/>
      <c r="AE382" s="1207"/>
      <c r="AF382" s="1207"/>
      <c r="AG382" s="1207"/>
      <c r="AH382" s="1207"/>
      <c r="AI382" s="1207"/>
      <c r="AJ382" s="1207"/>
      <c r="AK382" s="1207"/>
      <c r="AL382" s="1207"/>
      <c r="AM382" s="1207"/>
      <c r="AN382" s="1207"/>
      <c r="AO382" s="1207"/>
      <c r="AP382" s="1207"/>
      <c r="AQ382" s="1207"/>
      <c r="AR382" s="1207"/>
      <c r="AS382" s="1207"/>
      <c r="AT382" s="1207"/>
      <c r="AU382" s="1207"/>
      <c r="AV382" s="1207"/>
      <c r="AW382" s="1207"/>
      <c r="AX382" s="1207"/>
      <c r="AY382" s="1207"/>
      <c r="AZ382" s="1207"/>
      <c r="BA382" s="1207"/>
      <c r="BB382" s="1207"/>
      <c r="BC382" s="1207"/>
      <c r="BD382" s="1207"/>
      <c r="BE382" s="1207"/>
      <c r="BF382" s="1207"/>
      <c r="BG382" s="1207"/>
      <c r="BH382" s="1207"/>
      <c r="BI382" s="1207"/>
      <c r="BJ382" s="1207"/>
      <c r="BK382" s="1207"/>
      <c r="BL382" s="1207"/>
      <c r="BM382" s="1207"/>
      <c r="BN382" s="1207"/>
      <c r="BO382" s="1207"/>
      <c r="BP382" s="1207"/>
      <c r="BQ382" s="1207"/>
      <c r="BR382" s="1207"/>
      <c r="BS382" s="1207"/>
      <c r="BT382" s="1207"/>
      <c r="BU382" s="1207"/>
      <c r="BV382" s="1207"/>
      <c r="BW382" s="1207"/>
      <c r="BX382" s="1207"/>
      <c r="BY382" s="1207"/>
      <c r="BZ382" s="1207"/>
      <c r="CA382" s="1207"/>
      <c r="CB382" s="1207"/>
      <c r="CC382" s="1207"/>
      <c r="CD382" s="1207"/>
      <c r="CE382" s="1207"/>
      <c r="CF382" s="1207"/>
    </row>
    <row r="383" spans="1:84" ht="135" x14ac:dyDescent="0.2">
      <c r="A383" s="1355">
        <v>2022358</v>
      </c>
      <c r="B383" s="1172">
        <v>7658</v>
      </c>
      <c r="C383" s="1356" t="s">
        <v>681</v>
      </c>
      <c r="D383" s="1190" t="s">
        <v>703</v>
      </c>
      <c r="E383" s="1174">
        <v>80111600</v>
      </c>
      <c r="F383" s="1389" t="s">
        <v>1032</v>
      </c>
      <c r="G383" s="1390">
        <v>44562</v>
      </c>
      <c r="H383" s="1390">
        <v>44592</v>
      </c>
      <c r="I383" s="1176">
        <v>11</v>
      </c>
      <c r="J383" s="1176" t="s">
        <v>675</v>
      </c>
      <c r="K383" s="1177" t="s">
        <v>676</v>
      </c>
      <c r="L383" s="1178" t="s">
        <v>677</v>
      </c>
      <c r="M383" s="1179">
        <f>27775000-825000</f>
        <v>26950000</v>
      </c>
      <c r="N383" s="1386" t="s">
        <v>1026</v>
      </c>
      <c r="O383" s="1174" t="s">
        <v>773</v>
      </c>
      <c r="P383" s="1207" t="s">
        <v>680</v>
      </c>
      <c r="Q383" s="1163"/>
      <c r="R383" s="1357">
        <v>26950000</v>
      </c>
      <c r="S383" s="1357">
        <v>26950000</v>
      </c>
      <c r="T383" s="1357">
        <f>+Tabla16[[#This Row],[CDPS A 31 JULIO 2022]]-Tabla16[[#This Row],[CDP]]</f>
        <v>0</v>
      </c>
      <c r="U383" s="1357">
        <v>26950000</v>
      </c>
      <c r="V383" s="1357">
        <v>6288333</v>
      </c>
      <c r="W383" s="1357"/>
      <c r="X383" s="1207"/>
      <c r="Y383" s="1207"/>
      <c r="Z383" s="1207"/>
      <c r="AA383" s="1207"/>
      <c r="AB383" s="1207"/>
      <c r="AC383" s="1207"/>
      <c r="AD383" s="1207"/>
      <c r="AE383" s="1207"/>
      <c r="AF383" s="1207"/>
      <c r="AG383" s="1207"/>
      <c r="AH383" s="1207"/>
      <c r="AI383" s="1207"/>
      <c r="AJ383" s="1207"/>
      <c r="AK383" s="1207"/>
      <c r="AL383" s="1207"/>
      <c r="AM383" s="1207"/>
      <c r="AN383" s="1207"/>
      <c r="AO383" s="1207"/>
      <c r="AP383" s="1207"/>
      <c r="AQ383" s="1207"/>
      <c r="AR383" s="1207"/>
      <c r="AS383" s="1207"/>
      <c r="AT383" s="1207"/>
      <c r="AU383" s="1207"/>
      <c r="AV383" s="1207"/>
      <c r="AW383" s="1207"/>
      <c r="AX383" s="1207"/>
      <c r="AY383" s="1207"/>
      <c r="AZ383" s="1207"/>
      <c r="BA383" s="1207"/>
      <c r="BB383" s="1207"/>
      <c r="BC383" s="1207"/>
      <c r="BD383" s="1207"/>
      <c r="BE383" s="1207"/>
      <c r="BF383" s="1207"/>
      <c r="BG383" s="1207"/>
      <c r="BH383" s="1207"/>
      <c r="BI383" s="1207"/>
      <c r="BJ383" s="1207"/>
      <c r="BK383" s="1207"/>
      <c r="BL383" s="1207"/>
      <c r="BM383" s="1207"/>
      <c r="BN383" s="1207"/>
      <c r="BO383" s="1207"/>
      <c r="BP383" s="1207"/>
      <c r="BQ383" s="1207"/>
      <c r="BR383" s="1207"/>
      <c r="BS383" s="1207"/>
      <c r="BT383" s="1207"/>
      <c r="BU383" s="1207"/>
      <c r="BV383" s="1207"/>
      <c r="BW383" s="1207"/>
      <c r="BX383" s="1207"/>
      <c r="BY383" s="1207"/>
      <c r="BZ383" s="1207"/>
      <c r="CA383" s="1207"/>
      <c r="CB383" s="1207"/>
      <c r="CC383" s="1207"/>
      <c r="CD383" s="1207"/>
      <c r="CE383" s="1207"/>
      <c r="CF383" s="1207"/>
    </row>
    <row r="384" spans="1:84" ht="135" x14ac:dyDescent="0.2">
      <c r="A384" s="1355">
        <v>2022359</v>
      </c>
      <c r="B384" s="1172">
        <v>7658</v>
      </c>
      <c r="C384" s="1356" t="s">
        <v>681</v>
      </c>
      <c r="D384" s="1190" t="s">
        <v>703</v>
      </c>
      <c r="E384" s="1174">
        <v>80111600</v>
      </c>
      <c r="F384" s="1389" t="s">
        <v>1032</v>
      </c>
      <c r="G384" s="1390">
        <v>44562</v>
      </c>
      <c r="H384" s="1390">
        <v>44592</v>
      </c>
      <c r="I384" s="1176">
        <v>11</v>
      </c>
      <c r="J384" s="1176" t="s">
        <v>675</v>
      </c>
      <c r="K384" s="1177" t="s">
        <v>676</v>
      </c>
      <c r="L384" s="1178" t="s">
        <v>677</v>
      </c>
      <c r="M384" s="1179">
        <f>27775000-825000</f>
        <v>26950000</v>
      </c>
      <c r="N384" s="1386" t="s">
        <v>1026</v>
      </c>
      <c r="O384" s="1174" t="s">
        <v>773</v>
      </c>
      <c r="P384" s="1207" t="s">
        <v>680</v>
      </c>
      <c r="Q384" s="1163"/>
      <c r="R384" s="1357">
        <v>26950000</v>
      </c>
      <c r="S384" s="1357">
        <v>26950000</v>
      </c>
      <c r="T384" s="1357">
        <f>+Tabla16[[#This Row],[CDPS A 31 JULIO 2022]]-Tabla16[[#This Row],[CDP]]</f>
        <v>0</v>
      </c>
      <c r="U384" s="1357">
        <v>26950000</v>
      </c>
      <c r="V384" s="1357">
        <v>9800000</v>
      </c>
      <c r="W384" s="1357"/>
      <c r="X384" s="1207"/>
      <c r="Y384" s="1207"/>
      <c r="Z384" s="1207"/>
      <c r="AA384" s="1207"/>
      <c r="AB384" s="1207"/>
      <c r="AC384" s="1207"/>
      <c r="AD384" s="1207"/>
      <c r="AE384" s="1207"/>
      <c r="AF384" s="1207"/>
      <c r="AG384" s="1207"/>
      <c r="AH384" s="1207"/>
      <c r="AI384" s="1207"/>
      <c r="AJ384" s="1207"/>
      <c r="AK384" s="1207"/>
      <c r="AL384" s="1207"/>
      <c r="AM384" s="1207"/>
      <c r="AN384" s="1207"/>
      <c r="AO384" s="1207"/>
      <c r="AP384" s="1207"/>
      <c r="AQ384" s="1207"/>
      <c r="AR384" s="1207"/>
      <c r="AS384" s="1207"/>
      <c r="AT384" s="1207"/>
      <c r="AU384" s="1207"/>
      <c r="AV384" s="1207"/>
      <c r="AW384" s="1207"/>
      <c r="AX384" s="1207"/>
      <c r="AY384" s="1207"/>
      <c r="AZ384" s="1207"/>
      <c r="BA384" s="1207"/>
      <c r="BB384" s="1207"/>
      <c r="BC384" s="1207"/>
      <c r="BD384" s="1207"/>
      <c r="BE384" s="1207"/>
      <c r="BF384" s="1207"/>
      <c r="BG384" s="1207"/>
      <c r="BH384" s="1207"/>
      <c r="BI384" s="1207"/>
      <c r="BJ384" s="1207"/>
      <c r="BK384" s="1207"/>
      <c r="BL384" s="1207"/>
      <c r="BM384" s="1207"/>
      <c r="BN384" s="1207"/>
      <c r="BO384" s="1207"/>
      <c r="BP384" s="1207"/>
      <c r="BQ384" s="1207"/>
      <c r="BR384" s="1207"/>
      <c r="BS384" s="1207"/>
      <c r="BT384" s="1207"/>
      <c r="BU384" s="1207"/>
      <c r="BV384" s="1207"/>
      <c r="BW384" s="1207"/>
      <c r="BX384" s="1207"/>
      <c r="BY384" s="1207"/>
      <c r="BZ384" s="1207"/>
      <c r="CA384" s="1207"/>
      <c r="CB384" s="1207"/>
      <c r="CC384" s="1207"/>
      <c r="CD384" s="1207"/>
      <c r="CE384" s="1207"/>
      <c r="CF384" s="1207"/>
    </row>
    <row r="385" spans="1:84" ht="135" x14ac:dyDescent="0.2">
      <c r="A385" s="1355">
        <v>2022360</v>
      </c>
      <c r="B385" s="1172">
        <v>7658</v>
      </c>
      <c r="C385" s="1356" t="s">
        <v>681</v>
      </c>
      <c r="D385" s="1190" t="s">
        <v>703</v>
      </c>
      <c r="E385" s="1174">
        <v>80111600</v>
      </c>
      <c r="F385" s="1389" t="s">
        <v>1032</v>
      </c>
      <c r="G385" s="1390">
        <v>44562</v>
      </c>
      <c r="H385" s="1390">
        <v>44592</v>
      </c>
      <c r="I385" s="1176">
        <v>11</v>
      </c>
      <c r="J385" s="1176" t="s">
        <v>675</v>
      </c>
      <c r="K385" s="1177" t="s">
        <v>676</v>
      </c>
      <c r="L385" s="1178" t="s">
        <v>677</v>
      </c>
      <c r="M385" s="1179">
        <v>27775000</v>
      </c>
      <c r="N385" s="1386" t="s">
        <v>1026</v>
      </c>
      <c r="O385" s="1174" t="s">
        <v>773</v>
      </c>
      <c r="P385" s="1207" t="s">
        <v>680</v>
      </c>
      <c r="Q385" s="1163"/>
      <c r="R385" s="1357">
        <v>26950000</v>
      </c>
      <c r="S385" s="1357">
        <v>26950000</v>
      </c>
      <c r="T385" s="1357">
        <f>+Tabla16[[#This Row],[CDPS A 31 JULIO 2022]]-Tabla16[[#This Row],[CDP]]</f>
        <v>0</v>
      </c>
      <c r="U385" s="1357">
        <v>26950000</v>
      </c>
      <c r="V385" s="1357">
        <v>9310000</v>
      </c>
      <c r="W385" s="1357"/>
      <c r="X385" s="1207"/>
      <c r="Y385" s="1207"/>
      <c r="Z385" s="1207"/>
      <c r="AA385" s="1207"/>
      <c r="AB385" s="1207"/>
      <c r="AC385" s="1207"/>
      <c r="AD385" s="1207"/>
      <c r="AE385" s="1207"/>
      <c r="AF385" s="1207"/>
      <c r="AG385" s="1207"/>
      <c r="AH385" s="1207"/>
      <c r="AI385" s="1207"/>
      <c r="AJ385" s="1207"/>
      <c r="AK385" s="1207"/>
      <c r="AL385" s="1207"/>
      <c r="AM385" s="1207"/>
      <c r="AN385" s="1207"/>
      <c r="AO385" s="1207"/>
      <c r="AP385" s="1207"/>
      <c r="AQ385" s="1207"/>
      <c r="AR385" s="1207"/>
      <c r="AS385" s="1207"/>
      <c r="AT385" s="1207"/>
      <c r="AU385" s="1207"/>
      <c r="AV385" s="1207"/>
      <c r="AW385" s="1207"/>
      <c r="AX385" s="1207"/>
      <c r="AY385" s="1207"/>
      <c r="AZ385" s="1207"/>
      <c r="BA385" s="1207"/>
      <c r="BB385" s="1207"/>
      <c r="BC385" s="1207"/>
      <c r="BD385" s="1207"/>
      <c r="BE385" s="1207"/>
      <c r="BF385" s="1207"/>
      <c r="BG385" s="1207"/>
      <c r="BH385" s="1207"/>
      <c r="BI385" s="1207"/>
      <c r="BJ385" s="1207"/>
      <c r="BK385" s="1207"/>
      <c r="BL385" s="1207"/>
      <c r="BM385" s="1207"/>
      <c r="BN385" s="1207"/>
      <c r="BO385" s="1207"/>
      <c r="BP385" s="1207"/>
      <c r="BQ385" s="1207"/>
      <c r="BR385" s="1207"/>
      <c r="BS385" s="1207"/>
      <c r="BT385" s="1207"/>
      <c r="BU385" s="1207"/>
      <c r="BV385" s="1207"/>
      <c r="BW385" s="1207"/>
      <c r="BX385" s="1207"/>
      <c r="BY385" s="1207"/>
      <c r="BZ385" s="1207"/>
      <c r="CA385" s="1207"/>
      <c r="CB385" s="1207"/>
      <c r="CC385" s="1207"/>
      <c r="CD385" s="1207"/>
      <c r="CE385" s="1207"/>
      <c r="CF385" s="1207"/>
    </row>
    <row r="386" spans="1:84" ht="135" x14ac:dyDescent="0.2">
      <c r="A386" s="1355">
        <v>2022361</v>
      </c>
      <c r="B386" s="1172">
        <v>7658</v>
      </c>
      <c r="C386" s="1356" t="s">
        <v>681</v>
      </c>
      <c r="D386" s="1190" t="s">
        <v>703</v>
      </c>
      <c r="E386" s="1174">
        <v>80111600</v>
      </c>
      <c r="F386" s="1389" t="s">
        <v>1032</v>
      </c>
      <c r="G386" s="1390">
        <v>44562</v>
      </c>
      <c r="H386" s="1390">
        <v>44592</v>
      </c>
      <c r="I386" s="1176">
        <v>11</v>
      </c>
      <c r="J386" s="1176" t="s">
        <v>675</v>
      </c>
      <c r="K386" s="1177" t="s">
        <v>676</v>
      </c>
      <c r="L386" s="1178" t="s">
        <v>677</v>
      </c>
      <c r="M386" s="1179">
        <f>27775000-825000</f>
        <v>26950000</v>
      </c>
      <c r="N386" s="1386" t="s">
        <v>1026</v>
      </c>
      <c r="O386" s="1174" t="s">
        <v>773</v>
      </c>
      <c r="P386" s="1207" t="s">
        <v>680</v>
      </c>
      <c r="Q386" s="1163"/>
      <c r="R386" s="1357">
        <v>26950000</v>
      </c>
      <c r="S386" s="1357">
        <v>26950000</v>
      </c>
      <c r="T386" s="1357">
        <f>+Tabla16[[#This Row],[CDPS A 31 JULIO 2022]]-Tabla16[[#This Row],[CDP]]</f>
        <v>0</v>
      </c>
      <c r="U386" s="1357">
        <v>26950000</v>
      </c>
      <c r="V386" s="1357">
        <v>9800000</v>
      </c>
      <c r="W386" s="1357"/>
      <c r="X386" s="1207"/>
      <c r="Y386" s="1207"/>
      <c r="Z386" s="1207"/>
      <c r="AA386" s="1207"/>
      <c r="AB386" s="1207"/>
      <c r="AC386" s="1207"/>
      <c r="AD386" s="1207"/>
      <c r="AE386" s="1207"/>
      <c r="AF386" s="1207"/>
      <c r="AG386" s="1207"/>
      <c r="AH386" s="1207"/>
      <c r="AI386" s="1207"/>
      <c r="AJ386" s="1207"/>
      <c r="AK386" s="1207"/>
      <c r="AL386" s="1207"/>
      <c r="AM386" s="1207"/>
      <c r="AN386" s="1207"/>
      <c r="AO386" s="1207"/>
      <c r="AP386" s="1207"/>
      <c r="AQ386" s="1207"/>
      <c r="AR386" s="1207"/>
      <c r="AS386" s="1207"/>
      <c r="AT386" s="1207"/>
      <c r="AU386" s="1207"/>
      <c r="AV386" s="1207"/>
      <c r="AW386" s="1207"/>
      <c r="AX386" s="1207"/>
      <c r="AY386" s="1207"/>
      <c r="AZ386" s="1207"/>
      <c r="BA386" s="1207"/>
      <c r="BB386" s="1207"/>
      <c r="BC386" s="1207"/>
      <c r="BD386" s="1207"/>
      <c r="BE386" s="1207"/>
      <c r="BF386" s="1207"/>
      <c r="BG386" s="1207"/>
      <c r="BH386" s="1207"/>
      <c r="BI386" s="1207"/>
      <c r="BJ386" s="1207"/>
      <c r="BK386" s="1207"/>
      <c r="BL386" s="1207"/>
      <c r="BM386" s="1207"/>
      <c r="BN386" s="1207"/>
      <c r="BO386" s="1207"/>
      <c r="BP386" s="1207"/>
      <c r="BQ386" s="1207"/>
      <c r="BR386" s="1207"/>
      <c r="BS386" s="1207"/>
      <c r="BT386" s="1207"/>
      <c r="BU386" s="1207"/>
      <c r="BV386" s="1207"/>
      <c r="BW386" s="1207"/>
      <c r="BX386" s="1207"/>
      <c r="BY386" s="1207"/>
      <c r="BZ386" s="1207"/>
      <c r="CA386" s="1207"/>
      <c r="CB386" s="1207"/>
      <c r="CC386" s="1207"/>
      <c r="CD386" s="1207"/>
      <c r="CE386" s="1207"/>
      <c r="CF386" s="1207"/>
    </row>
    <row r="387" spans="1:84" ht="135" x14ac:dyDescent="0.2">
      <c r="A387" s="1355">
        <v>2022362</v>
      </c>
      <c r="B387" s="1172">
        <v>7658</v>
      </c>
      <c r="C387" s="1356" t="s">
        <v>681</v>
      </c>
      <c r="D387" s="1190" t="s">
        <v>703</v>
      </c>
      <c r="E387" s="1174">
        <v>80111600</v>
      </c>
      <c r="F387" s="1389" t="s">
        <v>1032</v>
      </c>
      <c r="G387" s="1390">
        <v>44562</v>
      </c>
      <c r="H387" s="1390">
        <v>44592</v>
      </c>
      <c r="I387" s="1176">
        <v>11</v>
      </c>
      <c r="J387" s="1176" t="s">
        <v>675</v>
      </c>
      <c r="K387" s="1177" t="s">
        <v>676</v>
      </c>
      <c r="L387" s="1178" t="s">
        <v>677</v>
      </c>
      <c r="M387" s="1179">
        <f>27775000-825000</f>
        <v>26950000</v>
      </c>
      <c r="N387" s="1386" t="s">
        <v>1026</v>
      </c>
      <c r="O387" s="1174" t="s">
        <v>773</v>
      </c>
      <c r="P387" s="1207" t="s">
        <v>680</v>
      </c>
      <c r="Q387" s="1163"/>
      <c r="R387" s="1357">
        <v>26950000</v>
      </c>
      <c r="S387" s="1357">
        <v>26950000</v>
      </c>
      <c r="T387" s="1357">
        <f>+Tabla16[[#This Row],[CDPS A 31 JULIO 2022]]-Tabla16[[#This Row],[CDP]]</f>
        <v>0</v>
      </c>
      <c r="U387" s="1357">
        <v>26950000</v>
      </c>
      <c r="V387" s="1357">
        <v>9800000</v>
      </c>
      <c r="W387" s="1357"/>
      <c r="X387" s="1207"/>
      <c r="Y387" s="1207"/>
      <c r="Z387" s="1207"/>
      <c r="AA387" s="1207"/>
      <c r="AB387" s="1207"/>
      <c r="AC387" s="1207"/>
      <c r="AD387" s="1207"/>
      <c r="AE387" s="1207"/>
      <c r="AF387" s="1207"/>
      <c r="AG387" s="1207"/>
      <c r="AH387" s="1207"/>
      <c r="AI387" s="1207"/>
      <c r="AJ387" s="1207"/>
      <c r="AK387" s="1207"/>
      <c r="AL387" s="1207"/>
      <c r="AM387" s="1207"/>
      <c r="AN387" s="1207"/>
      <c r="AO387" s="1207"/>
      <c r="AP387" s="1207"/>
      <c r="AQ387" s="1207"/>
      <c r="AR387" s="1207"/>
      <c r="AS387" s="1207"/>
      <c r="AT387" s="1207"/>
      <c r="AU387" s="1207"/>
      <c r="AV387" s="1207"/>
      <c r="AW387" s="1207"/>
      <c r="AX387" s="1207"/>
      <c r="AY387" s="1207"/>
      <c r="AZ387" s="1207"/>
      <c r="BA387" s="1207"/>
      <c r="BB387" s="1207"/>
      <c r="BC387" s="1207"/>
      <c r="BD387" s="1207"/>
      <c r="BE387" s="1207"/>
      <c r="BF387" s="1207"/>
      <c r="BG387" s="1207"/>
      <c r="BH387" s="1207"/>
      <c r="BI387" s="1207"/>
      <c r="BJ387" s="1207"/>
      <c r="BK387" s="1207"/>
      <c r="BL387" s="1207"/>
      <c r="BM387" s="1207"/>
      <c r="BN387" s="1207"/>
      <c r="BO387" s="1207"/>
      <c r="BP387" s="1207"/>
      <c r="BQ387" s="1207"/>
      <c r="BR387" s="1207"/>
      <c r="BS387" s="1207"/>
      <c r="BT387" s="1207"/>
      <c r="BU387" s="1207"/>
      <c r="BV387" s="1207"/>
      <c r="BW387" s="1207"/>
      <c r="BX387" s="1207"/>
      <c r="BY387" s="1207"/>
      <c r="BZ387" s="1207"/>
      <c r="CA387" s="1207"/>
      <c r="CB387" s="1207"/>
      <c r="CC387" s="1207"/>
      <c r="CD387" s="1207"/>
      <c r="CE387" s="1207"/>
      <c r="CF387" s="1207"/>
    </row>
    <row r="388" spans="1:84" ht="135" x14ac:dyDescent="0.2">
      <c r="A388" s="1355">
        <v>2022363</v>
      </c>
      <c r="B388" s="1172">
        <v>7658</v>
      </c>
      <c r="C388" s="1356" t="s">
        <v>681</v>
      </c>
      <c r="D388" s="1190" t="s">
        <v>703</v>
      </c>
      <c r="E388" s="1174">
        <v>80111600</v>
      </c>
      <c r="F388" s="1389" t="s">
        <v>1032</v>
      </c>
      <c r="G388" s="1390">
        <v>44562</v>
      </c>
      <c r="H388" s="1390">
        <v>44592</v>
      </c>
      <c r="I388" s="1176">
        <v>11</v>
      </c>
      <c r="J388" s="1176" t="s">
        <v>675</v>
      </c>
      <c r="K388" s="1177" t="s">
        <v>676</v>
      </c>
      <c r="L388" s="1178" t="s">
        <v>677</v>
      </c>
      <c r="M388" s="1179">
        <f>27775000-825000</f>
        <v>26950000</v>
      </c>
      <c r="N388" s="1386" t="s">
        <v>1026</v>
      </c>
      <c r="O388" s="1174" t="s">
        <v>773</v>
      </c>
      <c r="P388" s="1207" t="s">
        <v>680</v>
      </c>
      <c r="Q388" s="1163"/>
      <c r="R388" s="1357">
        <v>26950000</v>
      </c>
      <c r="S388" s="1357">
        <v>26950000</v>
      </c>
      <c r="T388" s="1357">
        <f>+Tabla16[[#This Row],[CDPS A 31 JULIO 2022]]-Tabla16[[#This Row],[CDP]]</f>
        <v>0</v>
      </c>
      <c r="U388" s="1357">
        <v>26950000</v>
      </c>
      <c r="V388" s="1357">
        <v>8248333</v>
      </c>
      <c r="W388" s="1357"/>
      <c r="X388" s="1207"/>
      <c r="Y388" s="1207"/>
      <c r="Z388" s="1207"/>
      <c r="AA388" s="1207"/>
      <c r="AB388" s="1207"/>
      <c r="AC388" s="1207"/>
      <c r="AD388" s="1207"/>
      <c r="AE388" s="1207"/>
      <c r="AF388" s="1207"/>
      <c r="AG388" s="1207"/>
      <c r="AH388" s="1207"/>
      <c r="AI388" s="1207"/>
      <c r="AJ388" s="1207"/>
      <c r="AK388" s="1207"/>
      <c r="AL388" s="1207"/>
      <c r="AM388" s="1207"/>
      <c r="AN388" s="1207"/>
      <c r="AO388" s="1207"/>
      <c r="AP388" s="1207"/>
      <c r="AQ388" s="1207"/>
      <c r="AR388" s="1207"/>
      <c r="AS388" s="1207"/>
      <c r="AT388" s="1207"/>
      <c r="AU388" s="1207"/>
      <c r="AV388" s="1207"/>
      <c r="AW388" s="1207"/>
      <c r="AX388" s="1207"/>
      <c r="AY388" s="1207"/>
      <c r="AZ388" s="1207"/>
      <c r="BA388" s="1207"/>
      <c r="BB388" s="1207"/>
      <c r="BC388" s="1207"/>
      <c r="BD388" s="1207"/>
      <c r="BE388" s="1207"/>
      <c r="BF388" s="1207"/>
      <c r="BG388" s="1207"/>
      <c r="BH388" s="1207"/>
      <c r="BI388" s="1207"/>
      <c r="BJ388" s="1207"/>
      <c r="BK388" s="1207"/>
      <c r="BL388" s="1207"/>
      <c r="BM388" s="1207"/>
      <c r="BN388" s="1207"/>
      <c r="BO388" s="1207"/>
      <c r="BP388" s="1207"/>
      <c r="BQ388" s="1207"/>
      <c r="BR388" s="1207"/>
      <c r="BS388" s="1207"/>
      <c r="BT388" s="1207"/>
      <c r="BU388" s="1207"/>
      <c r="BV388" s="1207"/>
      <c r="BW388" s="1207"/>
      <c r="BX388" s="1207"/>
      <c r="BY388" s="1207"/>
      <c r="BZ388" s="1207"/>
      <c r="CA388" s="1207"/>
      <c r="CB388" s="1207"/>
      <c r="CC388" s="1207"/>
      <c r="CD388" s="1207"/>
      <c r="CE388" s="1207"/>
      <c r="CF388" s="1207"/>
    </row>
    <row r="389" spans="1:84" ht="135" x14ac:dyDescent="0.2">
      <c r="A389" s="1355">
        <v>2022364</v>
      </c>
      <c r="B389" s="1172">
        <v>7658</v>
      </c>
      <c r="C389" s="1356" t="s">
        <v>681</v>
      </c>
      <c r="D389" s="1190" t="s">
        <v>703</v>
      </c>
      <c r="E389" s="1174">
        <v>80111600</v>
      </c>
      <c r="F389" s="1389" t="s">
        <v>1032</v>
      </c>
      <c r="G389" s="1390">
        <v>44562</v>
      </c>
      <c r="H389" s="1390">
        <v>44592</v>
      </c>
      <c r="I389" s="1176">
        <v>10</v>
      </c>
      <c r="J389" s="1176" t="s">
        <v>675</v>
      </c>
      <c r="K389" s="1177" t="s">
        <v>676</v>
      </c>
      <c r="L389" s="1178" t="s">
        <v>677</v>
      </c>
      <c r="M389" s="1179">
        <f>25250000-750000</f>
        <v>24500000</v>
      </c>
      <c r="N389" s="1386" t="s">
        <v>1026</v>
      </c>
      <c r="O389" s="1174" t="s">
        <v>773</v>
      </c>
      <c r="P389" s="1207" t="s">
        <v>680</v>
      </c>
      <c r="Q389" s="1163"/>
      <c r="R389" s="1357">
        <v>24500000</v>
      </c>
      <c r="S389" s="1357">
        <v>24500000</v>
      </c>
      <c r="T389" s="1357">
        <f>+Tabla16[[#This Row],[CDPS A 31 JULIO 2022]]-Tabla16[[#This Row],[CDP]]</f>
        <v>0</v>
      </c>
      <c r="U389" s="1357">
        <v>24500000</v>
      </c>
      <c r="V389" s="1357">
        <v>9800000</v>
      </c>
      <c r="W389" s="1357"/>
      <c r="X389" s="1207"/>
      <c r="Y389" s="1207"/>
      <c r="Z389" s="1207"/>
      <c r="AA389" s="1207"/>
      <c r="AB389" s="1207"/>
      <c r="AC389" s="1207"/>
      <c r="AD389" s="1207"/>
      <c r="AE389" s="1207"/>
      <c r="AF389" s="1207"/>
      <c r="AG389" s="1207"/>
      <c r="AH389" s="1207"/>
      <c r="AI389" s="1207"/>
      <c r="AJ389" s="1207"/>
      <c r="AK389" s="1207"/>
      <c r="AL389" s="1207"/>
      <c r="AM389" s="1207"/>
      <c r="AN389" s="1207"/>
      <c r="AO389" s="1207"/>
      <c r="AP389" s="1207"/>
      <c r="AQ389" s="1207"/>
      <c r="AR389" s="1207"/>
      <c r="AS389" s="1207"/>
      <c r="AT389" s="1207"/>
      <c r="AU389" s="1207"/>
      <c r="AV389" s="1207"/>
      <c r="AW389" s="1207"/>
      <c r="AX389" s="1207"/>
      <c r="AY389" s="1207"/>
      <c r="AZ389" s="1207"/>
      <c r="BA389" s="1207"/>
      <c r="BB389" s="1207"/>
      <c r="BC389" s="1207"/>
      <c r="BD389" s="1207"/>
      <c r="BE389" s="1207"/>
      <c r="BF389" s="1207"/>
      <c r="BG389" s="1207"/>
      <c r="BH389" s="1207"/>
      <c r="BI389" s="1207"/>
      <c r="BJ389" s="1207"/>
      <c r="BK389" s="1207"/>
      <c r="BL389" s="1207"/>
      <c r="BM389" s="1207"/>
      <c r="BN389" s="1207"/>
      <c r="BO389" s="1207"/>
      <c r="BP389" s="1207"/>
      <c r="BQ389" s="1207"/>
      <c r="BR389" s="1207"/>
      <c r="BS389" s="1207"/>
      <c r="BT389" s="1207"/>
      <c r="BU389" s="1207"/>
      <c r="BV389" s="1207"/>
      <c r="BW389" s="1207"/>
      <c r="BX389" s="1207"/>
      <c r="BY389" s="1207"/>
      <c r="BZ389" s="1207"/>
      <c r="CA389" s="1207"/>
      <c r="CB389" s="1207"/>
      <c r="CC389" s="1207"/>
      <c r="CD389" s="1207"/>
      <c r="CE389" s="1207"/>
      <c r="CF389" s="1207"/>
    </row>
    <row r="390" spans="1:84" ht="135" x14ac:dyDescent="0.2">
      <c r="A390" s="1355">
        <v>2022365</v>
      </c>
      <c r="B390" s="1172">
        <v>7658</v>
      </c>
      <c r="C390" s="1356" t="s">
        <v>681</v>
      </c>
      <c r="D390" s="1190" t="s">
        <v>703</v>
      </c>
      <c r="E390" s="1174">
        <v>80111600</v>
      </c>
      <c r="F390" s="1389" t="s">
        <v>1032</v>
      </c>
      <c r="G390" s="1390">
        <v>44562</v>
      </c>
      <c r="H390" s="1390">
        <v>44592</v>
      </c>
      <c r="I390" s="1176">
        <v>10</v>
      </c>
      <c r="J390" s="1176" t="s">
        <v>675</v>
      </c>
      <c r="K390" s="1177" t="s">
        <v>676</v>
      </c>
      <c r="L390" s="1178" t="s">
        <v>677</v>
      </c>
      <c r="M390" s="1179">
        <f>25250000-750000</f>
        <v>24500000</v>
      </c>
      <c r="N390" s="1386" t="s">
        <v>1026</v>
      </c>
      <c r="O390" s="1174" t="s">
        <v>773</v>
      </c>
      <c r="P390" s="1207" t="s">
        <v>680</v>
      </c>
      <c r="Q390" s="1163"/>
      <c r="R390" s="1357">
        <v>24500000</v>
      </c>
      <c r="S390" s="1357">
        <v>24500000</v>
      </c>
      <c r="T390" s="1357">
        <f>+Tabla16[[#This Row],[CDPS A 31 JULIO 2022]]-Tabla16[[#This Row],[CDP]]</f>
        <v>0</v>
      </c>
      <c r="U390" s="1357">
        <v>24500000</v>
      </c>
      <c r="V390" s="1357">
        <v>9310000</v>
      </c>
      <c r="W390" s="1357"/>
      <c r="X390" s="1207"/>
      <c r="Y390" s="1207"/>
      <c r="Z390" s="1207"/>
      <c r="AA390" s="1207"/>
      <c r="AB390" s="1207"/>
      <c r="AC390" s="1207"/>
      <c r="AD390" s="1207"/>
      <c r="AE390" s="1207"/>
      <c r="AF390" s="1207"/>
      <c r="AG390" s="1207"/>
      <c r="AH390" s="1207"/>
      <c r="AI390" s="1207"/>
      <c r="AJ390" s="1207"/>
      <c r="AK390" s="1207"/>
      <c r="AL390" s="1207"/>
      <c r="AM390" s="1207"/>
      <c r="AN390" s="1207"/>
      <c r="AO390" s="1207"/>
      <c r="AP390" s="1207"/>
      <c r="AQ390" s="1207"/>
      <c r="AR390" s="1207"/>
      <c r="AS390" s="1207"/>
      <c r="AT390" s="1207"/>
      <c r="AU390" s="1207"/>
      <c r="AV390" s="1207"/>
      <c r="AW390" s="1207"/>
      <c r="AX390" s="1207"/>
      <c r="AY390" s="1207"/>
      <c r="AZ390" s="1207"/>
      <c r="BA390" s="1207"/>
      <c r="BB390" s="1207"/>
      <c r="BC390" s="1207"/>
      <c r="BD390" s="1207"/>
      <c r="BE390" s="1207"/>
      <c r="BF390" s="1207"/>
      <c r="BG390" s="1207"/>
      <c r="BH390" s="1207"/>
      <c r="BI390" s="1207"/>
      <c r="BJ390" s="1207"/>
      <c r="BK390" s="1207"/>
      <c r="BL390" s="1207"/>
      <c r="BM390" s="1207"/>
      <c r="BN390" s="1207"/>
      <c r="BO390" s="1207"/>
      <c r="BP390" s="1207"/>
      <c r="BQ390" s="1207"/>
      <c r="BR390" s="1207"/>
      <c r="BS390" s="1207"/>
      <c r="BT390" s="1207"/>
      <c r="BU390" s="1207"/>
      <c r="BV390" s="1207"/>
      <c r="BW390" s="1207"/>
      <c r="BX390" s="1207"/>
      <c r="BY390" s="1207"/>
      <c r="BZ390" s="1207"/>
      <c r="CA390" s="1207"/>
      <c r="CB390" s="1207"/>
      <c r="CC390" s="1207"/>
      <c r="CD390" s="1207"/>
      <c r="CE390" s="1207"/>
      <c r="CF390" s="1207"/>
    </row>
    <row r="391" spans="1:84" ht="135" x14ac:dyDescent="0.2">
      <c r="A391" s="1355">
        <v>2022366</v>
      </c>
      <c r="B391" s="1172">
        <v>7658</v>
      </c>
      <c r="C391" s="1356" t="s">
        <v>681</v>
      </c>
      <c r="D391" s="1190" t="s">
        <v>703</v>
      </c>
      <c r="E391" s="1174">
        <v>80111600</v>
      </c>
      <c r="F391" s="1389" t="s">
        <v>1033</v>
      </c>
      <c r="G391" s="1390">
        <v>44562</v>
      </c>
      <c r="H391" s="1390">
        <v>44592</v>
      </c>
      <c r="I391" s="1176">
        <v>12</v>
      </c>
      <c r="J391" s="1176" t="s">
        <v>675</v>
      </c>
      <c r="K391" s="1177" t="s">
        <v>676</v>
      </c>
      <c r="L391" s="1178" t="s">
        <v>677</v>
      </c>
      <c r="M391" s="1179">
        <v>25956000</v>
      </c>
      <c r="N391" s="1386" t="s">
        <v>1026</v>
      </c>
      <c r="O391" s="1174" t="s">
        <v>773</v>
      </c>
      <c r="P391" s="1207" t="s">
        <v>680</v>
      </c>
      <c r="Q391" s="1163"/>
      <c r="R391" s="1357">
        <v>25200000</v>
      </c>
      <c r="S391" s="1357">
        <v>25200000</v>
      </c>
      <c r="T391" s="1357">
        <f>+Tabla16[[#This Row],[CDPS A 31 JULIO 2022]]-Tabla16[[#This Row],[CDP]]</f>
        <v>0</v>
      </c>
      <c r="U391" s="1357">
        <v>25200000</v>
      </c>
      <c r="V391" s="1357">
        <v>8400000</v>
      </c>
      <c r="W391" s="1357"/>
      <c r="X391" s="1207"/>
      <c r="Y391" s="1207"/>
      <c r="Z391" s="1207"/>
      <c r="AA391" s="1207"/>
      <c r="AB391" s="1207"/>
      <c r="AC391" s="1207"/>
      <c r="AD391" s="1207"/>
      <c r="AE391" s="1207"/>
      <c r="AF391" s="1207"/>
      <c r="AG391" s="1207"/>
      <c r="AH391" s="1207"/>
      <c r="AI391" s="1207"/>
      <c r="AJ391" s="1207"/>
      <c r="AK391" s="1207"/>
      <c r="AL391" s="1207"/>
      <c r="AM391" s="1207"/>
      <c r="AN391" s="1207"/>
      <c r="AO391" s="1207"/>
      <c r="AP391" s="1207"/>
      <c r="AQ391" s="1207"/>
      <c r="AR391" s="1207"/>
      <c r="AS391" s="1207"/>
      <c r="AT391" s="1207"/>
      <c r="AU391" s="1207"/>
      <c r="AV391" s="1207"/>
      <c r="AW391" s="1207"/>
      <c r="AX391" s="1207"/>
      <c r="AY391" s="1207"/>
      <c r="AZ391" s="1207"/>
      <c r="BA391" s="1207"/>
      <c r="BB391" s="1207"/>
      <c r="BC391" s="1207"/>
      <c r="BD391" s="1207"/>
      <c r="BE391" s="1207"/>
      <c r="BF391" s="1207"/>
      <c r="BG391" s="1207"/>
      <c r="BH391" s="1207"/>
      <c r="BI391" s="1207"/>
      <c r="BJ391" s="1207"/>
      <c r="BK391" s="1207"/>
      <c r="BL391" s="1207"/>
      <c r="BM391" s="1207"/>
      <c r="BN391" s="1207"/>
      <c r="BO391" s="1207"/>
      <c r="BP391" s="1207"/>
      <c r="BQ391" s="1207"/>
      <c r="BR391" s="1207"/>
      <c r="BS391" s="1207"/>
      <c r="BT391" s="1207"/>
      <c r="BU391" s="1207"/>
      <c r="BV391" s="1207"/>
      <c r="BW391" s="1207"/>
      <c r="BX391" s="1207"/>
      <c r="BY391" s="1207"/>
      <c r="BZ391" s="1207"/>
      <c r="CA391" s="1207"/>
      <c r="CB391" s="1207"/>
      <c r="CC391" s="1207"/>
      <c r="CD391" s="1207"/>
      <c r="CE391" s="1207"/>
      <c r="CF391" s="1207"/>
    </row>
    <row r="392" spans="1:84" ht="135" x14ac:dyDescent="0.2">
      <c r="A392" s="1355">
        <v>2022367</v>
      </c>
      <c r="B392" s="1172">
        <v>7658</v>
      </c>
      <c r="C392" s="1356" t="s">
        <v>681</v>
      </c>
      <c r="D392" s="1190" t="s">
        <v>703</v>
      </c>
      <c r="E392" s="1174">
        <v>80111600</v>
      </c>
      <c r="F392" s="1389" t="s">
        <v>1034</v>
      </c>
      <c r="G392" s="1390">
        <v>44562</v>
      </c>
      <c r="H392" s="1390">
        <v>44592</v>
      </c>
      <c r="I392" s="1176">
        <v>12</v>
      </c>
      <c r="J392" s="1176" t="s">
        <v>675</v>
      </c>
      <c r="K392" s="1177" t="s">
        <v>676</v>
      </c>
      <c r="L392" s="1178" t="s">
        <v>677</v>
      </c>
      <c r="M392" s="1179">
        <v>41400000</v>
      </c>
      <c r="N392" s="1386" t="s">
        <v>1026</v>
      </c>
      <c r="O392" s="1174" t="s">
        <v>773</v>
      </c>
      <c r="P392" s="1207" t="s">
        <v>680</v>
      </c>
      <c r="Q392" s="1163"/>
      <c r="R392" s="1357">
        <v>40200000</v>
      </c>
      <c r="S392" s="1357">
        <v>40200000</v>
      </c>
      <c r="T392" s="1357">
        <f>+Tabla16[[#This Row],[CDPS A 31 JULIO 2022]]-Tabla16[[#This Row],[CDP]]</f>
        <v>0</v>
      </c>
      <c r="U392" s="1357">
        <v>40200000</v>
      </c>
      <c r="V392" s="1357">
        <v>14181667</v>
      </c>
      <c r="W392" s="1357"/>
      <c r="X392" s="1207"/>
      <c r="Y392" s="1207"/>
      <c r="Z392" s="1207"/>
      <c r="AA392" s="1207"/>
      <c r="AB392" s="1207"/>
      <c r="AC392" s="1207"/>
      <c r="AD392" s="1207"/>
      <c r="AE392" s="1207"/>
      <c r="AF392" s="1207"/>
      <c r="AG392" s="1207"/>
      <c r="AH392" s="1207"/>
      <c r="AI392" s="1207"/>
      <c r="AJ392" s="1207"/>
      <c r="AK392" s="1207"/>
      <c r="AL392" s="1207"/>
      <c r="AM392" s="1207"/>
      <c r="AN392" s="1207"/>
      <c r="AO392" s="1207"/>
      <c r="AP392" s="1207"/>
      <c r="AQ392" s="1207"/>
      <c r="AR392" s="1207"/>
      <c r="AS392" s="1207"/>
      <c r="AT392" s="1207"/>
      <c r="AU392" s="1207"/>
      <c r="AV392" s="1207"/>
      <c r="AW392" s="1207"/>
      <c r="AX392" s="1207"/>
      <c r="AY392" s="1207"/>
      <c r="AZ392" s="1207"/>
      <c r="BA392" s="1207"/>
      <c r="BB392" s="1207"/>
      <c r="BC392" s="1207"/>
      <c r="BD392" s="1207"/>
      <c r="BE392" s="1207"/>
      <c r="BF392" s="1207"/>
      <c r="BG392" s="1207"/>
      <c r="BH392" s="1207"/>
      <c r="BI392" s="1207"/>
      <c r="BJ392" s="1207"/>
      <c r="BK392" s="1207"/>
      <c r="BL392" s="1207"/>
      <c r="BM392" s="1207"/>
      <c r="BN392" s="1207"/>
      <c r="BO392" s="1207"/>
      <c r="BP392" s="1207"/>
      <c r="BQ392" s="1207"/>
      <c r="BR392" s="1207"/>
      <c r="BS392" s="1207"/>
      <c r="BT392" s="1207"/>
      <c r="BU392" s="1207"/>
      <c r="BV392" s="1207"/>
      <c r="BW392" s="1207"/>
      <c r="BX392" s="1207"/>
      <c r="BY392" s="1207"/>
      <c r="BZ392" s="1207"/>
      <c r="CA392" s="1207"/>
      <c r="CB392" s="1207"/>
      <c r="CC392" s="1207"/>
      <c r="CD392" s="1207"/>
      <c r="CE392" s="1207"/>
      <c r="CF392" s="1207"/>
    </row>
    <row r="393" spans="1:84" ht="135" x14ac:dyDescent="0.2">
      <c r="A393" s="1355">
        <v>2022368</v>
      </c>
      <c r="B393" s="1172">
        <v>7658</v>
      </c>
      <c r="C393" s="1356" t="s">
        <v>681</v>
      </c>
      <c r="D393" s="1190" t="s">
        <v>703</v>
      </c>
      <c r="E393" s="1174">
        <v>80111600</v>
      </c>
      <c r="F393" s="1389" t="s">
        <v>1035</v>
      </c>
      <c r="G393" s="1390">
        <v>44562</v>
      </c>
      <c r="H393" s="1390">
        <v>44592</v>
      </c>
      <c r="I393" s="1176">
        <v>12</v>
      </c>
      <c r="J393" s="1176" t="s">
        <v>675</v>
      </c>
      <c r="K393" s="1177" t="s">
        <v>676</v>
      </c>
      <c r="L393" s="1178" t="s">
        <v>677</v>
      </c>
      <c r="M393" s="1179">
        <v>25200000</v>
      </c>
      <c r="N393" s="1386" t="s">
        <v>1026</v>
      </c>
      <c r="O393" s="1174" t="s">
        <v>773</v>
      </c>
      <c r="P393" s="1207" t="s">
        <v>680</v>
      </c>
      <c r="Q393" s="1163"/>
      <c r="R393" s="1357">
        <v>20100000</v>
      </c>
      <c r="S393" s="1357">
        <v>20100000</v>
      </c>
      <c r="T393" s="1357">
        <f>+Tabla16[[#This Row],[CDPS A 31 JULIO 2022]]-Tabla16[[#This Row],[CDP]]</f>
        <v>0</v>
      </c>
      <c r="U393" s="1357">
        <v>20100000</v>
      </c>
      <c r="V393" s="1357">
        <v>13176667</v>
      </c>
      <c r="W393" s="1357"/>
      <c r="X393" s="1207"/>
      <c r="Y393" s="1207"/>
      <c r="Z393" s="1207"/>
      <c r="AA393" s="1207"/>
      <c r="AB393" s="1207"/>
      <c r="AC393" s="1207"/>
      <c r="AD393" s="1207"/>
      <c r="AE393" s="1207"/>
      <c r="AF393" s="1207"/>
      <c r="AG393" s="1207"/>
      <c r="AH393" s="1207"/>
      <c r="AI393" s="1207"/>
      <c r="AJ393" s="1207"/>
      <c r="AK393" s="1207"/>
      <c r="AL393" s="1207"/>
      <c r="AM393" s="1207"/>
      <c r="AN393" s="1207"/>
      <c r="AO393" s="1207"/>
      <c r="AP393" s="1207"/>
      <c r="AQ393" s="1207"/>
      <c r="AR393" s="1207"/>
      <c r="AS393" s="1207"/>
      <c r="AT393" s="1207"/>
      <c r="AU393" s="1207"/>
      <c r="AV393" s="1207"/>
      <c r="AW393" s="1207"/>
      <c r="AX393" s="1207"/>
      <c r="AY393" s="1207"/>
      <c r="AZ393" s="1207"/>
      <c r="BA393" s="1207"/>
      <c r="BB393" s="1207"/>
      <c r="BC393" s="1207"/>
      <c r="BD393" s="1207"/>
      <c r="BE393" s="1207"/>
      <c r="BF393" s="1207"/>
      <c r="BG393" s="1207"/>
      <c r="BH393" s="1207"/>
      <c r="BI393" s="1207"/>
      <c r="BJ393" s="1207"/>
      <c r="BK393" s="1207"/>
      <c r="BL393" s="1207"/>
      <c r="BM393" s="1207"/>
      <c r="BN393" s="1207"/>
      <c r="BO393" s="1207"/>
      <c r="BP393" s="1207"/>
      <c r="BQ393" s="1207"/>
      <c r="BR393" s="1207"/>
      <c r="BS393" s="1207"/>
      <c r="BT393" s="1207"/>
      <c r="BU393" s="1207"/>
      <c r="BV393" s="1207"/>
      <c r="BW393" s="1207"/>
      <c r="BX393" s="1207"/>
      <c r="BY393" s="1207"/>
      <c r="BZ393" s="1207"/>
      <c r="CA393" s="1207"/>
      <c r="CB393" s="1207"/>
      <c r="CC393" s="1207"/>
      <c r="CD393" s="1207"/>
      <c r="CE393" s="1207"/>
      <c r="CF393" s="1207"/>
    </row>
    <row r="394" spans="1:84" ht="135" x14ac:dyDescent="0.2">
      <c r="A394" s="1355">
        <v>2022369</v>
      </c>
      <c r="B394" s="1172">
        <v>7658</v>
      </c>
      <c r="C394" s="1356" t="s">
        <v>681</v>
      </c>
      <c r="D394" s="1190" t="s">
        <v>703</v>
      </c>
      <c r="E394" s="1174">
        <v>80111600</v>
      </c>
      <c r="F394" s="1389" t="s">
        <v>1036</v>
      </c>
      <c r="G394" s="1390">
        <v>44562</v>
      </c>
      <c r="H394" s="1390">
        <v>44592</v>
      </c>
      <c r="I394" s="1176">
        <v>11</v>
      </c>
      <c r="J394" s="1176" t="s">
        <v>675</v>
      </c>
      <c r="K394" s="1177" t="s">
        <v>676</v>
      </c>
      <c r="L394" s="1178" t="s">
        <v>677</v>
      </c>
      <c r="M394" s="1179">
        <v>37950000</v>
      </c>
      <c r="N394" s="1386" t="s">
        <v>1026</v>
      </c>
      <c r="O394" s="1174" t="s">
        <v>773</v>
      </c>
      <c r="P394" s="1207" t="s">
        <v>680</v>
      </c>
      <c r="Q394" s="1163"/>
      <c r="R394" s="1357">
        <v>36850000</v>
      </c>
      <c r="S394" s="1357">
        <v>36850000</v>
      </c>
      <c r="T394" s="1357">
        <f>+Tabla16[[#This Row],[CDPS A 31 JULIO 2022]]-Tabla16[[#This Row],[CDP]]</f>
        <v>0</v>
      </c>
      <c r="U394" s="1357">
        <v>36850000</v>
      </c>
      <c r="V394" s="1357">
        <v>13958333</v>
      </c>
      <c r="W394" s="1357"/>
      <c r="X394" s="1207"/>
      <c r="Y394" s="1207"/>
      <c r="Z394" s="1207"/>
      <c r="AA394" s="1207"/>
      <c r="AB394" s="1207"/>
      <c r="AC394" s="1207"/>
      <c r="AD394" s="1207"/>
      <c r="AE394" s="1207"/>
      <c r="AF394" s="1207"/>
      <c r="AG394" s="1207"/>
      <c r="AH394" s="1207"/>
      <c r="AI394" s="1207"/>
      <c r="AJ394" s="1207"/>
      <c r="AK394" s="1207"/>
      <c r="AL394" s="1207"/>
      <c r="AM394" s="1207"/>
      <c r="AN394" s="1207"/>
      <c r="AO394" s="1207"/>
      <c r="AP394" s="1207"/>
      <c r="AQ394" s="1207"/>
      <c r="AR394" s="1207"/>
      <c r="AS394" s="1207"/>
      <c r="AT394" s="1207"/>
      <c r="AU394" s="1207"/>
      <c r="AV394" s="1207"/>
      <c r="AW394" s="1207"/>
      <c r="AX394" s="1207"/>
      <c r="AY394" s="1207"/>
      <c r="AZ394" s="1207"/>
      <c r="BA394" s="1207"/>
      <c r="BB394" s="1207"/>
      <c r="BC394" s="1207"/>
      <c r="BD394" s="1207"/>
      <c r="BE394" s="1207"/>
      <c r="BF394" s="1207"/>
      <c r="BG394" s="1207"/>
      <c r="BH394" s="1207"/>
      <c r="BI394" s="1207"/>
      <c r="BJ394" s="1207"/>
      <c r="BK394" s="1207"/>
      <c r="BL394" s="1207"/>
      <c r="BM394" s="1207"/>
      <c r="BN394" s="1207"/>
      <c r="BO394" s="1207"/>
      <c r="BP394" s="1207"/>
      <c r="BQ394" s="1207"/>
      <c r="BR394" s="1207"/>
      <c r="BS394" s="1207"/>
      <c r="BT394" s="1207"/>
      <c r="BU394" s="1207"/>
      <c r="BV394" s="1207"/>
      <c r="BW394" s="1207"/>
      <c r="BX394" s="1207"/>
      <c r="BY394" s="1207"/>
      <c r="BZ394" s="1207"/>
      <c r="CA394" s="1207"/>
      <c r="CB394" s="1207"/>
      <c r="CC394" s="1207"/>
      <c r="CD394" s="1207"/>
      <c r="CE394" s="1207"/>
      <c r="CF394" s="1207"/>
    </row>
    <row r="395" spans="1:84" ht="135" x14ac:dyDescent="0.2">
      <c r="A395" s="1355">
        <v>2022370</v>
      </c>
      <c r="B395" s="1172">
        <v>7658</v>
      </c>
      <c r="C395" s="1356" t="s">
        <v>681</v>
      </c>
      <c r="D395" s="1190" t="s">
        <v>703</v>
      </c>
      <c r="E395" s="1174">
        <v>80111600</v>
      </c>
      <c r="F395" s="1389" t="s">
        <v>1037</v>
      </c>
      <c r="G395" s="1390">
        <v>44562</v>
      </c>
      <c r="H395" s="1390">
        <v>44592</v>
      </c>
      <c r="I395" s="1176">
        <v>12</v>
      </c>
      <c r="J395" s="1176" t="s">
        <v>675</v>
      </c>
      <c r="K395" s="1177" t="s">
        <v>676</v>
      </c>
      <c r="L395" s="1178" t="s">
        <v>677</v>
      </c>
      <c r="M395" s="1179">
        <v>47586000</v>
      </c>
      <c r="N395" s="1386" t="s">
        <v>1026</v>
      </c>
      <c r="O395" s="1174" t="s">
        <v>773</v>
      </c>
      <c r="P395" s="1207" t="s">
        <v>680</v>
      </c>
      <c r="Q395" s="1163"/>
      <c r="R395" s="1357">
        <v>46200000</v>
      </c>
      <c r="S395" s="1357">
        <v>46200000</v>
      </c>
      <c r="T395" s="1357">
        <f>+Tabla16[[#This Row],[CDPS A 31 JULIO 2022]]-Tabla16[[#This Row],[CDP]]</f>
        <v>0</v>
      </c>
      <c r="U395" s="1357">
        <v>46200000</v>
      </c>
      <c r="V395" s="1357">
        <v>16940000</v>
      </c>
      <c r="W395" s="1357"/>
      <c r="X395" s="1207"/>
      <c r="Y395" s="1207"/>
      <c r="Z395" s="1207"/>
      <c r="AA395" s="1207"/>
      <c r="AB395" s="1207"/>
      <c r="AC395" s="1207"/>
      <c r="AD395" s="1207"/>
      <c r="AE395" s="1207"/>
      <c r="AF395" s="1207"/>
      <c r="AG395" s="1207"/>
      <c r="AH395" s="1207"/>
      <c r="AI395" s="1207"/>
      <c r="AJ395" s="1207"/>
      <c r="AK395" s="1207"/>
      <c r="AL395" s="1207"/>
      <c r="AM395" s="1207"/>
      <c r="AN395" s="1207"/>
      <c r="AO395" s="1207"/>
      <c r="AP395" s="1207"/>
      <c r="AQ395" s="1207"/>
      <c r="AR395" s="1207"/>
      <c r="AS395" s="1207"/>
      <c r="AT395" s="1207"/>
      <c r="AU395" s="1207"/>
      <c r="AV395" s="1207"/>
      <c r="AW395" s="1207"/>
      <c r="AX395" s="1207"/>
      <c r="AY395" s="1207"/>
      <c r="AZ395" s="1207"/>
      <c r="BA395" s="1207"/>
      <c r="BB395" s="1207"/>
      <c r="BC395" s="1207"/>
      <c r="BD395" s="1207"/>
      <c r="BE395" s="1207"/>
      <c r="BF395" s="1207"/>
      <c r="BG395" s="1207"/>
      <c r="BH395" s="1207"/>
      <c r="BI395" s="1207"/>
      <c r="BJ395" s="1207"/>
      <c r="BK395" s="1207"/>
      <c r="BL395" s="1207"/>
      <c r="BM395" s="1207"/>
      <c r="BN395" s="1207"/>
      <c r="BO395" s="1207"/>
      <c r="BP395" s="1207"/>
      <c r="BQ395" s="1207"/>
      <c r="BR395" s="1207"/>
      <c r="BS395" s="1207"/>
      <c r="BT395" s="1207"/>
      <c r="BU395" s="1207"/>
      <c r="BV395" s="1207"/>
      <c r="BW395" s="1207"/>
      <c r="BX395" s="1207"/>
      <c r="BY395" s="1207"/>
      <c r="BZ395" s="1207"/>
      <c r="CA395" s="1207"/>
      <c r="CB395" s="1207"/>
      <c r="CC395" s="1207"/>
      <c r="CD395" s="1207"/>
      <c r="CE395" s="1207"/>
      <c r="CF395" s="1207"/>
    </row>
    <row r="396" spans="1:84" ht="135" x14ac:dyDescent="0.2">
      <c r="A396" s="1355">
        <v>2022371</v>
      </c>
      <c r="B396" s="1172">
        <v>7658</v>
      </c>
      <c r="C396" s="1356" t="s">
        <v>681</v>
      </c>
      <c r="D396" s="1190" t="s">
        <v>703</v>
      </c>
      <c r="E396" s="1174">
        <v>80111600</v>
      </c>
      <c r="F396" s="1389" t="s">
        <v>1038</v>
      </c>
      <c r="G396" s="1390">
        <v>44562</v>
      </c>
      <c r="H396" s="1390">
        <v>44592</v>
      </c>
      <c r="I396" s="1176">
        <v>11</v>
      </c>
      <c r="J396" s="1176" t="s">
        <v>675</v>
      </c>
      <c r="K396" s="1177" t="s">
        <v>676</v>
      </c>
      <c r="L396" s="1178" t="s">
        <v>677</v>
      </c>
      <c r="M396" s="1249">
        <f>37956000-28254000+8925000</f>
        <v>18627000</v>
      </c>
      <c r="N396" s="1386" t="s">
        <v>1026</v>
      </c>
      <c r="O396" s="1174" t="s">
        <v>773</v>
      </c>
      <c r="P396" s="1207" t="s">
        <v>680</v>
      </c>
      <c r="Q396" s="1163"/>
      <c r="R396" s="1269">
        <v>0</v>
      </c>
      <c r="S396" s="1357"/>
      <c r="T396" s="1357">
        <f>+Tabla16[[#This Row],[CDPS A 31 JULIO 2022]]-Tabla16[[#This Row],[CDP]]</f>
        <v>0</v>
      </c>
      <c r="U396" s="1357"/>
      <c r="V396" s="1357"/>
      <c r="W396" s="1357"/>
      <c r="X396" s="1207"/>
      <c r="Y396" s="1207"/>
      <c r="Z396" s="1207"/>
      <c r="AA396" s="1207"/>
      <c r="AB396" s="1207"/>
      <c r="AC396" s="1207"/>
      <c r="AD396" s="1207"/>
      <c r="AE396" s="1207"/>
      <c r="AF396" s="1207"/>
      <c r="AG396" s="1207"/>
      <c r="AH396" s="1207"/>
      <c r="AI396" s="1207"/>
      <c r="AJ396" s="1207"/>
      <c r="AK396" s="1207"/>
      <c r="AL396" s="1207"/>
      <c r="AM396" s="1207"/>
      <c r="AN396" s="1207"/>
      <c r="AO396" s="1207"/>
      <c r="AP396" s="1207"/>
      <c r="AQ396" s="1207"/>
      <c r="AR396" s="1207"/>
      <c r="AS396" s="1207"/>
      <c r="AT396" s="1207"/>
      <c r="AU396" s="1207"/>
      <c r="AV396" s="1207"/>
      <c r="AW396" s="1207"/>
      <c r="AX396" s="1207"/>
      <c r="AY396" s="1207"/>
      <c r="AZ396" s="1207"/>
      <c r="BA396" s="1207"/>
      <c r="BB396" s="1207"/>
      <c r="BC396" s="1207"/>
      <c r="BD396" s="1207"/>
      <c r="BE396" s="1207"/>
      <c r="BF396" s="1207"/>
      <c r="BG396" s="1207"/>
      <c r="BH396" s="1207"/>
      <c r="BI396" s="1207"/>
      <c r="BJ396" s="1207"/>
      <c r="BK396" s="1207"/>
      <c r="BL396" s="1207"/>
      <c r="BM396" s="1207"/>
      <c r="BN396" s="1207"/>
      <c r="BO396" s="1207"/>
      <c r="BP396" s="1207"/>
      <c r="BQ396" s="1207"/>
      <c r="BR396" s="1207"/>
      <c r="BS396" s="1207"/>
      <c r="BT396" s="1207"/>
      <c r="BU396" s="1207"/>
      <c r="BV396" s="1207"/>
      <c r="BW396" s="1207"/>
      <c r="BX396" s="1207"/>
      <c r="BY396" s="1207"/>
      <c r="BZ396" s="1207"/>
      <c r="CA396" s="1207"/>
      <c r="CB396" s="1207"/>
      <c r="CC396" s="1207"/>
      <c r="CD396" s="1207"/>
      <c r="CE396" s="1207"/>
      <c r="CF396" s="1207"/>
    </row>
    <row r="397" spans="1:84" ht="135" x14ac:dyDescent="0.2">
      <c r="A397" s="1355">
        <v>2022372</v>
      </c>
      <c r="B397" s="1172">
        <v>7658</v>
      </c>
      <c r="C397" s="1356" t="s">
        <v>681</v>
      </c>
      <c r="D397" s="1190" t="s">
        <v>703</v>
      </c>
      <c r="E397" s="1174">
        <v>80111600</v>
      </c>
      <c r="F397" s="1389" t="s">
        <v>1039</v>
      </c>
      <c r="G397" s="1390">
        <v>44562</v>
      </c>
      <c r="H397" s="1390">
        <v>44592</v>
      </c>
      <c r="I397" s="1176">
        <v>12</v>
      </c>
      <c r="J397" s="1176" t="s">
        <v>675</v>
      </c>
      <c r="K397" s="1177" t="s">
        <v>676</v>
      </c>
      <c r="L397" s="1178" t="s">
        <v>677</v>
      </c>
      <c r="M397" s="1179">
        <f>63036000-1836000</f>
        <v>61200000</v>
      </c>
      <c r="N397" s="1386" t="s">
        <v>1026</v>
      </c>
      <c r="O397" s="1174" t="s">
        <v>773</v>
      </c>
      <c r="P397" s="1207" t="s">
        <v>680</v>
      </c>
      <c r="Q397" s="1163"/>
      <c r="R397" s="1357">
        <v>61200000</v>
      </c>
      <c r="S397" s="1357">
        <v>61200000</v>
      </c>
      <c r="T397" s="1357">
        <f>+Tabla16[[#This Row],[CDPS A 31 JULIO 2022]]-Tabla16[[#This Row],[CDP]]</f>
        <v>0</v>
      </c>
      <c r="U397" s="1357">
        <v>61200000</v>
      </c>
      <c r="V397" s="1357">
        <v>19890000</v>
      </c>
      <c r="W397" s="1357"/>
      <c r="X397" s="1207"/>
      <c r="Y397" s="1207"/>
      <c r="Z397" s="1207"/>
      <c r="AA397" s="1207"/>
      <c r="AB397" s="1207"/>
      <c r="AC397" s="1207"/>
      <c r="AD397" s="1207"/>
      <c r="AE397" s="1207"/>
      <c r="AF397" s="1207"/>
      <c r="AG397" s="1207"/>
      <c r="AH397" s="1207"/>
      <c r="AI397" s="1207"/>
      <c r="AJ397" s="1207"/>
      <c r="AK397" s="1207"/>
      <c r="AL397" s="1207"/>
      <c r="AM397" s="1207"/>
      <c r="AN397" s="1207"/>
      <c r="AO397" s="1207"/>
      <c r="AP397" s="1207"/>
      <c r="AQ397" s="1207"/>
      <c r="AR397" s="1207"/>
      <c r="AS397" s="1207"/>
      <c r="AT397" s="1207"/>
      <c r="AU397" s="1207"/>
      <c r="AV397" s="1207"/>
      <c r="AW397" s="1207"/>
      <c r="AX397" s="1207"/>
      <c r="AY397" s="1207"/>
      <c r="AZ397" s="1207"/>
      <c r="BA397" s="1207"/>
      <c r="BB397" s="1207"/>
      <c r="BC397" s="1207"/>
      <c r="BD397" s="1207"/>
      <c r="BE397" s="1207"/>
      <c r="BF397" s="1207"/>
      <c r="BG397" s="1207"/>
      <c r="BH397" s="1207"/>
      <c r="BI397" s="1207"/>
      <c r="BJ397" s="1207"/>
      <c r="BK397" s="1207"/>
      <c r="BL397" s="1207"/>
      <c r="BM397" s="1207"/>
      <c r="BN397" s="1207"/>
      <c r="BO397" s="1207"/>
      <c r="BP397" s="1207"/>
      <c r="BQ397" s="1207"/>
      <c r="BR397" s="1207"/>
      <c r="BS397" s="1207"/>
      <c r="BT397" s="1207"/>
      <c r="BU397" s="1207"/>
      <c r="BV397" s="1207"/>
      <c r="BW397" s="1207"/>
      <c r="BX397" s="1207"/>
      <c r="BY397" s="1207"/>
      <c r="BZ397" s="1207"/>
      <c r="CA397" s="1207"/>
      <c r="CB397" s="1207"/>
      <c r="CC397" s="1207"/>
      <c r="CD397" s="1207"/>
      <c r="CE397" s="1207"/>
      <c r="CF397" s="1207"/>
    </row>
    <row r="398" spans="1:84" ht="135" x14ac:dyDescent="0.2">
      <c r="A398" s="1355">
        <v>2022373</v>
      </c>
      <c r="B398" s="1172">
        <v>7658</v>
      </c>
      <c r="C398" s="1356" t="s">
        <v>681</v>
      </c>
      <c r="D398" s="1190" t="s">
        <v>703</v>
      </c>
      <c r="E398" s="1174">
        <v>80111600</v>
      </c>
      <c r="F398" s="1389" t="s">
        <v>1039</v>
      </c>
      <c r="G398" s="1390">
        <v>44562</v>
      </c>
      <c r="H398" s="1390">
        <v>44592</v>
      </c>
      <c r="I398" s="1176">
        <v>10</v>
      </c>
      <c r="J398" s="1176" t="s">
        <v>675</v>
      </c>
      <c r="K398" s="1177" t="s">
        <v>676</v>
      </c>
      <c r="L398" s="1178" t="s">
        <v>677</v>
      </c>
      <c r="M398" s="1179">
        <f>39700000-1200000</f>
        <v>38500000</v>
      </c>
      <c r="N398" s="1386" t="s">
        <v>1026</v>
      </c>
      <c r="O398" s="1174" t="s">
        <v>773</v>
      </c>
      <c r="P398" s="1207" t="s">
        <v>680</v>
      </c>
      <c r="Q398" s="1163"/>
      <c r="R398" s="1357">
        <v>38500000</v>
      </c>
      <c r="S398" s="1357">
        <v>38500000</v>
      </c>
      <c r="T398" s="1357">
        <f>+Tabla16[[#This Row],[CDPS A 31 JULIO 2022]]-Tabla16[[#This Row],[CDP]]</f>
        <v>0</v>
      </c>
      <c r="U398" s="1357">
        <v>38500000</v>
      </c>
      <c r="V398" s="1357">
        <v>14501667</v>
      </c>
      <c r="W398" s="1357"/>
      <c r="X398" s="1207"/>
      <c r="Y398" s="1207"/>
      <c r="Z398" s="1207"/>
      <c r="AA398" s="1207"/>
      <c r="AB398" s="1207"/>
      <c r="AC398" s="1207"/>
      <c r="AD398" s="1207"/>
      <c r="AE398" s="1207"/>
      <c r="AF398" s="1207"/>
      <c r="AG398" s="1207"/>
      <c r="AH398" s="1207"/>
      <c r="AI398" s="1207"/>
      <c r="AJ398" s="1207"/>
      <c r="AK398" s="1207"/>
      <c r="AL398" s="1207"/>
      <c r="AM398" s="1207"/>
      <c r="AN398" s="1207"/>
      <c r="AO398" s="1207"/>
      <c r="AP398" s="1207"/>
      <c r="AQ398" s="1207"/>
      <c r="AR398" s="1207"/>
      <c r="AS398" s="1207"/>
      <c r="AT398" s="1207"/>
      <c r="AU398" s="1207"/>
      <c r="AV398" s="1207"/>
      <c r="AW398" s="1207"/>
      <c r="AX398" s="1207"/>
      <c r="AY398" s="1207"/>
      <c r="AZ398" s="1207"/>
      <c r="BA398" s="1207"/>
      <c r="BB398" s="1207"/>
      <c r="BC398" s="1207"/>
      <c r="BD398" s="1207"/>
      <c r="BE398" s="1207"/>
      <c r="BF398" s="1207"/>
      <c r="BG398" s="1207"/>
      <c r="BH398" s="1207"/>
      <c r="BI398" s="1207"/>
      <c r="BJ398" s="1207"/>
      <c r="BK398" s="1207"/>
      <c r="BL398" s="1207"/>
      <c r="BM398" s="1207"/>
      <c r="BN398" s="1207"/>
      <c r="BO398" s="1207"/>
      <c r="BP398" s="1207"/>
      <c r="BQ398" s="1207"/>
      <c r="BR398" s="1207"/>
      <c r="BS398" s="1207"/>
      <c r="BT398" s="1207"/>
      <c r="BU398" s="1207"/>
      <c r="BV398" s="1207"/>
      <c r="BW398" s="1207"/>
      <c r="BX398" s="1207"/>
      <c r="BY398" s="1207"/>
      <c r="BZ398" s="1207"/>
      <c r="CA398" s="1207"/>
      <c r="CB398" s="1207"/>
      <c r="CC398" s="1207"/>
      <c r="CD398" s="1207"/>
      <c r="CE398" s="1207"/>
      <c r="CF398" s="1207"/>
    </row>
    <row r="399" spans="1:84" ht="135" x14ac:dyDescent="0.2">
      <c r="A399" s="1355">
        <v>2022374</v>
      </c>
      <c r="B399" s="1172">
        <v>7658</v>
      </c>
      <c r="C399" s="1356" t="s">
        <v>681</v>
      </c>
      <c r="D399" s="1190" t="s">
        <v>703</v>
      </c>
      <c r="E399" s="1174">
        <v>80111600</v>
      </c>
      <c r="F399" s="1389" t="s">
        <v>1039</v>
      </c>
      <c r="G399" s="1390">
        <v>44562</v>
      </c>
      <c r="H399" s="1390">
        <v>44592</v>
      </c>
      <c r="I399" s="1176">
        <v>11</v>
      </c>
      <c r="J399" s="1176" t="s">
        <v>675</v>
      </c>
      <c r="K399" s="1177" t="s">
        <v>676</v>
      </c>
      <c r="L399" s="1178" t="s">
        <v>677</v>
      </c>
      <c r="M399" s="1179">
        <f>50985000-1485000</f>
        <v>49500000</v>
      </c>
      <c r="N399" s="1386" t="s">
        <v>1026</v>
      </c>
      <c r="O399" s="1174" t="s">
        <v>773</v>
      </c>
      <c r="P399" s="1207" t="s">
        <v>680</v>
      </c>
      <c r="Q399" s="1163"/>
      <c r="R399" s="1357">
        <v>49500000</v>
      </c>
      <c r="S399" s="1357">
        <v>49500000</v>
      </c>
      <c r="T399" s="1357">
        <f>+Tabla16[[#This Row],[CDPS A 31 JULIO 2022]]-Tabla16[[#This Row],[CDP]]</f>
        <v>0</v>
      </c>
      <c r="U399" s="1357">
        <v>49500000</v>
      </c>
      <c r="V399" s="1357">
        <v>18000000</v>
      </c>
      <c r="W399" s="1357"/>
      <c r="X399" s="1207"/>
      <c r="Y399" s="1207"/>
      <c r="Z399" s="1207"/>
      <c r="AA399" s="1207"/>
      <c r="AB399" s="1207"/>
      <c r="AC399" s="1207"/>
      <c r="AD399" s="1207"/>
      <c r="AE399" s="1207"/>
      <c r="AF399" s="1207"/>
      <c r="AG399" s="1207"/>
      <c r="AH399" s="1207"/>
      <c r="AI399" s="1207"/>
      <c r="AJ399" s="1207"/>
      <c r="AK399" s="1207"/>
      <c r="AL399" s="1207"/>
      <c r="AM399" s="1207"/>
      <c r="AN399" s="1207"/>
      <c r="AO399" s="1207"/>
      <c r="AP399" s="1207"/>
      <c r="AQ399" s="1207"/>
      <c r="AR399" s="1207"/>
      <c r="AS399" s="1207"/>
      <c r="AT399" s="1207"/>
      <c r="AU399" s="1207"/>
      <c r="AV399" s="1207"/>
      <c r="AW399" s="1207"/>
      <c r="AX399" s="1207"/>
      <c r="AY399" s="1207"/>
      <c r="AZ399" s="1207"/>
      <c r="BA399" s="1207"/>
      <c r="BB399" s="1207"/>
      <c r="BC399" s="1207"/>
      <c r="BD399" s="1207"/>
      <c r="BE399" s="1207"/>
      <c r="BF399" s="1207"/>
      <c r="BG399" s="1207"/>
      <c r="BH399" s="1207"/>
      <c r="BI399" s="1207"/>
      <c r="BJ399" s="1207"/>
      <c r="BK399" s="1207"/>
      <c r="BL399" s="1207"/>
      <c r="BM399" s="1207"/>
      <c r="BN399" s="1207"/>
      <c r="BO399" s="1207"/>
      <c r="BP399" s="1207"/>
      <c r="BQ399" s="1207"/>
      <c r="BR399" s="1207"/>
      <c r="BS399" s="1207"/>
      <c r="BT399" s="1207"/>
      <c r="BU399" s="1207"/>
      <c r="BV399" s="1207"/>
      <c r="BW399" s="1207"/>
      <c r="BX399" s="1207"/>
      <c r="BY399" s="1207"/>
      <c r="BZ399" s="1207"/>
      <c r="CA399" s="1207"/>
      <c r="CB399" s="1207"/>
      <c r="CC399" s="1207"/>
      <c r="CD399" s="1207"/>
      <c r="CE399" s="1207"/>
      <c r="CF399" s="1207"/>
    </row>
    <row r="400" spans="1:84" ht="135" x14ac:dyDescent="0.2">
      <c r="A400" s="1355">
        <v>2022375</v>
      </c>
      <c r="B400" s="1172">
        <v>7658</v>
      </c>
      <c r="C400" s="1356" t="s">
        <v>681</v>
      </c>
      <c r="D400" s="1190" t="s">
        <v>703</v>
      </c>
      <c r="E400" s="1174">
        <v>80111600</v>
      </c>
      <c r="F400" s="1389" t="s">
        <v>1040</v>
      </c>
      <c r="G400" s="1390">
        <v>44562</v>
      </c>
      <c r="H400" s="1390">
        <v>44592</v>
      </c>
      <c r="I400" s="1176">
        <v>12</v>
      </c>
      <c r="J400" s="1176" t="s">
        <v>675</v>
      </c>
      <c r="K400" s="1177" t="s">
        <v>676</v>
      </c>
      <c r="L400" s="1178" t="s">
        <v>677</v>
      </c>
      <c r="M400" s="1179">
        <v>55620000</v>
      </c>
      <c r="N400" s="1386" t="s">
        <v>1026</v>
      </c>
      <c r="O400" s="1174" t="s">
        <v>773</v>
      </c>
      <c r="P400" s="1207" t="s">
        <v>680</v>
      </c>
      <c r="Q400" s="1163"/>
      <c r="R400" s="1357">
        <v>54000000</v>
      </c>
      <c r="S400" s="1357">
        <v>54000000</v>
      </c>
      <c r="T400" s="1357">
        <f>+Tabla16[[#This Row],[CDPS A 31 JULIO 2022]]-Tabla16[[#This Row],[CDP]]</f>
        <v>0</v>
      </c>
      <c r="U400" s="1357">
        <v>54000000</v>
      </c>
      <c r="V400" s="1357">
        <v>19050000</v>
      </c>
      <c r="W400" s="1357"/>
      <c r="X400" s="1207"/>
      <c r="Y400" s="1207"/>
      <c r="Z400" s="1207"/>
      <c r="AA400" s="1207"/>
      <c r="AB400" s="1207"/>
      <c r="AC400" s="1207"/>
      <c r="AD400" s="1207"/>
      <c r="AE400" s="1207"/>
      <c r="AF400" s="1207"/>
      <c r="AG400" s="1207"/>
      <c r="AH400" s="1207"/>
      <c r="AI400" s="1207"/>
      <c r="AJ400" s="1207"/>
      <c r="AK400" s="1207"/>
      <c r="AL400" s="1207"/>
      <c r="AM400" s="1207"/>
      <c r="AN400" s="1207"/>
      <c r="AO400" s="1207"/>
      <c r="AP400" s="1207"/>
      <c r="AQ400" s="1207"/>
      <c r="AR400" s="1207"/>
      <c r="AS400" s="1207"/>
      <c r="AT400" s="1207"/>
      <c r="AU400" s="1207"/>
      <c r="AV400" s="1207"/>
      <c r="AW400" s="1207"/>
      <c r="AX400" s="1207"/>
      <c r="AY400" s="1207"/>
      <c r="AZ400" s="1207"/>
      <c r="BA400" s="1207"/>
      <c r="BB400" s="1207"/>
      <c r="BC400" s="1207"/>
      <c r="BD400" s="1207"/>
      <c r="BE400" s="1207"/>
      <c r="BF400" s="1207"/>
      <c r="BG400" s="1207"/>
      <c r="BH400" s="1207"/>
      <c r="BI400" s="1207"/>
      <c r="BJ400" s="1207"/>
      <c r="BK400" s="1207"/>
      <c r="BL400" s="1207"/>
      <c r="BM400" s="1207"/>
      <c r="BN400" s="1207"/>
      <c r="BO400" s="1207"/>
      <c r="BP400" s="1207"/>
      <c r="BQ400" s="1207"/>
      <c r="BR400" s="1207"/>
      <c r="BS400" s="1207"/>
      <c r="BT400" s="1207"/>
      <c r="BU400" s="1207"/>
      <c r="BV400" s="1207"/>
      <c r="BW400" s="1207"/>
      <c r="BX400" s="1207"/>
      <c r="BY400" s="1207"/>
      <c r="BZ400" s="1207"/>
      <c r="CA400" s="1207"/>
      <c r="CB400" s="1207"/>
      <c r="CC400" s="1207"/>
      <c r="CD400" s="1207"/>
      <c r="CE400" s="1207"/>
      <c r="CF400" s="1207"/>
    </row>
    <row r="401" spans="1:84" ht="135" x14ac:dyDescent="0.2">
      <c r="A401" s="1355">
        <v>2022376</v>
      </c>
      <c r="B401" s="1172">
        <v>7658</v>
      </c>
      <c r="C401" s="1356" t="s">
        <v>681</v>
      </c>
      <c r="D401" s="1190" t="s">
        <v>703</v>
      </c>
      <c r="E401" s="1174">
        <v>80111600</v>
      </c>
      <c r="F401" s="1389" t="s">
        <v>1041</v>
      </c>
      <c r="G401" s="1390">
        <v>44562</v>
      </c>
      <c r="H401" s="1390">
        <v>44592</v>
      </c>
      <c r="I401" s="1176">
        <v>12</v>
      </c>
      <c r="J401" s="1176" t="s">
        <v>675</v>
      </c>
      <c r="K401" s="1177" t="s">
        <v>676</v>
      </c>
      <c r="L401" s="1178" t="s">
        <v>677</v>
      </c>
      <c r="M401" s="1179">
        <v>55620000</v>
      </c>
      <c r="N401" s="1386" t="s">
        <v>1026</v>
      </c>
      <c r="O401" s="1174" t="s">
        <v>773</v>
      </c>
      <c r="P401" s="1207" t="s">
        <v>680</v>
      </c>
      <c r="Q401" s="1163"/>
      <c r="R401" s="1357">
        <v>54000000</v>
      </c>
      <c r="S401" s="1357">
        <v>54000000</v>
      </c>
      <c r="T401" s="1357">
        <f>+Tabla16[[#This Row],[CDPS A 31 JULIO 2022]]-Tabla16[[#This Row],[CDP]]</f>
        <v>0</v>
      </c>
      <c r="U401" s="1357">
        <v>54000000</v>
      </c>
      <c r="V401" s="1357">
        <v>18750000</v>
      </c>
      <c r="W401" s="1357"/>
      <c r="X401" s="1207"/>
      <c r="Y401" s="1207"/>
      <c r="Z401" s="1207"/>
      <c r="AA401" s="1207"/>
      <c r="AB401" s="1207"/>
      <c r="AC401" s="1207"/>
      <c r="AD401" s="1207"/>
      <c r="AE401" s="1207"/>
      <c r="AF401" s="1207"/>
      <c r="AG401" s="1207"/>
      <c r="AH401" s="1207"/>
      <c r="AI401" s="1207"/>
      <c r="AJ401" s="1207"/>
      <c r="AK401" s="1207"/>
      <c r="AL401" s="1207"/>
      <c r="AM401" s="1207"/>
      <c r="AN401" s="1207"/>
      <c r="AO401" s="1207"/>
      <c r="AP401" s="1207"/>
      <c r="AQ401" s="1207"/>
      <c r="AR401" s="1207"/>
      <c r="AS401" s="1207"/>
      <c r="AT401" s="1207"/>
      <c r="AU401" s="1207"/>
      <c r="AV401" s="1207"/>
      <c r="AW401" s="1207"/>
      <c r="AX401" s="1207"/>
      <c r="AY401" s="1207"/>
      <c r="AZ401" s="1207"/>
      <c r="BA401" s="1207"/>
      <c r="BB401" s="1207"/>
      <c r="BC401" s="1207"/>
      <c r="BD401" s="1207"/>
      <c r="BE401" s="1207"/>
      <c r="BF401" s="1207"/>
      <c r="BG401" s="1207"/>
      <c r="BH401" s="1207"/>
      <c r="BI401" s="1207"/>
      <c r="BJ401" s="1207"/>
      <c r="BK401" s="1207"/>
      <c r="BL401" s="1207"/>
      <c r="BM401" s="1207"/>
      <c r="BN401" s="1207"/>
      <c r="BO401" s="1207"/>
      <c r="BP401" s="1207"/>
      <c r="BQ401" s="1207"/>
      <c r="BR401" s="1207"/>
      <c r="BS401" s="1207"/>
      <c r="BT401" s="1207"/>
      <c r="BU401" s="1207"/>
      <c r="BV401" s="1207"/>
      <c r="BW401" s="1207"/>
      <c r="BX401" s="1207"/>
      <c r="BY401" s="1207"/>
      <c r="BZ401" s="1207"/>
      <c r="CA401" s="1207"/>
      <c r="CB401" s="1207"/>
      <c r="CC401" s="1207"/>
      <c r="CD401" s="1207"/>
      <c r="CE401" s="1207"/>
      <c r="CF401" s="1207"/>
    </row>
    <row r="402" spans="1:84" ht="135" x14ac:dyDescent="0.2">
      <c r="A402" s="1355">
        <v>2022377</v>
      </c>
      <c r="B402" s="1172">
        <v>7658</v>
      </c>
      <c r="C402" s="1356" t="s">
        <v>681</v>
      </c>
      <c r="D402" s="1190" t="s">
        <v>703</v>
      </c>
      <c r="E402" s="1174">
        <v>80111600</v>
      </c>
      <c r="F402" s="1389" t="s">
        <v>1042</v>
      </c>
      <c r="G402" s="1390">
        <v>44562</v>
      </c>
      <c r="H402" s="1390">
        <v>44592</v>
      </c>
      <c r="I402" s="1176">
        <v>12</v>
      </c>
      <c r="J402" s="1176" t="s">
        <v>675</v>
      </c>
      <c r="K402" s="1177" t="s">
        <v>676</v>
      </c>
      <c r="L402" s="1178" t="s">
        <v>677</v>
      </c>
      <c r="M402" s="1179">
        <v>55620000</v>
      </c>
      <c r="N402" s="1386" t="s">
        <v>1026</v>
      </c>
      <c r="O402" s="1174" t="s">
        <v>773</v>
      </c>
      <c r="P402" s="1207" t="s">
        <v>680</v>
      </c>
      <c r="Q402" s="1163"/>
      <c r="R402" s="1357">
        <v>54000000</v>
      </c>
      <c r="S402" s="1357">
        <v>54000000</v>
      </c>
      <c r="T402" s="1357">
        <f>+Tabla16[[#This Row],[CDPS A 31 JULIO 2022]]-Tabla16[[#This Row],[CDP]]</f>
        <v>0</v>
      </c>
      <c r="U402" s="1357">
        <v>54000000</v>
      </c>
      <c r="V402" s="1357">
        <v>18750000</v>
      </c>
      <c r="W402" s="1357"/>
      <c r="X402" s="1207"/>
      <c r="Y402" s="1207"/>
      <c r="Z402" s="1207"/>
      <c r="AA402" s="1207"/>
      <c r="AB402" s="1207"/>
      <c r="AC402" s="1207"/>
      <c r="AD402" s="1207"/>
      <c r="AE402" s="1207"/>
      <c r="AF402" s="1207"/>
      <c r="AG402" s="1207"/>
      <c r="AH402" s="1207"/>
      <c r="AI402" s="1207"/>
      <c r="AJ402" s="1207"/>
      <c r="AK402" s="1207"/>
      <c r="AL402" s="1207"/>
      <c r="AM402" s="1207"/>
      <c r="AN402" s="1207"/>
      <c r="AO402" s="1207"/>
      <c r="AP402" s="1207"/>
      <c r="AQ402" s="1207"/>
      <c r="AR402" s="1207"/>
      <c r="AS402" s="1207"/>
      <c r="AT402" s="1207"/>
      <c r="AU402" s="1207"/>
      <c r="AV402" s="1207"/>
      <c r="AW402" s="1207"/>
      <c r="AX402" s="1207"/>
      <c r="AY402" s="1207"/>
      <c r="AZ402" s="1207"/>
      <c r="BA402" s="1207"/>
      <c r="BB402" s="1207"/>
      <c r="BC402" s="1207"/>
      <c r="BD402" s="1207"/>
      <c r="BE402" s="1207"/>
      <c r="BF402" s="1207"/>
      <c r="BG402" s="1207"/>
      <c r="BH402" s="1207"/>
      <c r="BI402" s="1207"/>
      <c r="BJ402" s="1207"/>
      <c r="BK402" s="1207"/>
      <c r="BL402" s="1207"/>
      <c r="BM402" s="1207"/>
      <c r="BN402" s="1207"/>
      <c r="BO402" s="1207"/>
      <c r="BP402" s="1207"/>
      <c r="BQ402" s="1207"/>
      <c r="BR402" s="1207"/>
      <c r="BS402" s="1207"/>
      <c r="BT402" s="1207"/>
      <c r="BU402" s="1207"/>
      <c r="BV402" s="1207"/>
      <c r="BW402" s="1207"/>
      <c r="BX402" s="1207"/>
      <c r="BY402" s="1207"/>
      <c r="BZ402" s="1207"/>
      <c r="CA402" s="1207"/>
      <c r="CB402" s="1207"/>
      <c r="CC402" s="1207"/>
      <c r="CD402" s="1207"/>
      <c r="CE402" s="1207"/>
      <c r="CF402" s="1207"/>
    </row>
    <row r="403" spans="1:84" ht="135" x14ac:dyDescent="0.2">
      <c r="A403" s="1355">
        <v>2022378</v>
      </c>
      <c r="B403" s="1172">
        <v>7658</v>
      </c>
      <c r="C403" s="1356" t="s">
        <v>681</v>
      </c>
      <c r="D403" s="1190" t="s">
        <v>703</v>
      </c>
      <c r="E403" s="1174">
        <v>80111600</v>
      </c>
      <c r="F403" s="1389" t="s">
        <v>1043</v>
      </c>
      <c r="G403" s="1390">
        <v>44562</v>
      </c>
      <c r="H403" s="1390">
        <v>44592</v>
      </c>
      <c r="I403" s="1176">
        <v>12</v>
      </c>
      <c r="J403" s="1176" t="s">
        <v>675</v>
      </c>
      <c r="K403" s="1177" t="s">
        <v>676</v>
      </c>
      <c r="L403" s="1178" t="s">
        <v>677</v>
      </c>
      <c r="M403" s="1179">
        <v>55620000</v>
      </c>
      <c r="N403" s="1386" t="s">
        <v>1026</v>
      </c>
      <c r="O403" s="1174" t="s">
        <v>773</v>
      </c>
      <c r="P403" s="1207" t="s">
        <v>680</v>
      </c>
      <c r="Q403" s="1163"/>
      <c r="R403" s="1357">
        <v>54000000</v>
      </c>
      <c r="S403" s="1357">
        <v>54000000</v>
      </c>
      <c r="T403" s="1357">
        <f>+Tabla16[[#This Row],[CDPS A 31 JULIO 2022]]-Tabla16[[#This Row],[CDP]]</f>
        <v>0</v>
      </c>
      <c r="U403" s="1357">
        <v>54000000</v>
      </c>
      <c r="V403" s="1357">
        <v>19050000</v>
      </c>
      <c r="W403" s="1357"/>
      <c r="X403" s="1207"/>
      <c r="Y403" s="1207"/>
      <c r="Z403" s="1207"/>
      <c r="AA403" s="1207"/>
      <c r="AB403" s="1207"/>
      <c r="AC403" s="1207"/>
      <c r="AD403" s="1207"/>
      <c r="AE403" s="1207"/>
      <c r="AF403" s="1207"/>
      <c r="AG403" s="1207"/>
      <c r="AH403" s="1207"/>
      <c r="AI403" s="1207"/>
      <c r="AJ403" s="1207"/>
      <c r="AK403" s="1207"/>
      <c r="AL403" s="1207"/>
      <c r="AM403" s="1207"/>
      <c r="AN403" s="1207"/>
      <c r="AO403" s="1207"/>
      <c r="AP403" s="1207"/>
      <c r="AQ403" s="1207"/>
      <c r="AR403" s="1207"/>
      <c r="AS403" s="1207"/>
      <c r="AT403" s="1207"/>
      <c r="AU403" s="1207"/>
      <c r="AV403" s="1207"/>
      <c r="AW403" s="1207"/>
      <c r="AX403" s="1207"/>
      <c r="AY403" s="1207"/>
      <c r="AZ403" s="1207"/>
      <c r="BA403" s="1207"/>
      <c r="BB403" s="1207"/>
      <c r="BC403" s="1207"/>
      <c r="BD403" s="1207"/>
      <c r="BE403" s="1207"/>
      <c r="BF403" s="1207"/>
      <c r="BG403" s="1207"/>
      <c r="BH403" s="1207"/>
      <c r="BI403" s="1207"/>
      <c r="BJ403" s="1207"/>
      <c r="BK403" s="1207"/>
      <c r="BL403" s="1207"/>
      <c r="BM403" s="1207"/>
      <c r="BN403" s="1207"/>
      <c r="BO403" s="1207"/>
      <c r="BP403" s="1207"/>
      <c r="BQ403" s="1207"/>
      <c r="BR403" s="1207"/>
      <c r="BS403" s="1207"/>
      <c r="BT403" s="1207"/>
      <c r="BU403" s="1207"/>
      <c r="BV403" s="1207"/>
      <c r="BW403" s="1207"/>
      <c r="BX403" s="1207"/>
      <c r="BY403" s="1207"/>
      <c r="BZ403" s="1207"/>
      <c r="CA403" s="1207"/>
      <c r="CB403" s="1207"/>
      <c r="CC403" s="1207"/>
      <c r="CD403" s="1207"/>
      <c r="CE403" s="1207"/>
      <c r="CF403" s="1207"/>
    </row>
    <row r="404" spans="1:84" ht="135" x14ac:dyDescent="0.2">
      <c r="A404" s="1355">
        <v>2022379</v>
      </c>
      <c r="B404" s="1172">
        <v>7658</v>
      </c>
      <c r="C404" s="1356" t="s">
        <v>681</v>
      </c>
      <c r="D404" s="1190" t="s">
        <v>703</v>
      </c>
      <c r="E404" s="1174">
        <v>80111600</v>
      </c>
      <c r="F404" s="1389" t="s">
        <v>1044</v>
      </c>
      <c r="G404" s="1390">
        <v>44562</v>
      </c>
      <c r="H404" s="1390">
        <v>44592</v>
      </c>
      <c r="I404" s="1176">
        <v>11</v>
      </c>
      <c r="J404" s="1176" t="s">
        <v>675</v>
      </c>
      <c r="K404" s="1177" t="s">
        <v>676</v>
      </c>
      <c r="L404" s="1178" t="s">
        <v>677</v>
      </c>
      <c r="M404" s="1179">
        <v>50985000</v>
      </c>
      <c r="N404" s="1386" t="s">
        <v>1026</v>
      </c>
      <c r="O404" s="1174" t="s">
        <v>773</v>
      </c>
      <c r="P404" s="1207" t="s">
        <v>680</v>
      </c>
      <c r="Q404" s="1163"/>
      <c r="R404" s="1357">
        <v>49500000</v>
      </c>
      <c r="S404" s="1357">
        <v>49500000</v>
      </c>
      <c r="T404" s="1357">
        <f>+Tabla16[[#This Row],[CDPS A 31 JULIO 2022]]-Tabla16[[#This Row],[CDP]]</f>
        <v>0</v>
      </c>
      <c r="U404" s="1357">
        <v>49500000</v>
      </c>
      <c r="V404" s="1357">
        <v>18750000</v>
      </c>
      <c r="W404" s="1357"/>
      <c r="X404" s="1207"/>
      <c r="Y404" s="1207"/>
      <c r="Z404" s="1207"/>
      <c r="AA404" s="1207"/>
      <c r="AB404" s="1207"/>
      <c r="AC404" s="1207"/>
      <c r="AD404" s="1207"/>
      <c r="AE404" s="1207"/>
      <c r="AF404" s="1207"/>
      <c r="AG404" s="1207"/>
      <c r="AH404" s="1207"/>
      <c r="AI404" s="1207"/>
      <c r="AJ404" s="1207"/>
      <c r="AK404" s="1207"/>
      <c r="AL404" s="1207"/>
      <c r="AM404" s="1207"/>
      <c r="AN404" s="1207"/>
      <c r="AO404" s="1207"/>
      <c r="AP404" s="1207"/>
      <c r="AQ404" s="1207"/>
      <c r="AR404" s="1207"/>
      <c r="AS404" s="1207"/>
      <c r="AT404" s="1207"/>
      <c r="AU404" s="1207"/>
      <c r="AV404" s="1207"/>
      <c r="AW404" s="1207"/>
      <c r="AX404" s="1207"/>
      <c r="AY404" s="1207"/>
      <c r="AZ404" s="1207"/>
      <c r="BA404" s="1207"/>
      <c r="BB404" s="1207"/>
      <c r="BC404" s="1207"/>
      <c r="BD404" s="1207"/>
      <c r="BE404" s="1207"/>
      <c r="BF404" s="1207"/>
      <c r="BG404" s="1207"/>
      <c r="BH404" s="1207"/>
      <c r="BI404" s="1207"/>
      <c r="BJ404" s="1207"/>
      <c r="BK404" s="1207"/>
      <c r="BL404" s="1207"/>
      <c r="BM404" s="1207"/>
      <c r="BN404" s="1207"/>
      <c r="BO404" s="1207"/>
      <c r="BP404" s="1207"/>
      <c r="BQ404" s="1207"/>
      <c r="BR404" s="1207"/>
      <c r="BS404" s="1207"/>
      <c r="BT404" s="1207"/>
      <c r="BU404" s="1207"/>
      <c r="BV404" s="1207"/>
      <c r="BW404" s="1207"/>
      <c r="BX404" s="1207"/>
      <c r="BY404" s="1207"/>
      <c r="BZ404" s="1207"/>
      <c r="CA404" s="1207"/>
      <c r="CB404" s="1207"/>
      <c r="CC404" s="1207"/>
      <c r="CD404" s="1207"/>
      <c r="CE404" s="1207"/>
      <c r="CF404" s="1207"/>
    </row>
    <row r="405" spans="1:84" ht="135" x14ac:dyDescent="0.2">
      <c r="A405" s="1355">
        <v>2022380</v>
      </c>
      <c r="B405" s="1172">
        <v>7658</v>
      </c>
      <c r="C405" s="1356" t="s">
        <v>681</v>
      </c>
      <c r="D405" s="1190" t="s">
        <v>703</v>
      </c>
      <c r="E405" s="1174">
        <v>80111600</v>
      </c>
      <c r="F405" s="1389" t="s">
        <v>1045</v>
      </c>
      <c r="G405" s="1390">
        <v>44562</v>
      </c>
      <c r="H405" s="1390">
        <v>44592</v>
      </c>
      <c r="I405" s="1176">
        <v>11</v>
      </c>
      <c r="J405" s="1176" t="s">
        <v>675</v>
      </c>
      <c r="K405" s="1177" t="s">
        <v>676</v>
      </c>
      <c r="L405" s="1178" t="s">
        <v>677</v>
      </c>
      <c r="M405" s="1179">
        <v>50985000</v>
      </c>
      <c r="N405" s="1386" t="s">
        <v>1026</v>
      </c>
      <c r="O405" s="1174" t="s">
        <v>773</v>
      </c>
      <c r="P405" s="1207" t="s">
        <v>680</v>
      </c>
      <c r="Q405" s="1163"/>
      <c r="R405" s="1357">
        <v>49500000</v>
      </c>
      <c r="S405" s="1357">
        <v>49500000</v>
      </c>
      <c r="T405" s="1357">
        <f>+Tabla16[[#This Row],[CDPS A 31 JULIO 2022]]-Tabla16[[#This Row],[CDP]]</f>
        <v>0</v>
      </c>
      <c r="U405" s="1357">
        <v>49500000</v>
      </c>
      <c r="V405" s="1357">
        <v>18750000</v>
      </c>
      <c r="W405" s="1357"/>
      <c r="X405" s="1207"/>
      <c r="Y405" s="1207"/>
      <c r="Z405" s="1207"/>
      <c r="AA405" s="1207"/>
      <c r="AB405" s="1207"/>
      <c r="AC405" s="1207"/>
      <c r="AD405" s="1207"/>
      <c r="AE405" s="1207"/>
      <c r="AF405" s="1207"/>
      <c r="AG405" s="1207"/>
      <c r="AH405" s="1207"/>
      <c r="AI405" s="1207"/>
      <c r="AJ405" s="1207"/>
      <c r="AK405" s="1207"/>
      <c r="AL405" s="1207"/>
      <c r="AM405" s="1207"/>
      <c r="AN405" s="1207"/>
      <c r="AO405" s="1207"/>
      <c r="AP405" s="1207"/>
      <c r="AQ405" s="1207"/>
      <c r="AR405" s="1207"/>
      <c r="AS405" s="1207"/>
      <c r="AT405" s="1207"/>
      <c r="AU405" s="1207"/>
      <c r="AV405" s="1207"/>
      <c r="AW405" s="1207"/>
      <c r="AX405" s="1207"/>
      <c r="AY405" s="1207"/>
      <c r="AZ405" s="1207"/>
      <c r="BA405" s="1207"/>
      <c r="BB405" s="1207"/>
      <c r="BC405" s="1207"/>
      <c r="BD405" s="1207"/>
      <c r="BE405" s="1207"/>
      <c r="BF405" s="1207"/>
      <c r="BG405" s="1207"/>
      <c r="BH405" s="1207"/>
      <c r="BI405" s="1207"/>
      <c r="BJ405" s="1207"/>
      <c r="BK405" s="1207"/>
      <c r="BL405" s="1207"/>
      <c r="BM405" s="1207"/>
      <c r="BN405" s="1207"/>
      <c r="BO405" s="1207"/>
      <c r="BP405" s="1207"/>
      <c r="BQ405" s="1207"/>
      <c r="BR405" s="1207"/>
      <c r="BS405" s="1207"/>
      <c r="BT405" s="1207"/>
      <c r="BU405" s="1207"/>
      <c r="BV405" s="1207"/>
      <c r="BW405" s="1207"/>
      <c r="BX405" s="1207"/>
      <c r="BY405" s="1207"/>
      <c r="BZ405" s="1207"/>
      <c r="CA405" s="1207"/>
      <c r="CB405" s="1207"/>
      <c r="CC405" s="1207"/>
      <c r="CD405" s="1207"/>
      <c r="CE405" s="1207"/>
      <c r="CF405" s="1207"/>
    </row>
    <row r="406" spans="1:84" ht="135" x14ac:dyDescent="0.2">
      <c r="A406" s="1355">
        <v>2022381</v>
      </c>
      <c r="B406" s="1172">
        <v>7658</v>
      </c>
      <c r="C406" s="1356" t="s">
        <v>681</v>
      </c>
      <c r="D406" s="1190" t="s">
        <v>703</v>
      </c>
      <c r="E406" s="1174">
        <v>80111600</v>
      </c>
      <c r="F406" s="1389" t="s">
        <v>1046</v>
      </c>
      <c r="G406" s="1390">
        <v>44562</v>
      </c>
      <c r="H406" s="1390">
        <v>44592</v>
      </c>
      <c r="I406" s="1176">
        <v>12</v>
      </c>
      <c r="J406" s="1176" t="s">
        <v>675</v>
      </c>
      <c r="K406" s="1177" t="s">
        <v>676</v>
      </c>
      <c r="L406" s="1178" t="s">
        <v>677</v>
      </c>
      <c r="M406" s="1179">
        <v>84000000</v>
      </c>
      <c r="N406" s="1386" t="s">
        <v>1026</v>
      </c>
      <c r="O406" s="1174" t="s">
        <v>773</v>
      </c>
      <c r="P406" s="1207" t="s">
        <v>680</v>
      </c>
      <c r="Q406" s="1163"/>
      <c r="R406" s="1357">
        <v>81600000</v>
      </c>
      <c r="S406" s="1357">
        <v>81600000</v>
      </c>
      <c r="T406" s="1357">
        <f>+Tabla16[[#This Row],[CDPS A 31 JULIO 2022]]-Tabla16[[#This Row],[CDP]]</f>
        <v>0</v>
      </c>
      <c r="U406" s="1357">
        <v>81600000</v>
      </c>
      <c r="V406" s="1357">
        <v>29920000</v>
      </c>
      <c r="W406" s="1357"/>
      <c r="X406" s="1207"/>
      <c r="Y406" s="1207"/>
      <c r="Z406" s="1207"/>
      <c r="AA406" s="1207"/>
      <c r="AB406" s="1207"/>
      <c r="AC406" s="1207"/>
      <c r="AD406" s="1207"/>
      <c r="AE406" s="1207"/>
      <c r="AF406" s="1207"/>
      <c r="AG406" s="1207"/>
      <c r="AH406" s="1207"/>
      <c r="AI406" s="1207"/>
      <c r="AJ406" s="1207"/>
      <c r="AK406" s="1207"/>
      <c r="AL406" s="1207"/>
      <c r="AM406" s="1207"/>
      <c r="AN406" s="1207"/>
      <c r="AO406" s="1207"/>
      <c r="AP406" s="1207"/>
      <c r="AQ406" s="1207"/>
      <c r="AR406" s="1207"/>
      <c r="AS406" s="1207"/>
      <c r="AT406" s="1207"/>
      <c r="AU406" s="1207"/>
      <c r="AV406" s="1207"/>
      <c r="AW406" s="1207"/>
      <c r="AX406" s="1207"/>
      <c r="AY406" s="1207"/>
      <c r="AZ406" s="1207"/>
      <c r="BA406" s="1207"/>
      <c r="BB406" s="1207"/>
      <c r="BC406" s="1207"/>
      <c r="BD406" s="1207"/>
      <c r="BE406" s="1207"/>
      <c r="BF406" s="1207"/>
      <c r="BG406" s="1207"/>
      <c r="BH406" s="1207"/>
      <c r="BI406" s="1207"/>
      <c r="BJ406" s="1207"/>
      <c r="BK406" s="1207"/>
      <c r="BL406" s="1207"/>
      <c r="BM406" s="1207"/>
      <c r="BN406" s="1207"/>
      <c r="BO406" s="1207"/>
      <c r="BP406" s="1207"/>
      <c r="BQ406" s="1207"/>
      <c r="BR406" s="1207"/>
      <c r="BS406" s="1207"/>
      <c r="BT406" s="1207"/>
      <c r="BU406" s="1207"/>
      <c r="BV406" s="1207"/>
      <c r="BW406" s="1207"/>
      <c r="BX406" s="1207"/>
      <c r="BY406" s="1207"/>
      <c r="BZ406" s="1207"/>
      <c r="CA406" s="1207"/>
      <c r="CB406" s="1207"/>
      <c r="CC406" s="1207"/>
      <c r="CD406" s="1207"/>
      <c r="CE406" s="1207"/>
      <c r="CF406" s="1207"/>
    </row>
    <row r="407" spans="1:84" ht="135" x14ac:dyDescent="0.2">
      <c r="A407" s="1355">
        <v>2022382</v>
      </c>
      <c r="B407" s="1172">
        <v>7658</v>
      </c>
      <c r="C407" s="1356" t="s">
        <v>681</v>
      </c>
      <c r="D407" s="1190" t="s">
        <v>703</v>
      </c>
      <c r="E407" s="1174">
        <v>80111600</v>
      </c>
      <c r="F407" s="1389" t="s">
        <v>1047</v>
      </c>
      <c r="G407" s="1390">
        <v>44562</v>
      </c>
      <c r="H407" s="1390">
        <v>44592</v>
      </c>
      <c r="I407" s="1176">
        <v>12</v>
      </c>
      <c r="J407" s="1176" t="s">
        <v>675</v>
      </c>
      <c r="K407" s="1177" t="s">
        <v>676</v>
      </c>
      <c r="L407" s="1178" t="s">
        <v>677</v>
      </c>
      <c r="M407" s="1179">
        <v>84000000</v>
      </c>
      <c r="N407" s="1386" t="s">
        <v>1026</v>
      </c>
      <c r="O407" s="1174" t="s">
        <v>773</v>
      </c>
      <c r="P407" s="1207" t="s">
        <v>680</v>
      </c>
      <c r="Q407" s="1163"/>
      <c r="R407" s="1357">
        <v>81600000</v>
      </c>
      <c r="S407" s="1357">
        <v>81600000</v>
      </c>
      <c r="T407" s="1357">
        <f>+Tabla16[[#This Row],[CDPS A 31 JULIO 2022]]-Tabla16[[#This Row],[CDP]]</f>
        <v>0</v>
      </c>
      <c r="U407" s="1357">
        <v>81600000</v>
      </c>
      <c r="V407" s="1357">
        <v>28333333</v>
      </c>
      <c r="W407" s="1357"/>
      <c r="X407" s="1207"/>
      <c r="Y407" s="1207"/>
      <c r="Z407" s="1207"/>
      <c r="AA407" s="1207"/>
      <c r="AB407" s="1207"/>
      <c r="AC407" s="1207"/>
      <c r="AD407" s="1207"/>
      <c r="AE407" s="1207"/>
      <c r="AF407" s="1207"/>
      <c r="AG407" s="1207"/>
      <c r="AH407" s="1207"/>
      <c r="AI407" s="1207"/>
      <c r="AJ407" s="1207"/>
      <c r="AK407" s="1207"/>
      <c r="AL407" s="1207"/>
      <c r="AM407" s="1207"/>
      <c r="AN407" s="1207"/>
      <c r="AO407" s="1207"/>
      <c r="AP407" s="1207"/>
      <c r="AQ407" s="1207"/>
      <c r="AR407" s="1207"/>
      <c r="AS407" s="1207"/>
      <c r="AT407" s="1207"/>
      <c r="AU407" s="1207"/>
      <c r="AV407" s="1207"/>
      <c r="AW407" s="1207"/>
      <c r="AX407" s="1207"/>
      <c r="AY407" s="1207"/>
      <c r="AZ407" s="1207"/>
      <c r="BA407" s="1207"/>
      <c r="BB407" s="1207"/>
      <c r="BC407" s="1207"/>
      <c r="BD407" s="1207"/>
      <c r="BE407" s="1207"/>
      <c r="BF407" s="1207"/>
      <c r="BG407" s="1207"/>
      <c r="BH407" s="1207"/>
      <c r="BI407" s="1207"/>
      <c r="BJ407" s="1207"/>
      <c r="BK407" s="1207"/>
      <c r="BL407" s="1207"/>
      <c r="BM407" s="1207"/>
      <c r="BN407" s="1207"/>
      <c r="BO407" s="1207"/>
      <c r="BP407" s="1207"/>
      <c r="BQ407" s="1207"/>
      <c r="BR407" s="1207"/>
      <c r="BS407" s="1207"/>
      <c r="BT407" s="1207"/>
      <c r="BU407" s="1207"/>
      <c r="BV407" s="1207"/>
      <c r="BW407" s="1207"/>
      <c r="BX407" s="1207"/>
      <c r="BY407" s="1207"/>
      <c r="BZ407" s="1207"/>
      <c r="CA407" s="1207"/>
      <c r="CB407" s="1207"/>
      <c r="CC407" s="1207"/>
      <c r="CD407" s="1207"/>
      <c r="CE407" s="1207"/>
      <c r="CF407" s="1207"/>
    </row>
    <row r="408" spans="1:84" ht="135" x14ac:dyDescent="0.2">
      <c r="A408" s="1355">
        <v>2022383</v>
      </c>
      <c r="B408" s="1172">
        <v>7658</v>
      </c>
      <c r="C408" s="1356" t="s">
        <v>681</v>
      </c>
      <c r="D408" s="1190" t="s">
        <v>703</v>
      </c>
      <c r="E408" s="1174">
        <v>80111600</v>
      </c>
      <c r="F408" s="1389" t="s">
        <v>1048</v>
      </c>
      <c r="G408" s="1390">
        <v>44562</v>
      </c>
      <c r="H408" s="1390">
        <v>44592</v>
      </c>
      <c r="I408" s="1176">
        <v>12</v>
      </c>
      <c r="J408" s="1176" t="s">
        <v>675</v>
      </c>
      <c r="K408" s="1177" t="s">
        <v>676</v>
      </c>
      <c r="L408" s="1178" t="s">
        <v>677</v>
      </c>
      <c r="M408" s="1179">
        <v>84000000</v>
      </c>
      <c r="N408" s="1386" t="s">
        <v>1026</v>
      </c>
      <c r="O408" s="1174" t="s">
        <v>773</v>
      </c>
      <c r="P408" s="1207" t="s">
        <v>680</v>
      </c>
      <c r="Q408" s="1163"/>
      <c r="R408" s="1357">
        <v>81600000</v>
      </c>
      <c r="S408" s="1357">
        <v>81600000</v>
      </c>
      <c r="T408" s="1357">
        <f>+Tabla16[[#This Row],[CDPS A 31 JULIO 2022]]-Tabla16[[#This Row],[CDP]]</f>
        <v>0</v>
      </c>
      <c r="U408" s="1357">
        <v>81600000</v>
      </c>
      <c r="V408" s="1357">
        <v>28333333</v>
      </c>
      <c r="W408" s="1357"/>
      <c r="X408" s="1207"/>
      <c r="Y408" s="1207"/>
      <c r="Z408" s="1207"/>
      <c r="AA408" s="1207"/>
      <c r="AB408" s="1207"/>
      <c r="AC408" s="1207"/>
      <c r="AD408" s="1207"/>
      <c r="AE408" s="1207"/>
      <c r="AF408" s="1207"/>
      <c r="AG408" s="1207"/>
      <c r="AH408" s="1207"/>
      <c r="AI408" s="1207"/>
      <c r="AJ408" s="1207"/>
      <c r="AK408" s="1207"/>
      <c r="AL408" s="1207"/>
      <c r="AM408" s="1207"/>
      <c r="AN408" s="1207"/>
      <c r="AO408" s="1207"/>
      <c r="AP408" s="1207"/>
      <c r="AQ408" s="1207"/>
      <c r="AR408" s="1207"/>
      <c r="AS408" s="1207"/>
      <c r="AT408" s="1207"/>
      <c r="AU408" s="1207"/>
      <c r="AV408" s="1207"/>
      <c r="AW408" s="1207"/>
      <c r="AX408" s="1207"/>
      <c r="AY408" s="1207"/>
      <c r="AZ408" s="1207"/>
      <c r="BA408" s="1207"/>
      <c r="BB408" s="1207"/>
      <c r="BC408" s="1207"/>
      <c r="BD408" s="1207"/>
      <c r="BE408" s="1207"/>
      <c r="BF408" s="1207"/>
      <c r="BG408" s="1207"/>
      <c r="BH408" s="1207"/>
      <c r="BI408" s="1207"/>
      <c r="BJ408" s="1207"/>
      <c r="BK408" s="1207"/>
      <c r="BL408" s="1207"/>
      <c r="BM408" s="1207"/>
      <c r="BN408" s="1207"/>
      <c r="BO408" s="1207"/>
      <c r="BP408" s="1207"/>
      <c r="BQ408" s="1207"/>
      <c r="BR408" s="1207"/>
      <c r="BS408" s="1207"/>
      <c r="BT408" s="1207"/>
      <c r="BU408" s="1207"/>
      <c r="BV408" s="1207"/>
      <c r="BW408" s="1207"/>
      <c r="BX408" s="1207"/>
      <c r="BY408" s="1207"/>
      <c r="BZ408" s="1207"/>
      <c r="CA408" s="1207"/>
      <c r="CB408" s="1207"/>
      <c r="CC408" s="1207"/>
      <c r="CD408" s="1207"/>
      <c r="CE408" s="1207"/>
      <c r="CF408" s="1207"/>
    </row>
    <row r="409" spans="1:84" ht="135" x14ac:dyDescent="0.2">
      <c r="A409" s="1355">
        <v>2022384</v>
      </c>
      <c r="B409" s="1172">
        <v>7658</v>
      </c>
      <c r="C409" s="1356" t="s">
        <v>681</v>
      </c>
      <c r="D409" s="1190" t="s">
        <v>703</v>
      </c>
      <c r="E409" s="1174">
        <v>80111600</v>
      </c>
      <c r="F409" s="1389" t="s">
        <v>1049</v>
      </c>
      <c r="G409" s="1390">
        <v>44562</v>
      </c>
      <c r="H409" s="1390">
        <v>44592</v>
      </c>
      <c r="I409" s="1176">
        <v>12</v>
      </c>
      <c r="J409" s="1176" t="s">
        <v>675</v>
      </c>
      <c r="K409" s="1177" t="s">
        <v>676</v>
      </c>
      <c r="L409" s="1178" t="s">
        <v>677</v>
      </c>
      <c r="M409" s="1179">
        <v>84000000</v>
      </c>
      <c r="N409" s="1386" t="s">
        <v>1026</v>
      </c>
      <c r="O409" s="1174" t="s">
        <v>773</v>
      </c>
      <c r="P409" s="1207" t="s">
        <v>680</v>
      </c>
      <c r="Q409" s="1163"/>
      <c r="R409" s="1357">
        <v>27000000</v>
      </c>
      <c r="S409" s="1357">
        <v>27000000</v>
      </c>
      <c r="T409" s="1357">
        <f>+Tabla16[[#This Row],[CDPS A 31 JULIO 2022]]-Tabla16[[#This Row],[CDP]]</f>
        <v>0</v>
      </c>
      <c r="U409" s="1357">
        <v>27000000</v>
      </c>
      <c r="V409" s="1357">
        <v>3750000</v>
      </c>
      <c r="W409" s="1357"/>
      <c r="X409" s="1207"/>
      <c r="Y409" s="1207"/>
      <c r="Z409" s="1207"/>
      <c r="AA409" s="1207"/>
      <c r="AB409" s="1207"/>
      <c r="AC409" s="1207"/>
      <c r="AD409" s="1207"/>
      <c r="AE409" s="1207"/>
      <c r="AF409" s="1207"/>
      <c r="AG409" s="1207"/>
      <c r="AH409" s="1207"/>
      <c r="AI409" s="1207"/>
      <c r="AJ409" s="1207"/>
      <c r="AK409" s="1207"/>
      <c r="AL409" s="1207"/>
      <c r="AM409" s="1207"/>
      <c r="AN409" s="1207"/>
      <c r="AO409" s="1207"/>
      <c r="AP409" s="1207"/>
      <c r="AQ409" s="1207"/>
      <c r="AR409" s="1207"/>
      <c r="AS409" s="1207"/>
      <c r="AT409" s="1207"/>
      <c r="AU409" s="1207"/>
      <c r="AV409" s="1207"/>
      <c r="AW409" s="1207"/>
      <c r="AX409" s="1207"/>
      <c r="AY409" s="1207"/>
      <c r="AZ409" s="1207"/>
      <c r="BA409" s="1207"/>
      <c r="BB409" s="1207"/>
      <c r="BC409" s="1207"/>
      <c r="BD409" s="1207"/>
      <c r="BE409" s="1207"/>
      <c r="BF409" s="1207"/>
      <c r="BG409" s="1207"/>
      <c r="BH409" s="1207"/>
      <c r="BI409" s="1207"/>
      <c r="BJ409" s="1207"/>
      <c r="BK409" s="1207"/>
      <c r="BL409" s="1207"/>
      <c r="BM409" s="1207"/>
      <c r="BN409" s="1207"/>
      <c r="BO409" s="1207"/>
      <c r="BP409" s="1207"/>
      <c r="BQ409" s="1207"/>
      <c r="BR409" s="1207"/>
      <c r="BS409" s="1207"/>
      <c r="BT409" s="1207"/>
      <c r="BU409" s="1207"/>
      <c r="BV409" s="1207"/>
      <c r="BW409" s="1207"/>
      <c r="BX409" s="1207"/>
      <c r="BY409" s="1207"/>
      <c r="BZ409" s="1207"/>
      <c r="CA409" s="1207"/>
      <c r="CB409" s="1207"/>
      <c r="CC409" s="1207"/>
      <c r="CD409" s="1207"/>
      <c r="CE409" s="1207"/>
      <c r="CF409" s="1207"/>
    </row>
    <row r="410" spans="1:84" ht="135" x14ac:dyDescent="0.2">
      <c r="A410" s="1355">
        <v>2022385</v>
      </c>
      <c r="B410" s="1172">
        <v>7658</v>
      </c>
      <c r="C410" s="1356" t="s">
        <v>681</v>
      </c>
      <c r="D410" s="1190" t="s">
        <v>703</v>
      </c>
      <c r="E410" s="1174">
        <v>80111600</v>
      </c>
      <c r="F410" s="1389" t="s">
        <v>1050</v>
      </c>
      <c r="G410" s="1390">
        <v>44562</v>
      </c>
      <c r="H410" s="1390">
        <v>44592</v>
      </c>
      <c r="I410" s="1176">
        <v>12</v>
      </c>
      <c r="J410" s="1176" t="s">
        <v>675</v>
      </c>
      <c r="K410" s="1177" t="s">
        <v>676</v>
      </c>
      <c r="L410" s="1178" t="s">
        <v>677</v>
      </c>
      <c r="M410" s="1179">
        <v>84000000</v>
      </c>
      <c r="N410" s="1386" t="s">
        <v>1026</v>
      </c>
      <c r="O410" s="1174" t="s">
        <v>773</v>
      </c>
      <c r="P410" s="1207" t="s">
        <v>680</v>
      </c>
      <c r="Q410" s="1163"/>
      <c r="R410" s="1357">
        <v>81600000</v>
      </c>
      <c r="S410" s="1357">
        <v>81600000</v>
      </c>
      <c r="T410" s="1357">
        <f>+Tabla16[[#This Row],[CDPS A 31 JULIO 2022]]-Tabla16[[#This Row],[CDP]]</f>
        <v>0</v>
      </c>
      <c r="U410" s="1357">
        <v>81600000</v>
      </c>
      <c r="V410" s="1357">
        <v>28106667</v>
      </c>
      <c r="W410" s="1357"/>
      <c r="X410" s="1207"/>
      <c r="Y410" s="1207"/>
      <c r="Z410" s="1207"/>
      <c r="AA410" s="1207"/>
      <c r="AB410" s="1207"/>
      <c r="AC410" s="1207"/>
      <c r="AD410" s="1207"/>
      <c r="AE410" s="1207"/>
      <c r="AF410" s="1207"/>
      <c r="AG410" s="1207"/>
      <c r="AH410" s="1207"/>
      <c r="AI410" s="1207"/>
      <c r="AJ410" s="1207"/>
      <c r="AK410" s="1207"/>
      <c r="AL410" s="1207"/>
      <c r="AM410" s="1207"/>
      <c r="AN410" s="1207"/>
      <c r="AO410" s="1207"/>
      <c r="AP410" s="1207"/>
      <c r="AQ410" s="1207"/>
      <c r="AR410" s="1207"/>
      <c r="AS410" s="1207"/>
      <c r="AT410" s="1207"/>
      <c r="AU410" s="1207"/>
      <c r="AV410" s="1207"/>
      <c r="AW410" s="1207"/>
      <c r="AX410" s="1207"/>
      <c r="AY410" s="1207"/>
      <c r="AZ410" s="1207"/>
      <c r="BA410" s="1207"/>
      <c r="BB410" s="1207"/>
      <c r="BC410" s="1207"/>
      <c r="BD410" s="1207"/>
      <c r="BE410" s="1207"/>
      <c r="BF410" s="1207"/>
      <c r="BG410" s="1207"/>
      <c r="BH410" s="1207"/>
      <c r="BI410" s="1207"/>
      <c r="BJ410" s="1207"/>
      <c r="BK410" s="1207"/>
      <c r="BL410" s="1207"/>
      <c r="BM410" s="1207"/>
      <c r="BN410" s="1207"/>
      <c r="BO410" s="1207"/>
      <c r="BP410" s="1207"/>
      <c r="BQ410" s="1207"/>
      <c r="BR410" s="1207"/>
      <c r="BS410" s="1207"/>
      <c r="BT410" s="1207"/>
      <c r="BU410" s="1207"/>
      <c r="BV410" s="1207"/>
      <c r="BW410" s="1207"/>
      <c r="BX410" s="1207"/>
      <c r="BY410" s="1207"/>
      <c r="BZ410" s="1207"/>
      <c r="CA410" s="1207"/>
      <c r="CB410" s="1207"/>
      <c r="CC410" s="1207"/>
      <c r="CD410" s="1207"/>
      <c r="CE410" s="1207"/>
      <c r="CF410" s="1207"/>
    </row>
    <row r="411" spans="1:84" ht="135" x14ac:dyDescent="0.2">
      <c r="A411" s="1355">
        <v>2022386</v>
      </c>
      <c r="B411" s="1172">
        <v>7658</v>
      </c>
      <c r="C411" s="1356" t="s">
        <v>681</v>
      </c>
      <c r="D411" s="1190" t="s">
        <v>703</v>
      </c>
      <c r="E411" s="1174">
        <v>80111600</v>
      </c>
      <c r="F411" s="1389" t="s">
        <v>1051</v>
      </c>
      <c r="G411" s="1390">
        <v>44562</v>
      </c>
      <c r="H411" s="1390">
        <v>44592</v>
      </c>
      <c r="I411" s="1176">
        <v>12</v>
      </c>
      <c r="J411" s="1176" t="s">
        <v>675</v>
      </c>
      <c r="K411" s="1177" t="s">
        <v>676</v>
      </c>
      <c r="L411" s="1178" t="s">
        <v>677</v>
      </c>
      <c r="M411" s="1179">
        <v>84000000</v>
      </c>
      <c r="N411" s="1386" t="s">
        <v>1026</v>
      </c>
      <c r="O411" s="1174" t="s">
        <v>773</v>
      </c>
      <c r="P411" s="1207" t="s">
        <v>680</v>
      </c>
      <c r="Q411" s="1163"/>
      <c r="R411" s="1357">
        <v>81600000</v>
      </c>
      <c r="S411" s="1357">
        <v>81600000</v>
      </c>
      <c r="T411" s="1357">
        <f>+Tabla16[[#This Row],[CDPS A 31 JULIO 2022]]-Tabla16[[#This Row],[CDP]]</f>
        <v>0</v>
      </c>
      <c r="U411" s="1357">
        <v>81600000</v>
      </c>
      <c r="V411" s="1357">
        <v>28333333</v>
      </c>
      <c r="W411" s="1357"/>
      <c r="X411" s="1207"/>
      <c r="Y411" s="1207"/>
      <c r="Z411" s="1207"/>
      <c r="AA411" s="1207"/>
      <c r="AB411" s="1207"/>
      <c r="AC411" s="1207"/>
      <c r="AD411" s="1207"/>
      <c r="AE411" s="1207"/>
      <c r="AF411" s="1207"/>
      <c r="AG411" s="1207"/>
      <c r="AH411" s="1207"/>
      <c r="AI411" s="1207"/>
      <c r="AJ411" s="1207"/>
      <c r="AK411" s="1207"/>
      <c r="AL411" s="1207"/>
      <c r="AM411" s="1207"/>
      <c r="AN411" s="1207"/>
      <c r="AO411" s="1207"/>
      <c r="AP411" s="1207"/>
      <c r="AQ411" s="1207"/>
      <c r="AR411" s="1207"/>
      <c r="AS411" s="1207"/>
      <c r="AT411" s="1207"/>
      <c r="AU411" s="1207"/>
      <c r="AV411" s="1207"/>
      <c r="AW411" s="1207"/>
      <c r="AX411" s="1207"/>
      <c r="AY411" s="1207"/>
      <c r="AZ411" s="1207"/>
      <c r="BA411" s="1207"/>
      <c r="BB411" s="1207"/>
      <c r="BC411" s="1207"/>
      <c r="BD411" s="1207"/>
      <c r="BE411" s="1207"/>
      <c r="BF411" s="1207"/>
      <c r="BG411" s="1207"/>
      <c r="BH411" s="1207"/>
      <c r="BI411" s="1207"/>
      <c r="BJ411" s="1207"/>
      <c r="BK411" s="1207"/>
      <c r="BL411" s="1207"/>
      <c r="BM411" s="1207"/>
      <c r="BN411" s="1207"/>
      <c r="BO411" s="1207"/>
      <c r="BP411" s="1207"/>
      <c r="BQ411" s="1207"/>
      <c r="BR411" s="1207"/>
      <c r="BS411" s="1207"/>
      <c r="BT411" s="1207"/>
      <c r="BU411" s="1207"/>
      <c r="BV411" s="1207"/>
      <c r="BW411" s="1207"/>
      <c r="BX411" s="1207"/>
      <c r="BY411" s="1207"/>
      <c r="BZ411" s="1207"/>
      <c r="CA411" s="1207"/>
      <c r="CB411" s="1207"/>
      <c r="CC411" s="1207"/>
      <c r="CD411" s="1207"/>
      <c r="CE411" s="1207"/>
      <c r="CF411" s="1207"/>
    </row>
    <row r="412" spans="1:84" ht="135" x14ac:dyDescent="0.2">
      <c r="A412" s="1355">
        <v>2022387</v>
      </c>
      <c r="B412" s="1172">
        <v>7658</v>
      </c>
      <c r="C412" s="1356" t="s">
        <v>681</v>
      </c>
      <c r="D412" s="1190" t="s">
        <v>703</v>
      </c>
      <c r="E412" s="1174">
        <v>80111600</v>
      </c>
      <c r="F412" s="1389" t="s">
        <v>1052</v>
      </c>
      <c r="G412" s="1390">
        <v>44562</v>
      </c>
      <c r="H412" s="1390">
        <v>44592</v>
      </c>
      <c r="I412" s="1176">
        <v>12</v>
      </c>
      <c r="J412" s="1176" t="s">
        <v>675</v>
      </c>
      <c r="K412" s="1177" t="s">
        <v>676</v>
      </c>
      <c r="L412" s="1178" t="s">
        <v>677</v>
      </c>
      <c r="M412" s="1179">
        <v>90000000</v>
      </c>
      <c r="N412" s="1386" t="s">
        <v>1026</v>
      </c>
      <c r="O412" s="1174" t="s">
        <v>773</v>
      </c>
      <c r="P412" s="1207" t="s">
        <v>680</v>
      </c>
      <c r="Q412" s="1163"/>
      <c r="R412" s="1357">
        <v>87600000</v>
      </c>
      <c r="S412" s="1357">
        <v>87600000</v>
      </c>
      <c r="T412" s="1357">
        <f>+Tabla16[[#This Row],[CDPS A 31 JULIO 2022]]-Tabla16[[#This Row],[CDP]]</f>
        <v>0</v>
      </c>
      <c r="U412" s="1357">
        <v>87600000</v>
      </c>
      <c r="V412" s="1357">
        <v>29200000</v>
      </c>
      <c r="W412" s="1357"/>
      <c r="X412" s="1207"/>
      <c r="Y412" s="1207"/>
      <c r="Z412" s="1207"/>
      <c r="AA412" s="1207"/>
      <c r="AB412" s="1207"/>
      <c r="AC412" s="1207"/>
      <c r="AD412" s="1207"/>
      <c r="AE412" s="1207"/>
      <c r="AF412" s="1207"/>
      <c r="AG412" s="1207"/>
      <c r="AH412" s="1207"/>
      <c r="AI412" s="1207"/>
      <c r="AJ412" s="1207"/>
      <c r="AK412" s="1207"/>
      <c r="AL412" s="1207"/>
      <c r="AM412" s="1207"/>
      <c r="AN412" s="1207"/>
      <c r="AO412" s="1207"/>
      <c r="AP412" s="1207"/>
      <c r="AQ412" s="1207"/>
      <c r="AR412" s="1207"/>
      <c r="AS412" s="1207"/>
      <c r="AT412" s="1207"/>
      <c r="AU412" s="1207"/>
      <c r="AV412" s="1207"/>
      <c r="AW412" s="1207"/>
      <c r="AX412" s="1207"/>
      <c r="AY412" s="1207"/>
      <c r="AZ412" s="1207"/>
      <c r="BA412" s="1207"/>
      <c r="BB412" s="1207"/>
      <c r="BC412" s="1207"/>
      <c r="BD412" s="1207"/>
      <c r="BE412" s="1207"/>
      <c r="BF412" s="1207"/>
      <c r="BG412" s="1207"/>
      <c r="BH412" s="1207"/>
      <c r="BI412" s="1207"/>
      <c r="BJ412" s="1207"/>
      <c r="BK412" s="1207"/>
      <c r="BL412" s="1207"/>
      <c r="BM412" s="1207"/>
      <c r="BN412" s="1207"/>
      <c r="BO412" s="1207"/>
      <c r="BP412" s="1207"/>
      <c r="BQ412" s="1207"/>
      <c r="BR412" s="1207"/>
      <c r="BS412" s="1207"/>
      <c r="BT412" s="1207"/>
      <c r="BU412" s="1207"/>
      <c r="BV412" s="1207"/>
      <c r="BW412" s="1207"/>
      <c r="BX412" s="1207"/>
      <c r="BY412" s="1207"/>
      <c r="BZ412" s="1207"/>
      <c r="CA412" s="1207"/>
      <c r="CB412" s="1207"/>
      <c r="CC412" s="1207"/>
      <c r="CD412" s="1207"/>
      <c r="CE412" s="1207"/>
      <c r="CF412" s="1207"/>
    </row>
    <row r="413" spans="1:84" ht="105" x14ac:dyDescent="0.2">
      <c r="A413" s="1355">
        <v>2022389</v>
      </c>
      <c r="B413" s="1172">
        <v>7658</v>
      </c>
      <c r="C413" s="1356" t="s">
        <v>681</v>
      </c>
      <c r="D413" s="1190" t="s">
        <v>694</v>
      </c>
      <c r="E413" s="1174" t="s">
        <v>1053</v>
      </c>
      <c r="F413" s="1389" t="s">
        <v>1054</v>
      </c>
      <c r="G413" s="1390">
        <v>44621</v>
      </c>
      <c r="H413" s="1390">
        <v>44682</v>
      </c>
      <c r="I413" s="1176">
        <v>7</v>
      </c>
      <c r="J413" s="1176" t="s">
        <v>647</v>
      </c>
      <c r="K413" s="1177" t="s">
        <v>676</v>
      </c>
      <c r="L413" s="1178" t="s">
        <v>677</v>
      </c>
      <c r="M413" s="1179">
        <f>816036232-66036232</f>
        <v>750000000</v>
      </c>
      <c r="N413" s="1386" t="s">
        <v>770</v>
      </c>
      <c r="O413" s="1174" t="s">
        <v>769</v>
      </c>
      <c r="P413" s="1207" t="s">
        <v>680</v>
      </c>
      <c r="Q413" s="1163"/>
      <c r="R413" s="1357">
        <v>816036232</v>
      </c>
      <c r="S413" s="1357">
        <v>816036232</v>
      </c>
      <c r="T413" s="1357">
        <f>+Tabla16[[#This Row],[CDPS A 31 JULIO 2022]]-Tabla16[[#This Row],[CDP]]</f>
        <v>0</v>
      </c>
      <c r="U413" s="1357">
        <v>683963768</v>
      </c>
      <c r="V413" s="1357"/>
      <c r="W413" s="1357"/>
      <c r="X413" s="1207"/>
      <c r="Y413" s="1207"/>
      <c r="Z413" s="1207"/>
      <c r="AA413" s="1207"/>
      <c r="AB413" s="1207"/>
      <c r="AC413" s="1207"/>
      <c r="AD413" s="1207"/>
      <c r="AE413" s="1207"/>
      <c r="AF413" s="1207"/>
      <c r="AG413" s="1207"/>
      <c r="AH413" s="1207"/>
      <c r="AI413" s="1207"/>
      <c r="AJ413" s="1207"/>
      <c r="AK413" s="1207"/>
      <c r="AL413" s="1207"/>
      <c r="AM413" s="1207"/>
      <c r="AN413" s="1207"/>
      <c r="AO413" s="1207"/>
      <c r="AP413" s="1207"/>
      <c r="AQ413" s="1207"/>
      <c r="AR413" s="1207"/>
      <c r="AS413" s="1207"/>
      <c r="AT413" s="1207"/>
      <c r="AU413" s="1207"/>
      <c r="AV413" s="1207"/>
      <c r="AW413" s="1207"/>
      <c r="AX413" s="1207"/>
      <c r="AY413" s="1207"/>
      <c r="AZ413" s="1207"/>
      <c r="BA413" s="1207"/>
      <c r="BB413" s="1207"/>
      <c r="BC413" s="1207"/>
      <c r="BD413" s="1207"/>
      <c r="BE413" s="1207"/>
      <c r="BF413" s="1207"/>
      <c r="BG413" s="1207"/>
      <c r="BH413" s="1207"/>
      <c r="BI413" s="1207"/>
      <c r="BJ413" s="1207"/>
      <c r="BK413" s="1207"/>
      <c r="BL413" s="1207"/>
      <c r="BM413" s="1207"/>
      <c r="BN413" s="1207"/>
      <c r="BO413" s="1207"/>
      <c r="BP413" s="1207"/>
      <c r="BQ413" s="1207"/>
      <c r="BR413" s="1207"/>
      <c r="BS413" s="1207"/>
      <c r="BT413" s="1207"/>
      <c r="BU413" s="1207"/>
      <c r="BV413" s="1207"/>
      <c r="BW413" s="1207"/>
      <c r="BX413" s="1207"/>
      <c r="BY413" s="1207"/>
      <c r="BZ413" s="1207"/>
      <c r="CA413" s="1207"/>
      <c r="CB413" s="1207"/>
      <c r="CC413" s="1207"/>
      <c r="CD413" s="1207"/>
      <c r="CE413" s="1207"/>
      <c r="CF413" s="1207"/>
    </row>
    <row r="414" spans="1:84" ht="105" x14ac:dyDescent="0.2">
      <c r="A414" s="1355">
        <v>2022390</v>
      </c>
      <c r="B414" s="1172">
        <v>7658</v>
      </c>
      <c r="C414" s="1356" t="s">
        <v>681</v>
      </c>
      <c r="D414" s="1190" t="s">
        <v>694</v>
      </c>
      <c r="E414" s="1174" t="s">
        <v>1053</v>
      </c>
      <c r="F414" s="1389" t="s">
        <v>1055</v>
      </c>
      <c r="G414" s="1390">
        <v>44562</v>
      </c>
      <c r="H414" s="1390">
        <v>44592</v>
      </c>
      <c r="I414" s="1176">
        <v>2</v>
      </c>
      <c r="J414" s="1176" t="s">
        <v>647</v>
      </c>
      <c r="K414" s="1177" t="s">
        <v>676</v>
      </c>
      <c r="L414" s="1178" t="s">
        <v>677</v>
      </c>
      <c r="M414" s="1179">
        <v>183963768</v>
      </c>
      <c r="N414" s="1386" t="s">
        <v>770</v>
      </c>
      <c r="O414" s="1174" t="s">
        <v>769</v>
      </c>
      <c r="P414" s="1207" t="s">
        <v>750</v>
      </c>
      <c r="Q414" s="1163"/>
      <c r="R414" s="1357">
        <v>183963768</v>
      </c>
      <c r="S414" s="1357">
        <v>183963768</v>
      </c>
      <c r="T414" s="1357">
        <f>+Tabla16[[#This Row],[CDPS A 31 JULIO 2022]]-Tabla16[[#This Row],[CDP]]</f>
        <v>0</v>
      </c>
      <c r="U414" s="1357">
        <v>183963768</v>
      </c>
      <c r="V414" s="1357">
        <v>183963768</v>
      </c>
      <c r="W414" s="1357"/>
      <c r="X414" s="1207"/>
      <c r="Y414" s="1207"/>
      <c r="Z414" s="1207"/>
      <c r="AA414" s="1207"/>
      <c r="AB414" s="1207"/>
      <c r="AC414" s="1207"/>
      <c r="AD414" s="1207"/>
      <c r="AE414" s="1207"/>
      <c r="AF414" s="1207"/>
      <c r="AG414" s="1207"/>
      <c r="AH414" s="1207"/>
      <c r="AI414" s="1207"/>
      <c r="AJ414" s="1207"/>
      <c r="AK414" s="1207"/>
      <c r="AL414" s="1207"/>
      <c r="AM414" s="1207"/>
      <c r="AN414" s="1207"/>
      <c r="AO414" s="1207"/>
      <c r="AP414" s="1207"/>
      <c r="AQ414" s="1207"/>
      <c r="AR414" s="1207"/>
      <c r="AS414" s="1207"/>
      <c r="AT414" s="1207"/>
      <c r="AU414" s="1207"/>
      <c r="AV414" s="1207"/>
      <c r="AW414" s="1207"/>
      <c r="AX414" s="1207"/>
      <c r="AY414" s="1207"/>
      <c r="AZ414" s="1207"/>
      <c r="BA414" s="1207"/>
      <c r="BB414" s="1207"/>
      <c r="BC414" s="1207"/>
      <c r="BD414" s="1207"/>
      <c r="BE414" s="1207"/>
      <c r="BF414" s="1207"/>
      <c r="BG414" s="1207"/>
      <c r="BH414" s="1207"/>
      <c r="BI414" s="1207"/>
      <c r="BJ414" s="1207"/>
      <c r="BK414" s="1207"/>
      <c r="BL414" s="1207"/>
      <c r="BM414" s="1207"/>
      <c r="BN414" s="1207"/>
      <c r="BO414" s="1207"/>
      <c r="BP414" s="1207"/>
      <c r="BQ414" s="1207"/>
      <c r="BR414" s="1207"/>
      <c r="BS414" s="1207"/>
      <c r="BT414" s="1207"/>
      <c r="BU414" s="1207"/>
      <c r="BV414" s="1207"/>
      <c r="BW414" s="1207"/>
      <c r="BX414" s="1207"/>
      <c r="BY414" s="1207"/>
      <c r="BZ414" s="1207"/>
      <c r="CA414" s="1207"/>
      <c r="CB414" s="1207"/>
      <c r="CC414" s="1207"/>
      <c r="CD414" s="1207"/>
      <c r="CE414" s="1207"/>
      <c r="CF414" s="1207"/>
    </row>
    <row r="415" spans="1:84" ht="105" x14ac:dyDescent="0.2">
      <c r="A415" s="1355">
        <v>2022391</v>
      </c>
      <c r="B415" s="1172">
        <v>7658</v>
      </c>
      <c r="C415" s="1356" t="s">
        <v>681</v>
      </c>
      <c r="D415" s="1190" t="s">
        <v>694</v>
      </c>
      <c r="E415" s="1174" t="s">
        <v>1056</v>
      </c>
      <c r="F415" s="1389" t="s">
        <v>1057</v>
      </c>
      <c r="G415" s="1390">
        <v>44713</v>
      </c>
      <c r="H415" s="1390">
        <v>44803</v>
      </c>
      <c r="I415" s="1176">
        <v>4</v>
      </c>
      <c r="J415" s="1176" t="s">
        <v>647</v>
      </c>
      <c r="K415" s="1177" t="s">
        <v>772</v>
      </c>
      <c r="L415" s="1178" t="s">
        <v>983</v>
      </c>
      <c r="M415" s="1179">
        <f>617440000-450000000</f>
        <v>167440000</v>
      </c>
      <c r="N415" s="1386" t="s">
        <v>770</v>
      </c>
      <c r="O415" s="1174" t="s">
        <v>769</v>
      </c>
      <c r="P415" s="1207" t="s">
        <v>680</v>
      </c>
      <c r="Q415" s="1163"/>
      <c r="R415" s="1269">
        <v>0</v>
      </c>
      <c r="S415" s="1357"/>
      <c r="T415" s="1357">
        <f>+Tabla16[[#This Row],[CDPS A 31 JULIO 2022]]-Tabla16[[#This Row],[CDP]]</f>
        <v>0</v>
      </c>
      <c r="U415" s="1357"/>
      <c r="V415" s="1357"/>
      <c r="W415" s="1357"/>
      <c r="X415" s="1207"/>
      <c r="Y415" s="1207"/>
      <c r="Z415" s="1207"/>
      <c r="AA415" s="1207"/>
      <c r="AB415" s="1207"/>
      <c r="AC415" s="1207"/>
      <c r="AD415" s="1207"/>
      <c r="AE415" s="1207"/>
      <c r="AF415" s="1207"/>
      <c r="AG415" s="1207"/>
      <c r="AH415" s="1207"/>
      <c r="AI415" s="1207"/>
      <c r="AJ415" s="1207"/>
      <c r="AK415" s="1207"/>
      <c r="AL415" s="1207"/>
      <c r="AM415" s="1207"/>
      <c r="AN415" s="1207"/>
      <c r="AO415" s="1207"/>
      <c r="AP415" s="1207"/>
      <c r="AQ415" s="1207"/>
      <c r="AR415" s="1207"/>
      <c r="AS415" s="1207"/>
      <c r="AT415" s="1207"/>
      <c r="AU415" s="1207"/>
      <c r="AV415" s="1207"/>
      <c r="AW415" s="1207"/>
      <c r="AX415" s="1207"/>
      <c r="AY415" s="1207"/>
      <c r="AZ415" s="1207"/>
      <c r="BA415" s="1207"/>
      <c r="BB415" s="1207"/>
      <c r="BC415" s="1207"/>
      <c r="BD415" s="1207"/>
      <c r="BE415" s="1207"/>
      <c r="BF415" s="1207"/>
      <c r="BG415" s="1207"/>
      <c r="BH415" s="1207"/>
      <c r="BI415" s="1207"/>
      <c r="BJ415" s="1207"/>
      <c r="BK415" s="1207"/>
      <c r="BL415" s="1207"/>
      <c r="BM415" s="1207"/>
      <c r="BN415" s="1207"/>
      <c r="BO415" s="1207"/>
      <c r="BP415" s="1207"/>
      <c r="BQ415" s="1207"/>
      <c r="BR415" s="1207"/>
      <c r="BS415" s="1207"/>
      <c r="BT415" s="1207"/>
      <c r="BU415" s="1207"/>
      <c r="BV415" s="1207"/>
      <c r="BW415" s="1207"/>
      <c r="BX415" s="1207"/>
      <c r="BY415" s="1207"/>
      <c r="BZ415" s="1207"/>
      <c r="CA415" s="1207"/>
      <c r="CB415" s="1207"/>
      <c r="CC415" s="1207"/>
      <c r="CD415" s="1207"/>
      <c r="CE415" s="1207"/>
      <c r="CF415" s="1207"/>
    </row>
    <row r="416" spans="1:84" ht="105" x14ac:dyDescent="0.2">
      <c r="A416" s="1355">
        <v>2022392</v>
      </c>
      <c r="B416" s="1172">
        <v>7658</v>
      </c>
      <c r="C416" s="1356" t="s">
        <v>681</v>
      </c>
      <c r="D416" s="1190" t="s">
        <v>694</v>
      </c>
      <c r="E416" s="1174" t="s">
        <v>1058</v>
      </c>
      <c r="F416" s="1389" t="s">
        <v>1059</v>
      </c>
      <c r="G416" s="1390">
        <v>44687</v>
      </c>
      <c r="H416" s="1390">
        <v>44742</v>
      </c>
      <c r="I416" s="1176">
        <v>6</v>
      </c>
      <c r="J416" s="1176" t="s">
        <v>698</v>
      </c>
      <c r="K416" s="1177" t="s">
        <v>676</v>
      </c>
      <c r="L416" s="1178" t="s">
        <v>677</v>
      </c>
      <c r="M416" s="1179">
        <f>300000000-180000000-2307582</f>
        <v>117692418</v>
      </c>
      <c r="N416" s="1386" t="s">
        <v>770</v>
      </c>
      <c r="O416" s="1174" t="s">
        <v>769</v>
      </c>
      <c r="P416" s="1207" t="s">
        <v>680</v>
      </c>
      <c r="Q416" s="1163" t="s">
        <v>1060</v>
      </c>
      <c r="R416" s="1357">
        <v>120000000</v>
      </c>
      <c r="S416" s="1357">
        <v>120000000</v>
      </c>
      <c r="T416" s="1357">
        <f>+Tabla16[[#This Row],[CDPS A 31 JULIO 2022]]-Tabla16[[#This Row],[CDP]]</f>
        <v>0</v>
      </c>
      <c r="U416" s="1357"/>
      <c r="V416" s="1357"/>
      <c r="W416" s="1357"/>
      <c r="X416" s="1207"/>
      <c r="Y416" s="1207"/>
      <c r="Z416" s="1207"/>
      <c r="AA416" s="1207"/>
      <c r="AB416" s="1207"/>
      <c r="AC416" s="1207"/>
      <c r="AD416" s="1207"/>
      <c r="AE416" s="1207"/>
      <c r="AF416" s="1207"/>
      <c r="AG416" s="1207"/>
      <c r="AH416" s="1207"/>
      <c r="AI416" s="1207"/>
      <c r="AJ416" s="1207"/>
      <c r="AK416" s="1207"/>
      <c r="AL416" s="1207"/>
      <c r="AM416" s="1207"/>
      <c r="AN416" s="1207"/>
      <c r="AO416" s="1207"/>
      <c r="AP416" s="1207"/>
      <c r="AQ416" s="1207"/>
      <c r="AR416" s="1207"/>
      <c r="AS416" s="1207"/>
      <c r="AT416" s="1207"/>
      <c r="AU416" s="1207"/>
      <c r="AV416" s="1207"/>
      <c r="AW416" s="1207"/>
      <c r="AX416" s="1207"/>
      <c r="AY416" s="1207"/>
      <c r="AZ416" s="1207"/>
      <c r="BA416" s="1207"/>
      <c r="BB416" s="1207"/>
      <c r="BC416" s="1207"/>
      <c r="BD416" s="1207"/>
      <c r="BE416" s="1207"/>
      <c r="BF416" s="1207"/>
      <c r="BG416" s="1207"/>
      <c r="BH416" s="1207"/>
      <c r="BI416" s="1207"/>
      <c r="BJ416" s="1207"/>
      <c r="BK416" s="1207"/>
      <c r="BL416" s="1207"/>
      <c r="BM416" s="1207"/>
      <c r="BN416" s="1207"/>
      <c r="BO416" s="1207"/>
      <c r="BP416" s="1207"/>
      <c r="BQ416" s="1207"/>
      <c r="BR416" s="1207"/>
      <c r="BS416" s="1207"/>
      <c r="BT416" s="1207"/>
      <c r="BU416" s="1207"/>
      <c r="BV416" s="1207"/>
      <c r="BW416" s="1207"/>
      <c r="BX416" s="1207"/>
      <c r="BY416" s="1207"/>
      <c r="BZ416" s="1207"/>
      <c r="CA416" s="1207"/>
      <c r="CB416" s="1207"/>
      <c r="CC416" s="1207"/>
      <c r="CD416" s="1207"/>
      <c r="CE416" s="1207"/>
      <c r="CF416" s="1207"/>
    </row>
    <row r="417" spans="1:84" ht="105" x14ac:dyDescent="0.2">
      <c r="A417" s="1355">
        <v>2022393</v>
      </c>
      <c r="B417" s="1172">
        <v>7658</v>
      </c>
      <c r="C417" s="1356" t="s">
        <v>681</v>
      </c>
      <c r="D417" s="1190" t="s">
        <v>694</v>
      </c>
      <c r="E417" s="1174" t="s">
        <v>1061</v>
      </c>
      <c r="F417" s="1389" t="s">
        <v>1062</v>
      </c>
      <c r="G417" s="1390">
        <v>44687</v>
      </c>
      <c r="H417" s="1390">
        <v>44743</v>
      </c>
      <c r="I417" s="1176">
        <v>5</v>
      </c>
      <c r="J417" s="1176" t="s">
        <v>689</v>
      </c>
      <c r="K417" s="1177" t="s">
        <v>676</v>
      </c>
      <c r="L417" s="1178" t="s">
        <v>677</v>
      </c>
      <c r="M417" s="1179">
        <f>200000000+180000000+70000000</f>
        <v>450000000</v>
      </c>
      <c r="N417" s="1386" t="s">
        <v>770</v>
      </c>
      <c r="O417" s="1174" t="s">
        <v>769</v>
      </c>
      <c r="P417" s="1207" t="s">
        <v>680</v>
      </c>
      <c r="Q417" s="1163"/>
      <c r="R417" s="1357">
        <v>450000000</v>
      </c>
      <c r="S417" s="1357">
        <v>380000000</v>
      </c>
      <c r="T417" s="1357">
        <f>+Tabla16[[#This Row],[CDPS A 31 JULIO 2022]]-Tabla16[[#This Row],[CDP]]</f>
        <v>70000000</v>
      </c>
      <c r="U417" s="1357"/>
      <c r="V417" s="1357"/>
      <c r="W417" s="1357"/>
      <c r="X417" s="1207"/>
      <c r="Y417" s="1207"/>
      <c r="Z417" s="1207"/>
      <c r="AA417" s="1207"/>
      <c r="AB417" s="1207"/>
      <c r="AC417" s="1207"/>
      <c r="AD417" s="1207"/>
      <c r="AE417" s="1207"/>
      <c r="AF417" s="1207"/>
      <c r="AG417" s="1207"/>
      <c r="AH417" s="1207"/>
      <c r="AI417" s="1207"/>
      <c r="AJ417" s="1207"/>
      <c r="AK417" s="1207"/>
      <c r="AL417" s="1207"/>
      <c r="AM417" s="1207"/>
      <c r="AN417" s="1207"/>
      <c r="AO417" s="1207"/>
      <c r="AP417" s="1207"/>
      <c r="AQ417" s="1207"/>
      <c r="AR417" s="1207"/>
      <c r="AS417" s="1207"/>
      <c r="AT417" s="1207"/>
      <c r="AU417" s="1207"/>
      <c r="AV417" s="1207"/>
      <c r="AW417" s="1207"/>
      <c r="AX417" s="1207"/>
      <c r="AY417" s="1207"/>
      <c r="AZ417" s="1207"/>
      <c r="BA417" s="1207"/>
      <c r="BB417" s="1207"/>
      <c r="BC417" s="1207"/>
      <c r="BD417" s="1207"/>
      <c r="BE417" s="1207"/>
      <c r="BF417" s="1207"/>
      <c r="BG417" s="1207"/>
      <c r="BH417" s="1207"/>
      <c r="BI417" s="1207"/>
      <c r="BJ417" s="1207"/>
      <c r="BK417" s="1207"/>
      <c r="BL417" s="1207"/>
      <c r="BM417" s="1207"/>
      <c r="BN417" s="1207"/>
      <c r="BO417" s="1207"/>
      <c r="BP417" s="1207"/>
      <c r="BQ417" s="1207"/>
      <c r="BR417" s="1207"/>
      <c r="BS417" s="1207"/>
      <c r="BT417" s="1207"/>
      <c r="BU417" s="1207"/>
      <c r="BV417" s="1207"/>
      <c r="BW417" s="1207"/>
      <c r="BX417" s="1207"/>
      <c r="BY417" s="1207"/>
      <c r="BZ417" s="1207"/>
      <c r="CA417" s="1207"/>
      <c r="CB417" s="1207"/>
      <c r="CC417" s="1207"/>
      <c r="CD417" s="1207"/>
      <c r="CE417" s="1207"/>
      <c r="CF417" s="1207"/>
    </row>
    <row r="418" spans="1:84" ht="105" x14ac:dyDescent="0.2">
      <c r="A418" s="1355">
        <v>2022394</v>
      </c>
      <c r="B418" s="1172">
        <v>7658</v>
      </c>
      <c r="C418" s="1356" t="s">
        <v>681</v>
      </c>
      <c r="D418" s="1190" t="s">
        <v>694</v>
      </c>
      <c r="E418" s="1174" t="s">
        <v>1063</v>
      </c>
      <c r="F418" s="1389" t="s">
        <v>1064</v>
      </c>
      <c r="G418" s="1387">
        <v>44713</v>
      </c>
      <c r="H418" s="1387">
        <v>44803</v>
      </c>
      <c r="I418" s="1176">
        <v>4</v>
      </c>
      <c r="J418" s="1176" t="s">
        <v>689</v>
      </c>
      <c r="K418" s="1177" t="s">
        <v>676</v>
      </c>
      <c r="L418" s="1178" t="s">
        <v>677</v>
      </c>
      <c r="M418" s="1179">
        <f>150000000-76286376-3700000-19395017-10000000</f>
        <v>40618607</v>
      </c>
      <c r="N418" s="1386" t="s">
        <v>770</v>
      </c>
      <c r="O418" s="1174" t="s">
        <v>769</v>
      </c>
      <c r="P418" s="1207" t="s">
        <v>680</v>
      </c>
      <c r="Q418" s="1163"/>
      <c r="R418" s="1269">
        <v>0</v>
      </c>
      <c r="S418" s="1357"/>
      <c r="T418" s="1357">
        <f>+Tabla16[[#This Row],[CDPS A 31 JULIO 2022]]-Tabla16[[#This Row],[CDP]]</f>
        <v>0</v>
      </c>
      <c r="U418" s="1357"/>
      <c r="V418" s="1357"/>
      <c r="W418" s="1357"/>
      <c r="X418" s="1207"/>
      <c r="Y418" s="1207"/>
      <c r="Z418" s="1207"/>
      <c r="AA418" s="1207"/>
      <c r="AB418" s="1207"/>
      <c r="AC418" s="1207"/>
      <c r="AD418" s="1207"/>
      <c r="AE418" s="1207"/>
      <c r="AF418" s="1207"/>
      <c r="AG418" s="1207"/>
      <c r="AH418" s="1207"/>
      <c r="AI418" s="1207"/>
      <c r="AJ418" s="1207"/>
      <c r="AK418" s="1207"/>
      <c r="AL418" s="1207"/>
      <c r="AM418" s="1207"/>
      <c r="AN418" s="1207"/>
      <c r="AO418" s="1207"/>
      <c r="AP418" s="1207"/>
      <c r="AQ418" s="1207"/>
      <c r="AR418" s="1207"/>
      <c r="AS418" s="1207"/>
      <c r="AT418" s="1207"/>
      <c r="AU418" s="1207"/>
      <c r="AV418" s="1207"/>
      <c r="AW418" s="1207"/>
      <c r="AX418" s="1207"/>
      <c r="AY418" s="1207"/>
      <c r="AZ418" s="1207"/>
      <c r="BA418" s="1207"/>
      <c r="BB418" s="1207"/>
      <c r="BC418" s="1207"/>
      <c r="BD418" s="1207"/>
      <c r="BE418" s="1207"/>
      <c r="BF418" s="1207"/>
      <c r="BG418" s="1207"/>
      <c r="BH418" s="1207"/>
      <c r="BI418" s="1207"/>
      <c r="BJ418" s="1207"/>
      <c r="BK418" s="1207"/>
      <c r="BL418" s="1207"/>
      <c r="BM418" s="1207"/>
      <c r="BN418" s="1207"/>
      <c r="BO418" s="1207"/>
      <c r="BP418" s="1207"/>
      <c r="BQ418" s="1207"/>
      <c r="BR418" s="1207"/>
      <c r="BS418" s="1207"/>
      <c r="BT418" s="1207"/>
      <c r="BU418" s="1207"/>
      <c r="BV418" s="1207"/>
      <c r="BW418" s="1207"/>
      <c r="BX418" s="1207"/>
      <c r="BY418" s="1207"/>
      <c r="BZ418" s="1207"/>
      <c r="CA418" s="1207"/>
      <c r="CB418" s="1207"/>
      <c r="CC418" s="1207"/>
      <c r="CD418" s="1207"/>
      <c r="CE418" s="1207"/>
      <c r="CF418" s="1207"/>
    </row>
    <row r="419" spans="1:84" ht="105" x14ac:dyDescent="0.2">
      <c r="A419" s="1355">
        <v>2022398</v>
      </c>
      <c r="B419" s="1172">
        <v>7658</v>
      </c>
      <c r="C419" s="1356" t="s">
        <v>681</v>
      </c>
      <c r="D419" s="1190" t="s">
        <v>694</v>
      </c>
      <c r="E419" s="1174" t="s">
        <v>1065</v>
      </c>
      <c r="F419" s="1389" t="s">
        <v>1066</v>
      </c>
      <c r="G419" s="1387">
        <v>44682</v>
      </c>
      <c r="H419" s="1387">
        <v>44713</v>
      </c>
      <c r="I419" s="1176">
        <v>7</v>
      </c>
      <c r="J419" s="1176" t="s">
        <v>701</v>
      </c>
      <c r="K419" s="1177" t="s">
        <v>676</v>
      </c>
      <c r="L419" s="1178" t="s">
        <v>677</v>
      </c>
      <c r="M419" s="1179">
        <f>10000000-10000000+10000000</f>
        <v>10000000</v>
      </c>
      <c r="N419" s="1386" t="s">
        <v>770</v>
      </c>
      <c r="O419" s="1174" t="s">
        <v>769</v>
      </c>
      <c r="P419" s="1207" t="s">
        <v>680</v>
      </c>
      <c r="Q419" s="1163"/>
      <c r="R419" s="1357"/>
      <c r="S419" s="1357"/>
      <c r="T419" s="1357">
        <f>+Tabla16[[#This Row],[CDPS A 31 JULIO 2022]]-Tabla16[[#This Row],[CDP]]</f>
        <v>0</v>
      </c>
      <c r="U419" s="1357"/>
      <c r="V419" s="1357"/>
      <c r="W419" s="1357"/>
      <c r="X419" s="1207"/>
      <c r="Y419" s="1207"/>
      <c r="Z419" s="1207"/>
      <c r="AA419" s="1207"/>
      <c r="AB419" s="1207"/>
      <c r="AC419" s="1207"/>
      <c r="AD419" s="1207"/>
      <c r="AE419" s="1207"/>
      <c r="AF419" s="1207"/>
      <c r="AG419" s="1207"/>
      <c r="AH419" s="1207"/>
      <c r="AI419" s="1207"/>
      <c r="AJ419" s="1207"/>
      <c r="AK419" s="1207"/>
      <c r="AL419" s="1207"/>
      <c r="AM419" s="1207"/>
      <c r="AN419" s="1207"/>
      <c r="AO419" s="1207"/>
      <c r="AP419" s="1207"/>
      <c r="AQ419" s="1207"/>
      <c r="AR419" s="1207"/>
      <c r="AS419" s="1207"/>
      <c r="AT419" s="1207"/>
      <c r="AU419" s="1207"/>
      <c r="AV419" s="1207"/>
      <c r="AW419" s="1207"/>
      <c r="AX419" s="1207"/>
      <c r="AY419" s="1207"/>
      <c r="AZ419" s="1207"/>
      <c r="BA419" s="1207"/>
      <c r="BB419" s="1207"/>
      <c r="BC419" s="1207"/>
      <c r="BD419" s="1207"/>
      <c r="BE419" s="1207"/>
      <c r="BF419" s="1207"/>
      <c r="BG419" s="1207"/>
      <c r="BH419" s="1207"/>
      <c r="BI419" s="1207"/>
      <c r="BJ419" s="1207"/>
      <c r="BK419" s="1207"/>
      <c r="BL419" s="1207"/>
      <c r="BM419" s="1207"/>
      <c r="BN419" s="1207"/>
      <c r="BO419" s="1207"/>
      <c r="BP419" s="1207"/>
      <c r="BQ419" s="1207"/>
      <c r="BR419" s="1207"/>
      <c r="BS419" s="1207"/>
      <c r="BT419" s="1207"/>
      <c r="BU419" s="1207"/>
      <c r="BV419" s="1207"/>
      <c r="BW419" s="1207"/>
      <c r="BX419" s="1207"/>
      <c r="BY419" s="1207"/>
      <c r="BZ419" s="1207"/>
      <c r="CA419" s="1207"/>
      <c r="CB419" s="1207"/>
      <c r="CC419" s="1207"/>
      <c r="CD419" s="1207"/>
      <c r="CE419" s="1207"/>
      <c r="CF419" s="1207"/>
    </row>
    <row r="420" spans="1:84" ht="105" x14ac:dyDescent="0.2">
      <c r="A420" s="1355">
        <v>2022399</v>
      </c>
      <c r="B420" s="1172">
        <v>7658</v>
      </c>
      <c r="C420" s="1356" t="s">
        <v>681</v>
      </c>
      <c r="D420" s="1190" t="s">
        <v>694</v>
      </c>
      <c r="E420" s="1174" t="s">
        <v>1067</v>
      </c>
      <c r="F420" s="1389" t="s">
        <v>1068</v>
      </c>
      <c r="G420" s="1387">
        <v>44753</v>
      </c>
      <c r="H420" s="1387">
        <v>44774</v>
      </c>
      <c r="I420" s="1176">
        <v>1</v>
      </c>
      <c r="J420" s="1176" t="s">
        <v>701</v>
      </c>
      <c r="K420" s="1177" t="s">
        <v>676</v>
      </c>
      <c r="L420" s="1178" t="s">
        <v>677</v>
      </c>
      <c r="M420" s="1179">
        <f>20000000-20000000+19395017</f>
        <v>19395017</v>
      </c>
      <c r="N420" s="1386" t="s">
        <v>770</v>
      </c>
      <c r="O420" s="1174" t="s">
        <v>769</v>
      </c>
      <c r="P420" s="1207" t="s">
        <v>680</v>
      </c>
      <c r="Q420" s="1207"/>
      <c r="R420" s="1207"/>
      <c r="S420" s="1207"/>
      <c r="T420" s="1207"/>
      <c r="U420" s="1207"/>
      <c r="V420" s="1207"/>
      <c r="W420" s="1207"/>
      <c r="X420" s="1207"/>
      <c r="Y420" s="1207"/>
      <c r="Z420" s="1207"/>
      <c r="AA420" s="1207"/>
      <c r="AB420" s="1207"/>
      <c r="AC420" s="1207"/>
      <c r="AD420" s="1207"/>
      <c r="AE420" s="1207"/>
      <c r="AF420" s="1207"/>
      <c r="AG420" s="1207"/>
      <c r="AH420" s="1207"/>
      <c r="AI420" s="1207"/>
      <c r="AJ420" s="1207"/>
      <c r="AK420" s="1207"/>
      <c r="AL420" s="1207"/>
      <c r="AM420" s="1207"/>
      <c r="AN420" s="1207"/>
      <c r="AO420" s="1207"/>
      <c r="AP420" s="1207"/>
      <c r="AQ420" s="1207"/>
      <c r="AR420" s="1207"/>
      <c r="AS420" s="1207"/>
      <c r="AT420" s="1207"/>
      <c r="AU420" s="1207"/>
      <c r="AV420" s="1207"/>
      <c r="AW420" s="1207"/>
      <c r="AX420" s="1207"/>
      <c r="AY420" s="1207"/>
      <c r="AZ420" s="1207"/>
      <c r="BA420" s="1207"/>
      <c r="BB420" s="1207"/>
      <c r="BC420" s="1207"/>
      <c r="BD420" s="1207"/>
      <c r="BE420" s="1207"/>
      <c r="BF420" s="1207"/>
      <c r="BG420" s="1207"/>
      <c r="BH420" s="1207"/>
      <c r="BI420" s="1207"/>
      <c r="BJ420" s="1207"/>
      <c r="BK420" s="1207"/>
      <c r="BL420" s="1207"/>
      <c r="BM420" s="1207"/>
      <c r="BN420" s="1207"/>
      <c r="BO420" s="1207"/>
      <c r="BP420" s="1207"/>
      <c r="BQ420" s="1207"/>
      <c r="BR420" s="1207"/>
      <c r="BS420" s="1207"/>
      <c r="BT420" s="1207"/>
      <c r="BU420" s="1207"/>
      <c r="BV420" s="1207"/>
      <c r="BW420" s="1207"/>
      <c r="BX420" s="1207"/>
      <c r="BY420" s="1207"/>
      <c r="BZ420" s="1207"/>
      <c r="CA420" s="1207"/>
      <c r="CB420" s="1207"/>
      <c r="CC420" s="1207"/>
      <c r="CD420" s="1207"/>
      <c r="CE420" s="1207"/>
      <c r="CF420" s="1207"/>
    </row>
    <row r="421" spans="1:84" ht="105" x14ac:dyDescent="0.2">
      <c r="A421" s="1355">
        <v>2022400</v>
      </c>
      <c r="B421" s="1172">
        <v>7658</v>
      </c>
      <c r="C421" s="1356" t="s">
        <v>681</v>
      </c>
      <c r="D421" s="1190" t="s">
        <v>694</v>
      </c>
      <c r="E421" s="1174" t="s">
        <v>1069</v>
      </c>
      <c r="F421" s="1389" t="s">
        <v>1070</v>
      </c>
      <c r="G421" s="1387">
        <v>44663</v>
      </c>
      <c r="H421" s="1387">
        <v>44713</v>
      </c>
      <c r="I421" s="1176">
        <v>4</v>
      </c>
      <c r="J421" s="1176" t="s">
        <v>701</v>
      </c>
      <c r="K421" s="1177" t="s">
        <v>676</v>
      </c>
      <c r="L421" s="1178" t="s">
        <v>677</v>
      </c>
      <c r="M421" s="1179">
        <f>50000000-8854126+126</f>
        <v>41146000</v>
      </c>
      <c r="N421" s="1386" t="s">
        <v>770</v>
      </c>
      <c r="O421" s="1174" t="s">
        <v>769</v>
      </c>
      <c r="P421" s="1207" t="s">
        <v>680</v>
      </c>
      <c r="Q421" s="1163"/>
      <c r="R421" s="1357">
        <v>41146000</v>
      </c>
      <c r="S421" s="1357">
        <v>41146000</v>
      </c>
      <c r="T421" s="1357">
        <f>+Tabla16[[#This Row],[CDPS A 31 JULIO 2022]]-Tabla16[[#This Row],[CDP]]</f>
        <v>0</v>
      </c>
      <c r="U421" s="1357"/>
      <c r="V421" s="1357"/>
      <c r="W421" s="1357"/>
      <c r="X421" s="1207"/>
      <c r="Y421" s="1207"/>
      <c r="Z421" s="1207"/>
      <c r="AA421" s="1207"/>
      <c r="AB421" s="1207"/>
      <c r="AC421" s="1207"/>
      <c r="AD421" s="1207"/>
      <c r="AE421" s="1207"/>
      <c r="AF421" s="1207"/>
      <c r="AG421" s="1207"/>
      <c r="AH421" s="1207"/>
      <c r="AI421" s="1207"/>
      <c r="AJ421" s="1207"/>
      <c r="AK421" s="1207"/>
      <c r="AL421" s="1207"/>
      <c r="AM421" s="1207"/>
      <c r="AN421" s="1207"/>
      <c r="AO421" s="1207"/>
      <c r="AP421" s="1207"/>
      <c r="AQ421" s="1207"/>
      <c r="AR421" s="1207"/>
      <c r="AS421" s="1207"/>
      <c r="AT421" s="1207"/>
      <c r="AU421" s="1207"/>
      <c r="AV421" s="1207"/>
      <c r="AW421" s="1207"/>
      <c r="AX421" s="1207"/>
      <c r="AY421" s="1207"/>
      <c r="AZ421" s="1207"/>
      <c r="BA421" s="1207"/>
      <c r="BB421" s="1207"/>
      <c r="BC421" s="1207"/>
      <c r="BD421" s="1207"/>
      <c r="BE421" s="1207"/>
      <c r="BF421" s="1207"/>
      <c r="BG421" s="1207"/>
      <c r="BH421" s="1207"/>
      <c r="BI421" s="1207"/>
      <c r="BJ421" s="1207"/>
      <c r="BK421" s="1207"/>
      <c r="BL421" s="1207"/>
      <c r="BM421" s="1207"/>
      <c r="BN421" s="1207"/>
      <c r="BO421" s="1207"/>
      <c r="BP421" s="1207"/>
      <c r="BQ421" s="1207"/>
      <c r="BR421" s="1207"/>
      <c r="BS421" s="1207"/>
      <c r="BT421" s="1207"/>
      <c r="BU421" s="1207"/>
      <c r="BV421" s="1207"/>
      <c r="BW421" s="1207"/>
      <c r="BX421" s="1207"/>
      <c r="BY421" s="1207"/>
      <c r="BZ421" s="1207"/>
      <c r="CA421" s="1207"/>
      <c r="CB421" s="1207"/>
      <c r="CC421" s="1207"/>
      <c r="CD421" s="1207"/>
      <c r="CE421" s="1207"/>
      <c r="CF421" s="1207"/>
    </row>
    <row r="422" spans="1:84" ht="105" x14ac:dyDescent="0.2">
      <c r="A422" s="1355">
        <v>2022404</v>
      </c>
      <c r="B422" s="1172">
        <v>7658</v>
      </c>
      <c r="C422" s="1356" t="s">
        <v>681</v>
      </c>
      <c r="D422" s="1190" t="s">
        <v>694</v>
      </c>
      <c r="E422" s="1174">
        <v>80111600</v>
      </c>
      <c r="F422" s="1389" t="s">
        <v>1071</v>
      </c>
      <c r="G422" s="1390">
        <v>44562</v>
      </c>
      <c r="H422" s="1390">
        <v>44592</v>
      </c>
      <c r="I422" s="1176">
        <v>7</v>
      </c>
      <c r="J422" s="1176" t="s">
        <v>675</v>
      </c>
      <c r="K422" s="1177" t="s">
        <v>676</v>
      </c>
      <c r="L422" s="1178" t="s">
        <v>677</v>
      </c>
      <c r="M422" s="1179">
        <v>26950000</v>
      </c>
      <c r="N422" s="1386" t="s">
        <v>770</v>
      </c>
      <c r="O422" s="1174" t="s">
        <v>769</v>
      </c>
      <c r="P422" s="1207" t="s">
        <v>680</v>
      </c>
      <c r="Q422" s="1163"/>
      <c r="R422" s="1357">
        <v>26950000</v>
      </c>
      <c r="S422" s="1357">
        <v>26950000</v>
      </c>
      <c r="T422" s="1357">
        <f>+Tabla16[[#This Row],[CDPS A 31 JULIO 2022]]-Tabla16[[#This Row],[CDP]]</f>
        <v>0</v>
      </c>
      <c r="U422" s="1357">
        <v>26950000</v>
      </c>
      <c r="V422" s="1357">
        <v>17196667</v>
      </c>
      <c r="W422" s="1357"/>
      <c r="X422" s="1207"/>
      <c r="Y422" s="1207"/>
      <c r="Z422" s="1207"/>
      <c r="AA422" s="1207"/>
      <c r="AB422" s="1207"/>
      <c r="AC422" s="1207"/>
      <c r="AD422" s="1207"/>
      <c r="AE422" s="1207"/>
      <c r="AF422" s="1207"/>
      <c r="AG422" s="1207"/>
      <c r="AH422" s="1207"/>
      <c r="AI422" s="1207"/>
      <c r="AJ422" s="1207"/>
      <c r="AK422" s="1207"/>
      <c r="AL422" s="1207"/>
      <c r="AM422" s="1207"/>
      <c r="AN422" s="1207"/>
      <c r="AO422" s="1207"/>
      <c r="AP422" s="1207"/>
      <c r="AQ422" s="1207"/>
      <c r="AR422" s="1207"/>
      <c r="AS422" s="1207"/>
      <c r="AT422" s="1207"/>
      <c r="AU422" s="1207"/>
      <c r="AV422" s="1207"/>
      <c r="AW422" s="1207"/>
      <c r="AX422" s="1207"/>
      <c r="AY422" s="1207"/>
      <c r="AZ422" s="1207"/>
      <c r="BA422" s="1207"/>
      <c r="BB422" s="1207"/>
      <c r="BC422" s="1207"/>
      <c r="BD422" s="1207"/>
      <c r="BE422" s="1207"/>
      <c r="BF422" s="1207"/>
      <c r="BG422" s="1207"/>
      <c r="BH422" s="1207"/>
      <c r="BI422" s="1207"/>
      <c r="BJ422" s="1207"/>
      <c r="BK422" s="1207"/>
      <c r="BL422" s="1207"/>
      <c r="BM422" s="1207"/>
      <c r="BN422" s="1207"/>
      <c r="BO422" s="1207"/>
      <c r="BP422" s="1207"/>
      <c r="BQ422" s="1207"/>
      <c r="BR422" s="1207"/>
      <c r="BS422" s="1207"/>
      <c r="BT422" s="1207"/>
      <c r="BU422" s="1207"/>
      <c r="BV422" s="1207"/>
      <c r="BW422" s="1207"/>
      <c r="BX422" s="1207"/>
      <c r="BY422" s="1207"/>
      <c r="BZ422" s="1207"/>
      <c r="CA422" s="1207"/>
      <c r="CB422" s="1207"/>
      <c r="CC422" s="1207"/>
      <c r="CD422" s="1207"/>
      <c r="CE422" s="1207"/>
      <c r="CF422" s="1207"/>
    </row>
    <row r="423" spans="1:84" ht="105" x14ac:dyDescent="0.2">
      <c r="A423" s="1355">
        <v>2022405</v>
      </c>
      <c r="B423" s="1172">
        <v>7658</v>
      </c>
      <c r="C423" s="1356" t="s">
        <v>681</v>
      </c>
      <c r="D423" s="1190" t="s">
        <v>694</v>
      </c>
      <c r="E423" s="1174">
        <v>80111600</v>
      </c>
      <c r="F423" s="1389" t="s">
        <v>1071</v>
      </c>
      <c r="G423" s="1390">
        <v>44562</v>
      </c>
      <c r="H423" s="1390">
        <v>44592</v>
      </c>
      <c r="I423" s="1176">
        <v>3</v>
      </c>
      <c r="J423" s="1176" t="s">
        <v>675</v>
      </c>
      <c r="K423" s="1177" t="s">
        <v>676</v>
      </c>
      <c r="L423" s="1178" t="s">
        <v>677</v>
      </c>
      <c r="M423" s="1179">
        <v>13500000</v>
      </c>
      <c r="N423" s="1386" t="s">
        <v>770</v>
      </c>
      <c r="O423" s="1174" t="s">
        <v>769</v>
      </c>
      <c r="P423" s="1207" t="s">
        <v>680</v>
      </c>
      <c r="Q423" s="1163"/>
      <c r="R423" s="1269">
        <v>0</v>
      </c>
      <c r="S423" s="1357"/>
      <c r="T423" s="1357">
        <f>+Tabla16[[#This Row],[CDPS A 31 JULIO 2022]]-Tabla16[[#This Row],[CDP]]</f>
        <v>0</v>
      </c>
      <c r="U423" s="1357"/>
      <c r="V423" s="1357"/>
      <c r="W423" s="1357"/>
      <c r="X423" s="1207"/>
      <c r="Y423" s="1207"/>
      <c r="Z423" s="1207"/>
      <c r="AA423" s="1207"/>
      <c r="AB423" s="1207"/>
      <c r="AC423" s="1207"/>
      <c r="AD423" s="1207"/>
      <c r="AE423" s="1207"/>
      <c r="AF423" s="1207"/>
      <c r="AG423" s="1207"/>
      <c r="AH423" s="1207"/>
      <c r="AI423" s="1207"/>
      <c r="AJ423" s="1207"/>
      <c r="AK423" s="1207"/>
      <c r="AL423" s="1207"/>
      <c r="AM423" s="1207"/>
      <c r="AN423" s="1207"/>
      <c r="AO423" s="1207"/>
      <c r="AP423" s="1207"/>
      <c r="AQ423" s="1207"/>
      <c r="AR423" s="1207"/>
      <c r="AS423" s="1207"/>
      <c r="AT423" s="1207"/>
      <c r="AU423" s="1207"/>
      <c r="AV423" s="1207"/>
      <c r="AW423" s="1207"/>
      <c r="AX423" s="1207"/>
      <c r="AY423" s="1207"/>
      <c r="AZ423" s="1207"/>
      <c r="BA423" s="1207"/>
      <c r="BB423" s="1207"/>
      <c r="BC423" s="1207"/>
      <c r="BD423" s="1207"/>
      <c r="BE423" s="1207"/>
      <c r="BF423" s="1207"/>
      <c r="BG423" s="1207"/>
      <c r="BH423" s="1207"/>
      <c r="BI423" s="1207"/>
      <c r="BJ423" s="1207"/>
      <c r="BK423" s="1207"/>
      <c r="BL423" s="1207"/>
      <c r="BM423" s="1207"/>
      <c r="BN423" s="1207"/>
      <c r="BO423" s="1207"/>
      <c r="BP423" s="1207"/>
      <c r="BQ423" s="1207"/>
      <c r="BR423" s="1207"/>
      <c r="BS423" s="1207"/>
      <c r="BT423" s="1207"/>
      <c r="BU423" s="1207"/>
      <c r="BV423" s="1207"/>
      <c r="BW423" s="1207"/>
      <c r="BX423" s="1207"/>
      <c r="BY423" s="1207"/>
      <c r="BZ423" s="1207"/>
      <c r="CA423" s="1207"/>
      <c r="CB423" s="1207"/>
      <c r="CC423" s="1207"/>
      <c r="CD423" s="1207"/>
      <c r="CE423" s="1207"/>
      <c r="CF423" s="1207"/>
    </row>
    <row r="424" spans="1:84" ht="105" x14ac:dyDescent="0.2">
      <c r="A424" s="1355">
        <v>2022406</v>
      </c>
      <c r="B424" s="1172">
        <v>7658</v>
      </c>
      <c r="C424" s="1356" t="s">
        <v>681</v>
      </c>
      <c r="D424" s="1190" t="s">
        <v>694</v>
      </c>
      <c r="E424" s="1174">
        <v>80111600</v>
      </c>
      <c r="F424" s="1389" t="s">
        <v>1072</v>
      </c>
      <c r="G424" s="1390">
        <v>44562</v>
      </c>
      <c r="H424" s="1390">
        <v>44592</v>
      </c>
      <c r="I424" s="1176">
        <v>10</v>
      </c>
      <c r="J424" s="1176" t="s">
        <v>675</v>
      </c>
      <c r="K424" s="1177" t="s">
        <v>676</v>
      </c>
      <c r="L424" s="1178" t="s">
        <v>677</v>
      </c>
      <c r="M424" s="1179">
        <v>82400000</v>
      </c>
      <c r="N424" s="1386" t="s">
        <v>770</v>
      </c>
      <c r="O424" s="1174" t="s">
        <v>769</v>
      </c>
      <c r="P424" s="1207" t="s">
        <v>680</v>
      </c>
      <c r="Q424" s="1163"/>
      <c r="R424" s="1357">
        <v>82400000</v>
      </c>
      <c r="S424" s="1357">
        <v>82400000</v>
      </c>
      <c r="T424" s="1357">
        <f>+Tabla16[[#This Row],[CDPS A 31 JULIO 2022]]-Tabla16[[#This Row],[CDP]]</f>
        <v>0</v>
      </c>
      <c r="U424" s="1357">
        <v>82400000</v>
      </c>
      <c r="V424" s="1357">
        <v>35706667</v>
      </c>
      <c r="W424" s="1357"/>
      <c r="X424" s="1207"/>
      <c r="Y424" s="1207"/>
      <c r="Z424" s="1207"/>
      <c r="AA424" s="1207"/>
      <c r="AB424" s="1207"/>
      <c r="AC424" s="1207"/>
      <c r="AD424" s="1207"/>
      <c r="AE424" s="1207"/>
      <c r="AF424" s="1207"/>
      <c r="AG424" s="1207"/>
      <c r="AH424" s="1207"/>
      <c r="AI424" s="1207"/>
      <c r="AJ424" s="1207"/>
      <c r="AK424" s="1207"/>
      <c r="AL424" s="1207"/>
      <c r="AM424" s="1207"/>
      <c r="AN424" s="1207"/>
      <c r="AO424" s="1207"/>
      <c r="AP424" s="1207"/>
      <c r="AQ424" s="1207"/>
      <c r="AR424" s="1207"/>
      <c r="AS424" s="1207"/>
      <c r="AT424" s="1207"/>
      <c r="AU424" s="1207"/>
      <c r="AV424" s="1207"/>
      <c r="AW424" s="1207"/>
      <c r="AX424" s="1207"/>
      <c r="AY424" s="1207"/>
      <c r="AZ424" s="1207"/>
      <c r="BA424" s="1207"/>
      <c r="BB424" s="1207"/>
      <c r="BC424" s="1207"/>
      <c r="BD424" s="1207"/>
      <c r="BE424" s="1207"/>
      <c r="BF424" s="1207"/>
      <c r="BG424" s="1207"/>
      <c r="BH424" s="1207"/>
      <c r="BI424" s="1207"/>
      <c r="BJ424" s="1207"/>
      <c r="BK424" s="1207"/>
      <c r="BL424" s="1207"/>
      <c r="BM424" s="1207"/>
      <c r="BN424" s="1207"/>
      <c r="BO424" s="1207"/>
      <c r="BP424" s="1207"/>
      <c r="BQ424" s="1207"/>
      <c r="BR424" s="1207"/>
      <c r="BS424" s="1207"/>
      <c r="BT424" s="1207"/>
      <c r="BU424" s="1207"/>
      <c r="BV424" s="1207"/>
      <c r="BW424" s="1207"/>
      <c r="BX424" s="1207"/>
      <c r="BY424" s="1207"/>
      <c r="BZ424" s="1207"/>
      <c r="CA424" s="1207"/>
      <c r="CB424" s="1207"/>
      <c r="CC424" s="1207"/>
      <c r="CD424" s="1207"/>
      <c r="CE424" s="1207"/>
      <c r="CF424" s="1207"/>
    </row>
    <row r="425" spans="1:84" ht="105" x14ac:dyDescent="0.2">
      <c r="A425" s="1355">
        <v>2022407</v>
      </c>
      <c r="B425" s="1172">
        <v>7658</v>
      </c>
      <c r="C425" s="1356" t="s">
        <v>681</v>
      </c>
      <c r="D425" s="1190" t="s">
        <v>694</v>
      </c>
      <c r="E425" s="1174">
        <v>80111600</v>
      </c>
      <c r="F425" s="1389" t="s">
        <v>1073</v>
      </c>
      <c r="G425" s="1390">
        <v>44562</v>
      </c>
      <c r="H425" s="1390">
        <v>44592</v>
      </c>
      <c r="I425" s="1176">
        <v>6</v>
      </c>
      <c r="J425" s="1176" t="s">
        <v>675</v>
      </c>
      <c r="K425" s="1177" t="s">
        <v>676</v>
      </c>
      <c r="L425" s="1178" t="s">
        <v>677</v>
      </c>
      <c r="M425" s="1179">
        <v>49440000</v>
      </c>
      <c r="N425" s="1386" t="s">
        <v>770</v>
      </c>
      <c r="O425" s="1174" t="s">
        <v>769</v>
      </c>
      <c r="P425" s="1207" t="s">
        <v>680</v>
      </c>
      <c r="Q425" s="1163"/>
      <c r="R425" s="1357">
        <v>49440000</v>
      </c>
      <c r="S425" s="1357">
        <v>49440000</v>
      </c>
      <c r="T425" s="1357">
        <f>+Tabla16[[#This Row],[CDPS A 31 JULIO 2022]]-Tabla16[[#This Row],[CDP]]</f>
        <v>0</v>
      </c>
      <c r="U425" s="1357">
        <v>49440000</v>
      </c>
      <c r="V425" s="1357">
        <v>34882667</v>
      </c>
      <c r="W425" s="1357"/>
      <c r="X425" s="1207"/>
      <c r="Y425" s="1207"/>
      <c r="Z425" s="1207"/>
      <c r="AA425" s="1207"/>
      <c r="AB425" s="1207"/>
      <c r="AC425" s="1207"/>
      <c r="AD425" s="1207"/>
      <c r="AE425" s="1207"/>
      <c r="AF425" s="1207"/>
      <c r="AG425" s="1207"/>
      <c r="AH425" s="1207"/>
      <c r="AI425" s="1207"/>
      <c r="AJ425" s="1207"/>
      <c r="AK425" s="1207"/>
      <c r="AL425" s="1207"/>
      <c r="AM425" s="1207"/>
      <c r="AN425" s="1207"/>
      <c r="AO425" s="1207"/>
      <c r="AP425" s="1207"/>
      <c r="AQ425" s="1207"/>
      <c r="AR425" s="1207"/>
      <c r="AS425" s="1207"/>
      <c r="AT425" s="1207"/>
      <c r="AU425" s="1207"/>
      <c r="AV425" s="1207"/>
      <c r="AW425" s="1207"/>
      <c r="AX425" s="1207"/>
      <c r="AY425" s="1207"/>
      <c r="AZ425" s="1207"/>
      <c r="BA425" s="1207"/>
      <c r="BB425" s="1207"/>
      <c r="BC425" s="1207"/>
      <c r="BD425" s="1207"/>
      <c r="BE425" s="1207"/>
      <c r="BF425" s="1207"/>
      <c r="BG425" s="1207"/>
      <c r="BH425" s="1207"/>
      <c r="BI425" s="1207"/>
      <c r="BJ425" s="1207"/>
      <c r="BK425" s="1207"/>
      <c r="BL425" s="1207"/>
      <c r="BM425" s="1207"/>
      <c r="BN425" s="1207"/>
      <c r="BO425" s="1207"/>
      <c r="BP425" s="1207"/>
      <c r="BQ425" s="1207"/>
      <c r="BR425" s="1207"/>
      <c r="BS425" s="1207"/>
      <c r="BT425" s="1207"/>
      <c r="BU425" s="1207"/>
      <c r="BV425" s="1207"/>
      <c r="BW425" s="1207"/>
      <c r="BX425" s="1207"/>
      <c r="BY425" s="1207"/>
      <c r="BZ425" s="1207"/>
      <c r="CA425" s="1207"/>
      <c r="CB425" s="1207"/>
      <c r="CC425" s="1207"/>
      <c r="CD425" s="1207"/>
      <c r="CE425" s="1207"/>
      <c r="CF425" s="1207"/>
    </row>
    <row r="426" spans="1:84" ht="105" x14ac:dyDescent="0.2">
      <c r="A426" s="1355">
        <v>2022408</v>
      </c>
      <c r="B426" s="1172">
        <v>7658</v>
      </c>
      <c r="C426" s="1356" t="s">
        <v>681</v>
      </c>
      <c r="D426" s="1190" t="s">
        <v>694</v>
      </c>
      <c r="E426" s="1174">
        <v>80111600</v>
      </c>
      <c r="F426" s="1389" t="s">
        <v>1073</v>
      </c>
      <c r="G426" s="1390">
        <v>44562</v>
      </c>
      <c r="H426" s="1390">
        <v>44592</v>
      </c>
      <c r="I426" s="1176">
        <v>4</v>
      </c>
      <c r="J426" s="1176" t="s">
        <v>675</v>
      </c>
      <c r="K426" s="1177" t="s">
        <v>676</v>
      </c>
      <c r="L426" s="1178" t="s">
        <v>677</v>
      </c>
      <c r="M426" s="1179">
        <v>32960000</v>
      </c>
      <c r="N426" s="1386" t="s">
        <v>770</v>
      </c>
      <c r="O426" s="1174" t="s">
        <v>769</v>
      </c>
      <c r="P426" s="1207" t="s">
        <v>680</v>
      </c>
      <c r="Q426" s="1163"/>
      <c r="R426" s="1357">
        <v>42000000</v>
      </c>
      <c r="S426" s="1357">
        <v>42000000</v>
      </c>
      <c r="T426" s="1357">
        <f>+Tabla16[[#This Row],[CDPS A 31 JULIO 2022]]-Tabla16[[#This Row],[CDP]]</f>
        <v>0</v>
      </c>
      <c r="U426" s="1357">
        <v>42000000</v>
      </c>
      <c r="V426" s="1357">
        <v>31266667</v>
      </c>
      <c r="W426" s="1357"/>
      <c r="X426" s="1207"/>
      <c r="Y426" s="1207"/>
      <c r="Z426" s="1207"/>
      <c r="AA426" s="1207"/>
      <c r="AB426" s="1207"/>
      <c r="AC426" s="1207"/>
      <c r="AD426" s="1207"/>
      <c r="AE426" s="1207"/>
      <c r="AF426" s="1207"/>
      <c r="AG426" s="1207"/>
      <c r="AH426" s="1207"/>
      <c r="AI426" s="1207"/>
      <c r="AJ426" s="1207"/>
      <c r="AK426" s="1207"/>
      <c r="AL426" s="1207"/>
      <c r="AM426" s="1207"/>
      <c r="AN426" s="1207"/>
      <c r="AO426" s="1207"/>
      <c r="AP426" s="1207"/>
      <c r="AQ426" s="1207"/>
      <c r="AR426" s="1207"/>
      <c r="AS426" s="1207"/>
      <c r="AT426" s="1207"/>
      <c r="AU426" s="1207"/>
      <c r="AV426" s="1207"/>
      <c r="AW426" s="1207"/>
      <c r="AX426" s="1207"/>
      <c r="AY426" s="1207"/>
      <c r="AZ426" s="1207"/>
      <c r="BA426" s="1207"/>
      <c r="BB426" s="1207"/>
      <c r="BC426" s="1207"/>
      <c r="BD426" s="1207"/>
      <c r="BE426" s="1207"/>
      <c r="BF426" s="1207"/>
      <c r="BG426" s="1207"/>
      <c r="BH426" s="1207"/>
      <c r="BI426" s="1207"/>
      <c r="BJ426" s="1207"/>
      <c r="BK426" s="1207"/>
      <c r="BL426" s="1207"/>
      <c r="BM426" s="1207"/>
      <c r="BN426" s="1207"/>
      <c r="BO426" s="1207"/>
      <c r="BP426" s="1207"/>
      <c r="BQ426" s="1207"/>
      <c r="BR426" s="1207"/>
      <c r="BS426" s="1207"/>
      <c r="BT426" s="1207"/>
      <c r="BU426" s="1207"/>
      <c r="BV426" s="1207"/>
      <c r="BW426" s="1207"/>
      <c r="BX426" s="1207"/>
      <c r="BY426" s="1207"/>
      <c r="BZ426" s="1207"/>
      <c r="CA426" s="1207"/>
      <c r="CB426" s="1207"/>
      <c r="CC426" s="1207"/>
      <c r="CD426" s="1207"/>
      <c r="CE426" s="1207"/>
      <c r="CF426" s="1207"/>
    </row>
    <row r="427" spans="1:84" ht="105" x14ac:dyDescent="0.2">
      <c r="A427" s="1355">
        <v>2022409</v>
      </c>
      <c r="B427" s="1172">
        <v>7658</v>
      </c>
      <c r="C427" s="1356" t="s">
        <v>681</v>
      </c>
      <c r="D427" s="1190" t="s">
        <v>694</v>
      </c>
      <c r="E427" s="1174">
        <v>80111601</v>
      </c>
      <c r="F427" s="1389" t="s">
        <v>1074</v>
      </c>
      <c r="G427" s="1390">
        <v>44562</v>
      </c>
      <c r="H427" s="1390">
        <v>44592</v>
      </c>
      <c r="I427" s="1176">
        <v>6</v>
      </c>
      <c r="J427" s="1176" t="s">
        <v>675</v>
      </c>
      <c r="K427" s="1177" t="s">
        <v>676</v>
      </c>
      <c r="L427" s="1178" t="s">
        <v>677</v>
      </c>
      <c r="M427" s="1179">
        <v>42000000</v>
      </c>
      <c r="N427" s="1386" t="s">
        <v>770</v>
      </c>
      <c r="O427" s="1174" t="s">
        <v>769</v>
      </c>
      <c r="P427" s="1207" t="s">
        <v>680</v>
      </c>
      <c r="Q427" s="1163"/>
      <c r="R427" s="1269">
        <v>0</v>
      </c>
      <c r="S427" s="1357"/>
      <c r="T427" s="1357">
        <f>+Tabla16[[#This Row],[CDPS A 31 JULIO 2022]]-Tabla16[[#This Row],[CDP]]</f>
        <v>0</v>
      </c>
      <c r="U427" s="1357"/>
      <c r="V427" s="1357"/>
      <c r="W427" s="1357"/>
      <c r="X427" s="1207"/>
      <c r="Y427" s="1207"/>
      <c r="Z427" s="1207"/>
      <c r="AA427" s="1207"/>
      <c r="AB427" s="1207"/>
      <c r="AC427" s="1207"/>
      <c r="AD427" s="1207"/>
      <c r="AE427" s="1207"/>
      <c r="AF427" s="1207"/>
      <c r="AG427" s="1207"/>
      <c r="AH427" s="1207"/>
      <c r="AI427" s="1207"/>
      <c r="AJ427" s="1207"/>
      <c r="AK427" s="1207"/>
      <c r="AL427" s="1207"/>
      <c r="AM427" s="1207"/>
      <c r="AN427" s="1207"/>
      <c r="AO427" s="1207"/>
      <c r="AP427" s="1207"/>
      <c r="AQ427" s="1207"/>
      <c r="AR427" s="1207"/>
      <c r="AS427" s="1207"/>
      <c r="AT427" s="1207"/>
      <c r="AU427" s="1207"/>
      <c r="AV427" s="1207"/>
      <c r="AW427" s="1207"/>
      <c r="AX427" s="1207"/>
      <c r="AY427" s="1207"/>
      <c r="AZ427" s="1207"/>
      <c r="BA427" s="1207"/>
      <c r="BB427" s="1207"/>
      <c r="BC427" s="1207"/>
      <c r="BD427" s="1207"/>
      <c r="BE427" s="1207"/>
      <c r="BF427" s="1207"/>
      <c r="BG427" s="1207"/>
      <c r="BH427" s="1207"/>
      <c r="BI427" s="1207"/>
      <c r="BJ427" s="1207"/>
      <c r="BK427" s="1207"/>
      <c r="BL427" s="1207"/>
      <c r="BM427" s="1207"/>
      <c r="BN427" s="1207"/>
      <c r="BO427" s="1207"/>
      <c r="BP427" s="1207"/>
      <c r="BQ427" s="1207"/>
      <c r="BR427" s="1207"/>
      <c r="BS427" s="1207"/>
      <c r="BT427" s="1207"/>
      <c r="BU427" s="1207"/>
      <c r="BV427" s="1207"/>
      <c r="BW427" s="1207"/>
      <c r="BX427" s="1207"/>
      <c r="BY427" s="1207"/>
      <c r="BZ427" s="1207"/>
      <c r="CA427" s="1207"/>
      <c r="CB427" s="1207"/>
      <c r="CC427" s="1207"/>
      <c r="CD427" s="1207"/>
      <c r="CE427" s="1207"/>
      <c r="CF427" s="1207"/>
    </row>
    <row r="428" spans="1:84" ht="105" x14ac:dyDescent="0.2">
      <c r="A428" s="1355">
        <v>2022410</v>
      </c>
      <c r="B428" s="1172">
        <v>7658</v>
      </c>
      <c r="C428" s="1356" t="s">
        <v>681</v>
      </c>
      <c r="D428" s="1190" t="s">
        <v>694</v>
      </c>
      <c r="E428" s="1174">
        <v>80111601</v>
      </c>
      <c r="F428" s="1389" t="s">
        <v>1074</v>
      </c>
      <c r="G428" s="1390">
        <v>44562</v>
      </c>
      <c r="H428" s="1390">
        <v>44592</v>
      </c>
      <c r="I428" s="1176">
        <v>4</v>
      </c>
      <c r="J428" s="1176" t="s">
        <v>675</v>
      </c>
      <c r="K428" s="1177" t="s">
        <v>676</v>
      </c>
      <c r="L428" s="1178" t="s">
        <v>677</v>
      </c>
      <c r="M428" s="1179">
        <v>28000000</v>
      </c>
      <c r="N428" s="1386" t="s">
        <v>770</v>
      </c>
      <c r="O428" s="1174" t="s">
        <v>769</v>
      </c>
      <c r="P428" s="1207" t="s">
        <v>680</v>
      </c>
      <c r="Q428" s="1163"/>
      <c r="R428" s="1357">
        <v>28000000</v>
      </c>
      <c r="S428" s="1357"/>
      <c r="T428" s="1357">
        <f>+Tabla16[[#This Row],[CDPS A 31 JULIO 2022]]-Tabla16[[#This Row],[CDP]]</f>
        <v>28000000</v>
      </c>
      <c r="U428" s="1357"/>
      <c r="V428" s="1357"/>
      <c r="W428" s="1357" t="s">
        <v>1075</v>
      </c>
      <c r="X428" s="1207"/>
      <c r="Y428" s="1207"/>
      <c r="Z428" s="1207"/>
      <c r="AA428" s="1207"/>
      <c r="AB428" s="1207"/>
      <c r="AC428" s="1207"/>
      <c r="AD428" s="1207"/>
      <c r="AE428" s="1207"/>
      <c r="AF428" s="1207"/>
      <c r="AG428" s="1207"/>
      <c r="AH428" s="1207"/>
      <c r="AI428" s="1207"/>
      <c r="AJ428" s="1207"/>
      <c r="AK428" s="1207"/>
      <c r="AL428" s="1207"/>
      <c r="AM428" s="1207"/>
      <c r="AN428" s="1207"/>
      <c r="AO428" s="1207"/>
      <c r="AP428" s="1207"/>
      <c r="AQ428" s="1207"/>
      <c r="AR428" s="1207"/>
      <c r="AS428" s="1207"/>
      <c r="AT428" s="1207"/>
      <c r="AU428" s="1207"/>
      <c r="AV428" s="1207"/>
      <c r="AW428" s="1207"/>
      <c r="AX428" s="1207"/>
      <c r="AY428" s="1207"/>
      <c r="AZ428" s="1207"/>
      <c r="BA428" s="1207"/>
      <c r="BB428" s="1207"/>
      <c r="BC428" s="1207"/>
      <c r="BD428" s="1207"/>
      <c r="BE428" s="1207"/>
      <c r="BF428" s="1207"/>
      <c r="BG428" s="1207"/>
      <c r="BH428" s="1207"/>
      <c r="BI428" s="1207"/>
      <c r="BJ428" s="1207"/>
      <c r="BK428" s="1207"/>
      <c r="BL428" s="1207"/>
      <c r="BM428" s="1207"/>
      <c r="BN428" s="1207"/>
      <c r="BO428" s="1207"/>
      <c r="BP428" s="1207"/>
      <c r="BQ428" s="1207"/>
      <c r="BR428" s="1207"/>
      <c r="BS428" s="1207"/>
      <c r="BT428" s="1207"/>
      <c r="BU428" s="1207"/>
      <c r="BV428" s="1207"/>
      <c r="BW428" s="1207"/>
      <c r="BX428" s="1207"/>
      <c r="BY428" s="1207"/>
      <c r="BZ428" s="1207"/>
      <c r="CA428" s="1207"/>
      <c r="CB428" s="1207"/>
      <c r="CC428" s="1207"/>
      <c r="CD428" s="1207"/>
      <c r="CE428" s="1207"/>
      <c r="CF428" s="1207"/>
    </row>
    <row r="429" spans="1:84" ht="105" x14ac:dyDescent="0.2">
      <c r="A429" s="1355">
        <v>2022411</v>
      </c>
      <c r="B429" s="1172">
        <v>7658</v>
      </c>
      <c r="C429" s="1356" t="s">
        <v>681</v>
      </c>
      <c r="D429" s="1190" t="s">
        <v>694</v>
      </c>
      <c r="E429" s="1174">
        <v>80111601</v>
      </c>
      <c r="F429" s="1389" t="s">
        <v>1076</v>
      </c>
      <c r="G429" s="1390">
        <v>44562</v>
      </c>
      <c r="H429" s="1390">
        <v>44592</v>
      </c>
      <c r="I429" s="1176">
        <v>10</v>
      </c>
      <c r="J429" s="1176" t="s">
        <v>675</v>
      </c>
      <c r="K429" s="1177" t="s">
        <v>676</v>
      </c>
      <c r="L429" s="1178" t="s">
        <v>677</v>
      </c>
      <c r="M429" s="1179">
        <v>60000000</v>
      </c>
      <c r="N429" s="1386" t="s">
        <v>770</v>
      </c>
      <c r="O429" s="1174" t="s">
        <v>769</v>
      </c>
      <c r="P429" s="1207" t="s">
        <v>680</v>
      </c>
      <c r="Q429" s="1163"/>
      <c r="R429" s="1357">
        <v>60000000</v>
      </c>
      <c r="S429" s="1357">
        <v>60000000</v>
      </c>
      <c r="T429" s="1357">
        <f>+Tabla16[[#This Row],[CDPS A 31 JULIO 2022]]-Tabla16[[#This Row],[CDP]]</f>
        <v>0</v>
      </c>
      <c r="U429" s="1357">
        <v>60000000</v>
      </c>
      <c r="V429" s="1357">
        <v>32750000</v>
      </c>
      <c r="W429" s="1357"/>
      <c r="X429" s="1207"/>
      <c r="Y429" s="1207"/>
      <c r="Z429" s="1207"/>
      <c r="AA429" s="1207"/>
      <c r="AB429" s="1207"/>
      <c r="AC429" s="1207"/>
      <c r="AD429" s="1207"/>
      <c r="AE429" s="1207"/>
      <c r="AF429" s="1207"/>
      <c r="AG429" s="1207"/>
      <c r="AH429" s="1207"/>
      <c r="AI429" s="1207"/>
      <c r="AJ429" s="1207"/>
      <c r="AK429" s="1207"/>
      <c r="AL429" s="1207"/>
      <c r="AM429" s="1207"/>
      <c r="AN429" s="1207"/>
      <c r="AO429" s="1207"/>
      <c r="AP429" s="1207"/>
      <c r="AQ429" s="1207"/>
      <c r="AR429" s="1207"/>
      <c r="AS429" s="1207"/>
      <c r="AT429" s="1207"/>
      <c r="AU429" s="1207"/>
      <c r="AV429" s="1207"/>
      <c r="AW429" s="1207"/>
      <c r="AX429" s="1207"/>
      <c r="AY429" s="1207"/>
      <c r="AZ429" s="1207"/>
      <c r="BA429" s="1207"/>
      <c r="BB429" s="1207"/>
      <c r="BC429" s="1207"/>
      <c r="BD429" s="1207"/>
      <c r="BE429" s="1207"/>
      <c r="BF429" s="1207"/>
      <c r="BG429" s="1207"/>
      <c r="BH429" s="1207"/>
      <c r="BI429" s="1207"/>
      <c r="BJ429" s="1207"/>
      <c r="BK429" s="1207"/>
      <c r="BL429" s="1207"/>
      <c r="BM429" s="1207"/>
      <c r="BN429" s="1207"/>
      <c r="BO429" s="1207"/>
      <c r="BP429" s="1207"/>
      <c r="BQ429" s="1207"/>
      <c r="BR429" s="1207"/>
      <c r="BS429" s="1207"/>
      <c r="BT429" s="1207"/>
      <c r="BU429" s="1207"/>
      <c r="BV429" s="1207"/>
      <c r="BW429" s="1207"/>
      <c r="BX429" s="1207"/>
      <c r="BY429" s="1207"/>
      <c r="BZ429" s="1207"/>
      <c r="CA429" s="1207"/>
      <c r="CB429" s="1207"/>
      <c r="CC429" s="1207"/>
      <c r="CD429" s="1207"/>
      <c r="CE429" s="1207"/>
      <c r="CF429" s="1207"/>
    </row>
    <row r="430" spans="1:84" ht="105" x14ac:dyDescent="0.2">
      <c r="A430" s="1355">
        <v>2022412</v>
      </c>
      <c r="B430" s="1172">
        <v>7658</v>
      </c>
      <c r="C430" s="1356" t="s">
        <v>681</v>
      </c>
      <c r="D430" s="1190" t="s">
        <v>694</v>
      </c>
      <c r="E430" s="1174">
        <v>80111600</v>
      </c>
      <c r="F430" s="1389" t="s">
        <v>1077</v>
      </c>
      <c r="G430" s="1390">
        <v>44562</v>
      </c>
      <c r="H430" s="1390">
        <v>44592</v>
      </c>
      <c r="I430" s="1176">
        <v>10</v>
      </c>
      <c r="J430" s="1176" t="s">
        <v>675</v>
      </c>
      <c r="K430" s="1177" t="s">
        <v>676</v>
      </c>
      <c r="L430" s="1178" t="s">
        <v>677</v>
      </c>
      <c r="M430" s="1179">
        <v>42000000</v>
      </c>
      <c r="N430" s="1386" t="s">
        <v>770</v>
      </c>
      <c r="O430" s="1174" t="s">
        <v>769</v>
      </c>
      <c r="P430" s="1207" t="s">
        <v>680</v>
      </c>
      <c r="Q430" s="1163"/>
      <c r="R430" s="1357">
        <v>42000000</v>
      </c>
      <c r="S430" s="1357">
        <v>42000000</v>
      </c>
      <c r="T430" s="1357">
        <f>+Tabla16[[#This Row],[CDPS A 31 JULIO 2022]]-Tabla16[[#This Row],[CDP]]</f>
        <v>0</v>
      </c>
      <c r="U430" s="1357">
        <v>42000000</v>
      </c>
      <c r="V430" s="1357">
        <v>18620000</v>
      </c>
      <c r="W430" s="1357"/>
      <c r="X430" s="1207"/>
      <c r="Y430" s="1207"/>
      <c r="Z430" s="1207"/>
      <c r="AA430" s="1207"/>
      <c r="AB430" s="1207"/>
      <c r="AC430" s="1207"/>
      <c r="AD430" s="1207"/>
      <c r="AE430" s="1207"/>
      <c r="AF430" s="1207"/>
      <c r="AG430" s="1207"/>
      <c r="AH430" s="1207"/>
      <c r="AI430" s="1207"/>
      <c r="AJ430" s="1207"/>
      <c r="AK430" s="1207"/>
      <c r="AL430" s="1207"/>
      <c r="AM430" s="1207"/>
      <c r="AN430" s="1207"/>
      <c r="AO430" s="1207"/>
      <c r="AP430" s="1207"/>
      <c r="AQ430" s="1207"/>
      <c r="AR430" s="1207"/>
      <c r="AS430" s="1207"/>
      <c r="AT430" s="1207"/>
      <c r="AU430" s="1207"/>
      <c r="AV430" s="1207"/>
      <c r="AW430" s="1207"/>
      <c r="AX430" s="1207"/>
      <c r="AY430" s="1207"/>
      <c r="AZ430" s="1207"/>
      <c r="BA430" s="1207"/>
      <c r="BB430" s="1207"/>
      <c r="BC430" s="1207"/>
      <c r="BD430" s="1207"/>
      <c r="BE430" s="1207"/>
      <c r="BF430" s="1207"/>
      <c r="BG430" s="1207"/>
      <c r="BH430" s="1207"/>
      <c r="BI430" s="1207"/>
      <c r="BJ430" s="1207"/>
      <c r="BK430" s="1207"/>
      <c r="BL430" s="1207"/>
      <c r="BM430" s="1207"/>
      <c r="BN430" s="1207"/>
      <c r="BO430" s="1207"/>
      <c r="BP430" s="1207"/>
      <c r="BQ430" s="1207"/>
      <c r="BR430" s="1207"/>
      <c r="BS430" s="1207"/>
      <c r="BT430" s="1207"/>
      <c r="BU430" s="1207"/>
      <c r="BV430" s="1207"/>
      <c r="BW430" s="1207"/>
      <c r="BX430" s="1207"/>
      <c r="BY430" s="1207"/>
      <c r="BZ430" s="1207"/>
      <c r="CA430" s="1207"/>
      <c r="CB430" s="1207"/>
      <c r="CC430" s="1207"/>
      <c r="CD430" s="1207"/>
      <c r="CE430" s="1207"/>
      <c r="CF430" s="1207"/>
    </row>
    <row r="431" spans="1:84" ht="105" x14ac:dyDescent="0.2">
      <c r="A431" s="1355">
        <v>2022413</v>
      </c>
      <c r="B431" s="1172">
        <v>7658</v>
      </c>
      <c r="C431" s="1356" t="s">
        <v>681</v>
      </c>
      <c r="D431" s="1190" t="s">
        <v>694</v>
      </c>
      <c r="E431" s="1174">
        <v>80111600</v>
      </c>
      <c r="F431" s="1389" t="s">
        <v>1078</v>
      </c>
      <c r="G431" s="1390">
        <v>44562</v>
      </c>
      <c r="H431" s="1390">
        <v>44592</v>
      </c>
      <c r="I431" s="1176">
        <v>10</v>
      </c>
      <c r="J431" s="1176" t="s">
        <v>675</v>
      </c>
      <c r="K431" s="1177" t="s">
        <v>676</v>
      </c>
      <c r="L431" s="1178" t="s">
        <v>677</v>
      </c>
      <c r="M431" s="1179">
        <v>82400000</v>
      </c>
      <c r="N431" s="1386" t="s">
        <v>770</v>
      </c>
      <c r="O431" s="1174" t="s">
        <v>769</v>
      </c>
      <c r="P431" s="1207" t="s">
        <v>680</v>
      </c>
      <c r="Q431" s="1163"/>
      <c r="R431" s="1357">
        <v>82400000</v>
      </c>
      <c r="S431" s="1357">
        <v>82400000</v>
      </c>
      <c r="T431" s="1357">
        <f>+Tabla16[[#This Row],[CDPS A 31 JULIO 2022]]-Tabla16[[#This Row],[CDP]]</f>
        <v>0</v>
      </c>
      <c r="U431" s="1357">
        <v>82400000</v>
      </c>
      <c r="V431" s="1357">
        <v>34882667</v>
      </c>
      <c r="W431" s="1357"/>
      <c r="X431" s="1207"/>
      <c r="Y431" s="1207"/>
      <c r="Z431" s="1207"/>
      <c r="AA431" s="1207"/>
      <c r="AB431" s="1207"/>
      <c r="AC431" s="1207"/>
      <c r="AD431" s="1207"/>
      <c r="AE431" s="1207"/>
      <c r="AF431" s="1207"/>
      <c r="AG431" s="1207"/>
      <c r="AH431" s="1207"/>
      <c r="AI431" s="1207"/>
      <c r="AJ431" s="1207"/>
      <c r="AK431" s="1207"/>
      <c r="AL431" s="1207"/>
      <c r="AM431" s="1207"/>
      <c r="AN431" s="1207"/>
      <c r="AO431" s="1207"/>
      <c r="AP431" s="1207"/>
      <c r="AQ431" s="1207"/>
      <c r="AR431" s="1207"/>
      <c r="AS431" s="1207"/>
      <c r="AT431" s="1207"/>
      <c r="AU431" s="1207"/>
      <c r="AV431" s="1207"/>
      <c r="AW431" s="1207"/>
      <c r="AX431" s="1207"/>
      <c r="AY431" s="1207"/>
      <c r="AZ431" s="1207"/>
      <c r="BA431" s="1207"/>
      <c r="BB431" s="1207"/>
      <c r="BC431" s="1207"/>
      <c r="BD431" s="1207"/>
      <c r="BE431" s="1207"/>
      <c r="BF431" s="1207"/>
      <c r="BG431" s="1207"/>
      <c r="BH431" s="1207"/>
      <c r="BI431" s="1207"/>
      <c r="BJ431" s="1207"/>
      <c r="BK431" s="1207"/>
      <c r="BL431" s="1207"/>
      <c r="BM431" s="1207"/>
      <c r="BN431" s="1207"/>
      <c r="BO431" s="1207"/>
      <c r="BP431" s="1207"/>
      <c r="BQ431" s="1207"/>
      <c r="BR431" s="1207"/>
      <c r="BS431" s="1207"/>
      <c r="BT431" s="1207"/>
      <c r="BU431" s="1207"/>
      <c r="BV431" s="1207"/>
      <c r="BW431" s="1207"/>
      <c r="BX431" s="1207"/>
      <c r="BY431" s="1207"/>
      <c r="BZ431" s="1207"/>
      <c r="CA431" s="1207"/>
      <c r="CB431" s="1207"/>
      <c r="CC431" s="1207"/>
      <c r="CD431" s="1207"/>
      <c r="CE431" s="1207"/>
      <c r="CF431" s="1207"/>
    </row>
    <row r="432" spans="1:84" ht="105" x14ac:dyDescent="0.2">
      <c r="A432" s="1355">
        <v>2022414</v>
      </c>
      <c r="B432" s="1172">
        <v>7658</v>
      </c>
      <c r="C432" s="1356" t="s">
        <v>681</v>
      </c>
      <c r="D432" s="1190" t="s">
        <v>694</v>
      </c>
      <c r="E432" s="1174">
        <v>80111600</v>
      </c>
      <c r="F432" s="1389" t="s">
        <v>1079</v>
      </c>
      <c r="G432" s="1390">
        <v>44562</v>
      </c>
      <c r="H432" s="1390">
        <v>44592</v>
      </c>
      <c r="I432" s="1176">
        <v>10</v>
      </c>
      <c r="J432" s="1176" t="s">
        <v>675</v>
      </c>
      <c r="K432" s="1177" t="s">
        <v>676</v>
      </c>
      <c r="L432" s="1178" t="s">
        <v>677</v>
      </c>
      <c r="M432" s="1179">
        <v>42000000</v>
      </c>
      <c r="N432" s="1386" t="s">
        <v>770</v>
      </c>
      <c r="O432" s="1174" t="s">
        <v>769</v>
      </c>
      <c r="P432" s="1207" t="s">
        <v>680</v>
      </c>
      <c r="Q432" s="1163"/>
      <c r="R432" s="1357">
        <v>42000000</v>
      </c>
      <c r="S432" s="1357">
        <v>42000000</v>
      </c>
      <c r="T432" s="1357">
        <f>+Tabla16[[#This Row],[CDPS A 31 JULIO 2022]]-Tabla16[[#This Row],[CDP]]</f>
        <v>0</v>
      </c>
      <c r="U432" s="1357">
        <v>42000000</v>
      </c>
      <c r="V432" s="1357">
        <v>18620000</v>
      </c>
      <c r="W432" s="1357"/>
      <c r="X432" s="1207"/>
      <c r="Y432" s="1207"/>
      <c r="Z432" s="1207"/>
      <c r="AA432" s="1207"/>
      <c r="AB432" s="1207"/>
      <c r="AC432" s="1207"/>
      <c r="AD432" s="1207"/>
      <c r="AE432" s="1207"/>
      <c r="AF432" s="1207"/>
      <c r="AG432" s="1207"/>
      <c r="AH432" s="1207"/>
      <c r="AI432" s="1207"/>
      <c r="AJ432" s="1207"/>
      <c r="AK432" s="1207"/>
      <c r="AL432" s="1207"/>
      <c r="AM432" s="1207"/>
      <c r="AN432" s="1207"/>
      <c r="AO432" s="1207"/>
      <c r="AP432" s="1207"/>
      <c r="AQ432" s="1207"/>
      <c r="AR432" s="1207"/>
      <c r="AS432" s="1207"/>
      <c r="AT432" s="1207"/>
      <c r="AU432" s="1207"/>
      <c r="AV432" s="1207"/>
      <c r="AW432" s="1207"/>
      <c r="AX432" s="1207"/>
      <c r="AY432" s="1207"/>
      <c r="AZ432" s="1207"/>
      <c r="BA432" s="1207"/>
      <c r="BB432" s="1207"/>
      <c r="BC432" s="1207"/>
      <c r="BD432" s="1207"/>
      <c r="BE432" s="1207"/>
      <c r="BF432" s="1207"/>
      <c r="BG432" s="1207"/>
      <c r="BH432" s="1207"/>
      <c r="BI432" s="1207"/>
      <c r="BJ432" s="1207"/>
      <c r="BK432" s="1207"/>
      <c r="BL432" s="1207"/>
      <c r="BM432" s="1207"/>
      <c r="BN432" s="1207"/>
      <c r="BO432" s="1207"/>
      <c r="BP432" s="1207"/>
      <c r="BQ432" s="1207"/>
      <c r="BR432" s="1207"/>
      <c r="BS432" s="1207"/>
      <c r="BT432" s="1207"/>
      <c r="BU432" s="1207"/>
      <c r="BV432" s="1207"/>
      <c r="BW432" s="1207"/>
      <c r="BX432" s="1207"/>
      <c r="BY432" s="1207"/>
      <c r="BZ432" s="1207"/>
      <c r="CA432" s="1207"/>
      <c r="CB432" s="1207"/>
      <c r="CC432" s="1207"/>
      <c r="CD432" s="1207"/>
      <c r="CE432" s="1207"/>
      <c r="CF432" s="1207"/>
    </row>
    <row r="433" spans="1:84" ht="105" x14ac:dyDescent="0.2">
      <c r="A433" s="1355">
        <v>2022415</v>
      </c>
      <c r="B433" s="1172">
        <v>7658</v>
      </c>
      <c r="C433" s="1356" t="s">
        <v>681</v>
      </c>
      <c r="D433" s="1190" t="s">
        <v>694</v>
      </c>
      <c r="E433" s="1174">
        <v>80111600</v>
      </c>
      <c r="F433" s="1389" t="s">
        <v>1080</v>
      </c>
      <c r="G433" s="1390">
        <v>44562</v>
      </c>
      <c r="H433" s="1390">
        <v>44592</v>
      </c>
      <c r="I433" s="1176">
        <v>10</v>
      </c>
      <c r="J433" s="1176" t="s">
        <v>675</v>
      </c>
      <c r="K433" s="1177" t="s">
        <v>676</v>
      </c>
      <c r="L433" s="1178" t="s">
        <v>677</v>
      </c>
      <c r="M433" s="1179">
        <v>50000000</v>
      </c>
      <c r="N433" s="1386" t="s">
        <v>770</v>
      </c>
      <c r="O433" s="1174" t="s">
        <v>769</v>
      </c>
      <c r="P433" s="1207" t="s">
        <v>680</v>
      </c>
      <c r="Q433" s="1163"/>
      <c r="R433" s="1357">
        <v>50000000</v>
      </c>
      <c r="S433" s="1357">
        <v>50000000</v>
      </c>
      <c r="T433" s="1357">
        <f>+Tabla16[[#This Row],[CDPS A 31 JULIO 2022]]-Tabla16[[#This Row],[CDP]]</f>
        <v>0</v>
      </c>
      <c r="U433" s="1357">
        <v>50000000</v>
      </c>
      <c r="V433" s="1357">
        <v>20666667</v>
      </c>
      <c r="W433" s="1357"/>
      <c r="X433" s="1207"/>
      <c r="Y433" s="1207"/>
      <c r="Z433" s="1207"/>
      <c r="AA433" s="1207"/>
      <c r="AB433" s="1207"/>
      <c r="AC433" s="1207"/>
      <c r="AD433" s="1207"/>
      <c r="AE433" s="1207"/>
      <c r="AF433" s="1207"/>
      <c r="AG433" s="1207"/>
      <c r="AH433" s="1207"/>
      <c r="AI433" s="1207"/>
      <c r="AJ433" s="1207"/>
      <c r="AK433" s="1207"/>
      <c r="AL433" s="1207"/>
      <c r="AM433" s="1207"/>
      <c r="AN433" s="1207"/>
      <c r="AO433" s="1207"/>
      <c r="AP433" s="1207"/>
      <c r="AQ433" s="1207"/>
      <c r="AR433" s="1207"/>
      <c r="AS433" s="1207"/>
      <c r="AT433" s="1207"/>
      <c r="AU433" s="1207"/>
      <c r="AV433" s="1207"/>
      <c r="AW433" s="1207"/>
      <c r="AX433" s="1207"/>
      <c r="AY433" s="1207"/>
      <c r="AZ433" s="1207"/>
      <c r="BA433" s="1207"/>
      <c r="BB433" s="1207"/>
      <c r="BC433" s="1207"/>
      <c r="BD433" s="1207"/>
      <c r="BE433" s="1207"/>
      <c r="BF433" s="1207"/>
      <c r="BG433" s="1207"/>
      <c r="BH433" s="1207"/>
      <c r="BI433" s="1207"/>
      <c r="BJ433" s="1207"/>
      <c r="BK433" s="1207"/>
      <c r="BL433" s="1207"/>
      <c r="BM433" s="1207"/>
      <c r="BN433" s="1207"/>
      <c r="BO433" s="1207"/>
      <c r="BP433" s="1207"/>
      <c r="BQ433" s="1207"/>
      <c r="BR433" s="1207"/>
      <c r="BS433" s="1207"/>
      <c r="BT433" s="1207"/>
      <c r="BU433" s="1207"/>
      <c r="BV433" s="1207"/>
      <c r="BW433" s="1207"/>
      <c r="BX433" s="1207"/>
      <c r="BY433" s="1207"/>
      <c r="BZ433" s="1207"/>
      <c r="CA433" s="1207"/>
      <c r="CB433" s="1207"/>
      <c r="CC433" s="1207"/>
      <c r="CD433" s="1207"/>
      <c r="CE433" s="1207"/>
      <c r="CF433" s="1207"/>
    </row>
    <row r="434" spans="1:84" ht="105" x14ac:dyDescent="0.2">
      <c r="A434" s="1355">
        <v>2022416</v>
      </c>
      <c r="B434" s="1172">
        <v>7658</v>
      </c>
      <c r="C434" s="1356" t="s">
        <v>681</v>
      </c>
      <c r="D434" s="1190" t="s">
        <v>694</v>
      </c>
      <c r="E434" s="1174">
        <v>80111600</v>
      </c>
      <c r="F434" s="1389" t="s">
        <v>1081</v>
      </c>
      <c r="G434" s="1390">
        <v>44562</v>
      </c>
      <c r="H434" s="1390">
        <v>44592</v>
      </c>
      <c r="I434" s="1176">
        <v>6</v>
      </c>
      <c r="J434" s="1176" t="s">
        <v>675</v>
      </c>
      <c r="K434" s="1177" t="s">
        <v>676</v>
      </c>
      <c r="L434" s="1178" t="s">
        <v>677</v>
      </c>
      <c r="M434" s="1179">
        <f>20100000-6700000</f>
        <v>13400000</v>
      </c>
      <c r="N434" s="1386" t="s">
        <v>770</v>
      </c>
      <c r="O434" s="1174" t="s">
        <v>769</v>
      </c>
      <c r="P434" s="1207" t="s">
        <v>680</v>
      </c>
      <c r="Q434" s="1163"/>
      <c r="R434" s="1357">
        <v>13400000</v>
      </c>
      <c r="S434" s="1357">
        <v>13400000</v>
      </c>
      <c r="T434" s="1357">
        <f>+Tabla16[[#This Row],[CDPS A 31 JULIO 2022]]-Tabla16[[#This Row],[CDP]]</f>
        <v>0</v>
      </c>
      <c r="U434" s="1357">
        <v>13400000</v>
      </c>
      <c r="V434" s="1357">
        <v>13400000</v>
      </c>
      <c r="W434" s="1357"/>
      <c r="X434" s="1207"/>
      <c r="Y434" s="1207"/>
      <c r="Z434" s="1207"/>
      <c r="AA434" s="1207"/>
      <c r="AB434" s="1207"/>
      <c r="AC434" s="1207"/>
      <c r="AD434" s="1207"/>
      <c r="AE434" s="1207"/>
      <c r="AF434" s="1207"/>
      <c r="AG434" s="1207"/>
      <c r="AH434" s="1207"/>
      <c r="AI434" s="1207"/>
      <c r="AJ434" s="1207"/>
      <c r="AK434" s="1207"/>
      <c r="AL434" s="1207"/>
      <c r="AM434" s="1207"/>
      <c r="AN434" s="1207"/>
      <c r="AO434" s="1207"/>
      <c r="AP434" s="1207"/>
      <c r="AQ434" s="1207"/>
      <c r="AR434" s="1207"/>
      <c r="AS434" s="1207"/>
      <c r="AT434" s="1207"/>
      <c r="AU434" s="1207"/>
      <c r="AV434" s="1207"/>
      <c r="AW434" s="1207"/>
      <c r="AX434" s="1207"/>
      <c r="AY434" s="1207"/>
      <c r="AZ434" s="1207"/>
      <c r="BA434" s="1207"/>
      <c r="BB434" s="1207"/>
      <c r="BC434" s="1207"/>
      <c r="BD434" s="1207"/>
      <c r="BE434" s="1207"/>
      <c r="BF434" s="1207"/>
      <c r="BG434" s="1207"/>
      <c r="BH434" s="1207"/>
      <c r="BI434" s="1207"/>
      <c r="BJ434" s="1207"/>
      <c r="BK434" s="1207"/>
      <c r="BL434" s="1207"/>
      <c r="BM434" s="1207"/>
      <c r="BN434" s="1207"/>
      <c r="BO434" s="1207"/>
      <c r="BP434" s="1207"/>
      <c r="BQ434" s="1207"/>
      <c r="BR434" s="1207"/>
      <c r="BS434" s="1207"/>
      <c r="BT434" s="1207"/>
      <c r="BU434" s="1207"/>
      <c r="BV434" s="1207"/>
      <c r="BW434" s="1207"/>
      <c r="BX434" s="1207"/>
      <c r="BY434" s="1207"/>
      <c r="BZ434" s="1207"/>
      <c r="CA434" s="1207"/>
      <c r="CB434" s="1207"/>
      <c r="CC434" s="1207"/>
      <c r="CD434" s="1207"/>
      <c r="CE434" s="1207"/>
      <c r="CF434" s="1207"/>
    </row>
    <row r="435" spans="1:84" ht="105" x14ac:dyDescent="0.2">
      <c r="A435" s="1355">
        <v>2022417</v>
      </c>
      <c r="B435" s="1172">
        <v>7658</v>
      </c>
      <c r="C435" s="1356" t="s">
        <v>681</v>
      </c>
      <c r="D435" s="1190" t="s">
        <v>694</v>
      </c>
      <c r="E435" s="1174">
        <v>80111600</v>
      </c>
      <c r="F435" s="1389" t="s">
        <v>1082</v>
      </c>
      <c r="G435" s="1390">
        <v>44562</v>
      </c>
      <c r="H435" s="1390">
        <v>44592</v>
      </c>
      <c r="I435" s="1176">
        <v>4</v>
      </c>
      <c r="J435" s="1176" t="s">
        <v>675</v>
      </c>
      <c r="K435" s="1177" t="s">
        <v>676</v>
      </c>
      <c r="L435" s="1178" t="s">
        <v>677</v>
      </c>
      <c r="M435" s="1179">
        <v>20600000</v>
      </c>
      <c r="N435" s="1386" t="s">
        <v>770</v>
      </c>
      <c r="O435" s="1174" t="s">
        <v>769</v>
      </c>
      <c r="P435" s="1207" t="s">
        <v>680</v>
      </c>
      <c r="Q435" s="1163"/>
      <c r="R435" s="1357">
        <v>20600000</v>
      </c>
      <c r="S435" s="1357">
        <v>20600000</v>
      </c>
      <c r="T435" s="1357">
        <f>+Tabla16[[#This Row],[CDPS A 31 JULIO 2022]]-Tabla16[[#This Row],[CDP]]</f>
        <v>0</v>
      </c>
      <c r="U435" s="1357">
        <v>20600000</v>
      </c>
      <c r="V435" s="1357">
        <v>17853333</v>
      </c>
      <c r="W435" s="1357"/>
      <c r="X435" s="1207"/>
      <c r="Y435" s="1207"/>
      <c r="Z435" s="1207"/>
      <c r="AA435" s="1207"/>
      <c r="AB435" s="1207"/>
      <c r="AC435" s="1207"/>
      <c r="AD435" s="1207"/>
      <c r="AE435" s="1207"/>
      <c r="AF435" s="1207"/>
      <c r="AG435" s="1207"/>
      <c r="AH435" s="1207"/>
      <c r="AI435" s="1207"/>
      <c r="AJ435" s="1207"/>
      <c r="AK435" s="1207"/>
      <c r="AL435" s="1207"/>
      <c r="AM435" s="1207"/>
      <c r="AN435" s="1207"/>
      <c r="AO435" s="1207"/>
      <c r="AP435" s="1207"/>
      <c r="AQ435" s="1207"/>
      <c r="AR435" s="1207"/>
      <c r="AS435" s="1207"/>
      <c r="AT435" s="1207"/>
      <c r="AU435" s="1207"/>
      <c r="AV435" s="1207"/>
      <c r="AW435" s="1207"/>
      <c r="AX435" s="1207"/>
      <c r="AY435" s="1207"/>
      <c r="AZ435" s="1207"/>
      <c r="BA435" s="1207"/>
      <c r="BB435" s="1207"/>
      <c r="BC435" s="1207"/>
      <c r="BD435" s="1207"/>
      <c r="BE435" s="1207"/>
      <c r="BF435" s="1207"/>
      <c r="BG435" s="1207"/>
      <c r="BH435" s="1207"/>
      <c r="BI435" s="1207"/>
      <c r="BJ435" s="1207"/>
      <c r="BK435" s="1207"/>
      <c r="BL435" s="1207"/>
      <c r="BM435" s="1207"/>
      <c r="BN435" s="1207"/>
      <c r="BO435" s="1207"/>
      <c r="BP435" s="1207"/>
      <c r="BQ435" s="1207"/>
      <c r="BR435" s="1207"/>
      <c r="BS435" s="1207"/>
      <c r="BT435" s="1207"/>
      <c r="BU435" s="1207"/>
      <c r="BV435" s="1207"/>
      <c r="BW435" s="1207"/>
      <c r="BX435" s="1207"/>
      <c r="BY435" s="1207"/>
      <c r="BZ435" s="1207"/>
      <c r="CA435" s="1207"/>
      <c r="CB435" s="1207"/>
      <c r="CC435" s="1207"/>
      <c r="CD435" s="1207"/>
      <c r="CE435" s="1207"/>
      <c r="CF435" s="1207"/>
    </row>
    <row r="436" spans="1:84" ht="105" x14ac:dyDescent="0.2">
      <c r="A436" s="1355">
        <v>2022418</v>
      </c>
      <c r="B436" s="1172">
        <v>7658</v>
      </c>
      <c r="C436" s="1356" t="s">
        <v>681</v>
      </c>
      <c r="D436" s="1190" t="s">
        <v>694</v>
      </c>
      <c r="E436" s="1174">
        <v>80111600</v>
      </c>
      <c r="F436" s="1389" t="s">
        <v>1082</v>
      </c>
      <c r="G436" s="1390">
        <v>44562</v>
      </c>
      <c r="H436" s="1390">
        <v>44592</v>
      </c>
      <c r="I436" s="1176">
        <v>6</v>
      </c>
      <c r="J436" s="1176" t="s">
        <v>675</v>
      </c>
      <c r="K436" s="1177" t="s">
        <v>676</v>
      </c>
      <c r="L436" s="1178" t="s">
        <v>677</v>
      </c>
      <c r="M436" s="1179">
        <v>30900000</v>
      </c>
      <c r="N436" s="1386" t="s">
        <v>770</v>
      </c>
      <c r="O436" s="1174" t="s">
        <v>769</v>
      </c>
      <c r="P436" s="1207" t="s">
        <v>680</v>
      </c>
      <c r="Q436" s="1163"/>
      <c r="R436" s="1357">
        <v>25750000</v>
      </c>
      <c r="S436" s="1357"/>
      <c r="T436" s="1357">
        <f>+Tabla16[[#This Row],[CDPS A 31 JULIO 2022]]-Tabla16[[#This Row],[CDP]]</f>
        <v>25750000</v>
      </c>
      <c r="U436" s="1357"/>
      <c r="V436" s="1357"/>
      <c r="W436" s="1357" t="s">
        <v>1083</v>
      </c>
      <c r="X436" s="1207"/>
      <c r="Y436" s="1207"/>
      <c r="Z436" s="1207"/>
      <c r="AA436" s="1207"/>
      <c r="AB436" s="1207"/>
      <c r="AC436" s="1207"/>
      <c r="AD436" s="1207"/>
      <c r="AE436" s="1207"/>
      <c r="AF436" s="1207"/>
      <c r="AG436" s="1207"/>
      <c r="AH436" s="1207"/>
      <c r="AI436" s="1207"/>
      <c r="AJ436" s="1207"/>
      <c r="AK436" s="1207"/>
      <c r="AL436" s="1207"/>
      <c r="AM436" s="1207"/>
      <c r="AN436" s="1207"/>
      <c r="AO436" s="1207"/>
      <c r="AP436" s="1207"/>
      <c r="AQ436" s="1207"/>
      <c r="AR436" s="1207"/>
      <c r="AS436" s="1207"/>
      <c r="AT436" s="1207"/>
      <c r="AU436" s="1207"/>
      <c r="AV436" s="1207"/>
      <c r="AW436" s="1207"/>
      <c r="AX436" s="1207"/>
      <c r="AY436" s="1207"/>
      <c r="AZ436" s="1207"/>
      <c r="BA436" s="1207"/>
      <c r="BB436" s="1207"/>
      <c r="BC436" s="1207"/>
      <c r="BD436" s="1207"/>
      <c r="BE436" s="1207"/>
      <c r="BF436" s="1207"/>
      <c r="BG436" s="1207"/>
      <c r="BH436" s="1207"/>
      <c r="BI436" s="1207"/>
      <c r="BJ436" s="1207"/>
      <c r="BK436" s="1207"/>
      <c r="BL436" s="1207"/>
      <c r="BM436" s="1207"/>
      <c r="BN436" s="1207"/>
      <c r="BO436" s="1207"/>
      <c r="BP436" s="1207"/>
      <c r="BQ436" s="1207"/>
      <c r="BR436" s="1207"/>
      <c r="BS436" s="1207"/>
      <c r="BT436" s="1207"/>
      <c r="BU436" s="1207"/>
      <c r="BV436" s="1207"/>
      <c r="BW436" s="1207"/>
      <c r="BX436" s="1207"/>
      <c r="BY436" s="1207"/>
      <c r="BZ436" s="1207"/>
      <c r="CA436" s="1207"/>
      <c r="CB436" s="1207"/>
      <c r="CC436" s="1207"/>
      <c r="CD436" s="1207"/>
      <c r="CE436" s="1207"/>
      <c r="CF436" s="1207"/>
    </row>
    <row r="437" spans="1:84" ht="105" x14ac:dyDescent="0.2">
      <c r="A437" s="1355">
        <v>2022419</v>
      </c>
      <c r="B437" s="1172">
        <v>7658</v>
      </c>
      <c r="C437" s="1356" t="s">
        <v>681</v>
      </c>
      <c r="D437" s="1190" t="s">
        <v>694</v>
      </c>
      <c r="E437" s="1174">
        <v>80111600</v>
      </c>
      <c r="F437" s="1389" t="s">
        <v>1084</v>
      </c>
      <c r="G437" s="1390">
        <v>44562</v>
      </c>
      <c r="H437" s="1390">
        <v>44592</v>
      </c>
      <c r="I437" s="1176">
        <v>10</v>
      </c>
      <c r="J437" s="1176" t="s">
        <v>675</v>
      </c>
      <c r="K437" s="1177" t="s">
        <v>676</v>
      </c>
      <c r="L437" s="1178" t="s">
        <v>677</v>
      </c>
      <c r="M437" s="1179">
        <v>28000000</v>
      </c>
      <c r="N437" s="1386" t="s">
        <v>770</v>
      </c>
      <c r="O437" s="1174" t="s">
        <v>769</v>
      </c>
      <c r="P437" s="1207" t="s">
        <v>680</v>
      </c>
      <c r="Q437" s="1163"/>
      <c r="R437" s="1357">
        <v>28000000</v>
      </c>
      <c r="S437" s="1357">
        <v>28000000</v>
      </c>
      <c r="T437" s="1357">
        <f>+Tabla16[[#This Row],[CDPS A 31 JULIO 2022]]-Tabla16[[#This Row],[CDP]]</f>
        <v>0</v>
      </c>
      <c r="U437" s="1357">
        <v>28000000</v>
      </c>
      <c r="V437" s="1357">
        <v>11853333</v>
      </c>
      <c r="W437" s="1357"/>
      <c r="X437" s="1207"/>
      <c r="Y437" s="1207"/>
      <c r="Z437" s="1207"/>
      <c r="AA437" s="1207"/>
      <c r="AB437" s="1207"/>
      <c r="AC437" s="1207"/>
      <c r="AD437" s="1207"/>
      <c r="AE437" s="1207"/>
      <c r="AF437" s="1207"/>
      <c r="AG437" s="1207"/>
      <c r="AH437" s="1207"/>
      <c r="AI437" s="1207"/>
      <c r="AJ437" s="1207"/>
      <c r="AK437" s="1207"/>
      <c r="AL437" s="1207"/>
      <c r="AM437" s="1207"/>
      <c r="AN437" s="1207"/>
      <c r="AO437" s="1207"/>
      <c r="AP437" s="1207"/>
      <c r="AQ437" s="1207"/>
      <c r="AR437" s="1207"/>
      <c r="AS437" s="1207"/>
      <c r="AT437" s="1207"/>
      <c r="AU437" s="1207"/>
      <c r="AV437" s="1207"/>
      <c r="AW437" s="1207"/>
      <c r="AX437" s="1207"/>
      <c r="AY437" s="1207"/>
      <c r="AZ437" s="1207"/>
      <c r="BA437" s="1207"/>
      <c r="BB437" s="1207"/>
      <c r="BC437" s="1207"/>
      <c r="BD437" s="1207"/>
      <c r="BE437" s="1207"/>
      <c r="BF437" s="1207"/>
      <c r="BG437" s="1207"/>
      <c r="BH437" s="1207"/>
      <c r="BI437" s="1207"/>
      <c r="BJ437" s="1207"/>
      <c r="BK437" s="1207"/>
      <c r="BL437" s="1207"/>
      <c r="BM437" s="1207"/>
      <c r="BN437" s="1207"/>
      <c r="BO437" s="1207"/>
      <c r="BP437" s="1207"/>
      <c r="BQ437" s="1207"/>
      <c r="BR437" s="1207"/>
      <c r="BS437" s="1207"/>
      <c r="BT437" s="1207"/>
      <c r="BU437" s="1207"/>
      <c r="BV437" s="1207"/>
      <c r="BW437" s="1207"/>
      <c r="BX437" s="1207"/>
      <c r="BY437" s="1207"/>
      <c r="BZ437" s="1207"/>
      <c r="CA437" s="1207"/>
      <c r="CB437" s="1207"/>
      <c r="CC437" s="1207"/>
      <c r="CD437" s="1207"/>
      <c r="CE437" s="1207"/>
      <c r="CF437" s="1207"/>
    </row>
    <row r="438" spans="1:84" ht="105" x14ac:dyDescent="0.2">
      <c r="A438" s="1355">
        <v>2022420</v>
      </c>
      <c r="B438" s="1172">
        <v>7658</v>
      </c>
      <c r="C438" s="1356" t="s">
        <v>681</v>
      </c>
      <c r="D438" s="1190" t="s">
        <v>694</v>
      </c>
      <c r="E438" s="1174">
        <v>80111600</v>
      </c>
      <c r="F438" s="1389" t="s">
        <v>1085</v>
      </c>
      <c r="G438" s="1390">
        <v>44562</v>
      </c>
      <c r="H438" s="1390">
        <v>44592</v>
      </c>
      <c r="I438" s="1176">
        <v>10</v>
      </c>
      <c r="J438" s="1176" t="s">
        <v>675</v>
      </c>
      <c r="K438" s="1177" t="s">
        <v>676</v>
      </c>
      <c r="L438" s="1178" t="s">
        <v>677</v>
      </c>
      <c r="M438" s="1179">
        <v>28500000</v>
      </c>
      <c r="N438" s="1386" t="s">
        <v>770</v>
      </c>
      <c r="O438" s="1174" t="s">
        <v>769</v>
      </c>
      <c r="P438" s="1207" t="s">
        <v>680</v>
      </c>
      <c r="Q438" s="1163"/>
      <c r="R438" s="1357">
        <v>28500000</v>
      </c>
      <c r="S438" s="1357">
        <v>28500000</v>
      </c>
      <c r="T438" s="1357">
        <f>+Tabla16[[#This Row],[CDPS A 31 JULIO 2022]]-Tabla16[[#This Row],[CDP]]</f>
        <v>0</v>
      </c>
      <c r="U438" s="1357">
        <v>28500000</v>
      </c>
      <c r="V438" s="1357">
        <v>12635000</v>
      </c>
      <c r="W438" s="1357"/>
      <c r="X438" s="1207"/>
      <c r="Y438" s="1207"/>
      <c r="Z438" s="1207"/>
      <c r="AA438" s="1207"/>
      <c r="AB438" s="1207"/>
      <c r="AC438" s="1207"/>
      <c r="AD438" s="1207"/>
      <c r="AE438" s="1207"/>
      <c r="AF438" s="1207"/>
      <c r="AG438" s="1207"/>
      <c r="AH438" s="1207"/>
      <c r="AI438" s="1207"/>
      <c r="AJ438" s="1207"/>
      <c r="AK438" s="1207"/>
      <c r="AL438" s="1207"/>
      <c r="AM438" s="1207"/>
      <c r="AN438" s="1207"/>
      <c r="AO438" s="1207"/>
      <c r="AP438" s="1207"/>
      <c r="AQ438" s="1207"/>
      <c r="AR438" s="1207"/>
      <c r="AS438" s="1207"/>
      <c r="AT438" s="1207"/>
      <c r="AU438" s="1207"/>
      <c r="AV438" s="1207"/>
      <c r="AW438" s="1207"/>
      <c r="AX438" s="1207"/>
      <c r="AY438" s="1207"/>
      <c r="AZ438" s="1207"/>
      <c r="BA438" s="1207"/>
      <c r="BB438" s="1207"/>
      <c r="BC438" s="1207"/>
      <c r="BD438" s="1207"/>
      <c r="BE438" s="1207"/>
      <c r="BF438" s="1207"/>
      <c r="BG438" s="1207"/>
      <c r="BH438" s="1207"/>
      <c r="BI438" s="1207"/>
      <c r="BJ438" s="1207"/>
      <c r="BK438" s="1207"/>
      <c r="BL438" s="1207"/>
      <c r="BM438" s="1207"/>
      <c r="BN438" s="1207"/>
      <c r="BO438" s="1207"/>
      <c r="BP438" s="1207"/>
      <c r="BQ438" s="1207"/>
      <c r="BR438" s="1207"/>
      <c r="BS438" s="1207"/>
      <c r="BT438" s="1207"/>
      <c r="BU438" s="1207"/>
      <c r="BV438" s="1207"/>
      <c r="BW438" s="1207"/>
      <c r="BX438" s="1207"/>
      <c r="BY438" s="1207"/>
      <c r="BZ438" s="1207"/>
      <c r="CA438" s="1207"/>
      <c r="CB438" s="1207"/>
      <c r="CC438" s="1207"/>
      <c r="CD438" s="1207"/>
      <c r="CE438" s="1207"/>
      <c r="CF438" s="1207"/>
    </row>
    <row r="439" spans="1:84" ht="105" x14ac:dyDescent="0.2">
      <c r="A439" s="1355">
        <v>2022421</v>
      </c>
      <c r="B439" s="1172">
        <v>7658</v>
      </c>
      <c r="C439" s="1356" t="s">
        <v>681</v>
      </c>
      <c r="D439" s="1190" t="s">
        <v>694</v>
      </c>
      <c r="E439" s="1174">
        <v>80111600</v>
      </c>
      <c r="F439" s="1389" t="s">
        <v>1086</v>
      </c>
      <c r="G439" s="1390">
        <v>44562</v>
      </c>
      <c r="H439" s="1390">
        <v>44592</v>
      </c>
      <c r="I439" s="1176">
        <v>10</v>
      </c>
      <c r="J439" s="1176" t="s">
        <v>675</v>
      </c>
      <c r="K439" s="1177" t="s">
        <v>676</v>
      </c>
      <c r="L439" s="1178" t="s">
        <v>677</v>
      </c>
      <c r="M439" s="1179">
        <f>45000000-6500000</f>
        <v>38500000</v>
      </c>
      <c r="N439" s="1386" t="s">
        <v>770</v>
      </c>
      <c r="O439" s="1174" t="s">
        <v>769</v>
      </c>
      <c r="P439" s="1207" t="s">
        <v>680</v>
      </c>
      <c r="Q439" s="1163"/>
      <c r="R439" s="1357">
        <v>38500000</v>
      </c>
      <c r="S439" s="1357">
        <v>38500000</v>
      </c>
      <c r="T439" s="1357">
        <f>+Tabla16[[#This Row],[CDPS A 31 JULIO 2022]]-Tabla16[[#This Row],[CDP]]</f>
        <v>0</v>
      </c>
      <c r="U439" s="1357">
        <v>38500000</v>
      </c>
      <c r="V439" s="1357">
        <v>15913333</v>
      </c>
      <c r="W439" s="1357"/>
      <c r="X439" s="1207"/>
      <c r="Y439" s="1207"/>
      <c r="Z439" s="1207"/>
      <c r="AA439" s="1207"/>
      <c r="AB439" s="1207"/>
      <c r="AC439" s="1207"/>
      <c r="AD439" s="1207"/>
      <c r="AE439" s="1207"/>
      <c r="AF439" s="1207"/>
      <c r="AG439" s="1207"/>
      <c r="AH439" s="1207"/>
      <c r="AI439" s="1207"/>
      <c r="AJ439" s="1207"/>
      <c r="AK439" s="1207"/>
      <c r="AL439" s="1207"/>
      <c r="AM439" s="1207"/>
      <c r="AN439" s="1207"/>
      <c r="AO439" s="1207"/>
      <c r="AP439" s="1207"/>
      <c r="AQ439" s="1207"/>
      <c r="AR439" s="1207"/>
      <c r="AS439" s="1207"/>
      <c r="AT439" s="1207"/>
      <c r="AU439" s="1207"/>
      <c r="AV439" s="1207"/>
      <c r="AW439" s="1207"/>
      <c r="AX439" s="1207"/>
      <c r="AY439" s="1207"/>
      <c r="AZ439" s="1207"/>
      <c r="BA439" s="1207"/>
      <c r="BB439" s="1207"/>
      <c r="BC439" s="1207"/>
      <c r="BD439" s="1207"/>
      <c r="BE439" s="1207"/>
      <c r="BF439" s="1207"/>
      <c r="BG439" s="1207"/>
      <c r="BH439" s="1207"/>
      <c r="BI439" s="1207"/>
      <c r="BJ439" s="1207"/>
      <c r="BK439" s="1207"/>
      <c r="BL439" s="1207"/>
      <c r="BM439" s="1207"/>
      <c r="BN439" s="1207"/>
      <c r="BO439" s="1207"/>
      <c r="BP439" s="1207"/>
      <c r="BQ439" s="1207"/>
      <c r="BR439" s="1207"/>
      <c r="BS439" s="1207"/>
      <c r="BT439" s="1207"/>
      <c r="BU439" s="1207"/>
      <c r="BV439" s="1207"/>
      <c r="BW439" s="1207"/>
      <c r="BX439" s="1207"/>
      <c r="BY439" s="1207"/>
      <c r="BZ439" s="1207"/>
      <c r="CA439" s="1207"/>
      <c r="CB439" s="1207"/>
      <c r="CC439" s="1207"/>
      <c r="CD439" s="1207"/>
      <c r="CE439" s="1207"/>
      <c r="CF439" s="1207"/>
    </row>
    <row r="440" spans="1:84" ht="105" x14ac:dyDescent="0.2">
      <c r="A440" s="1355">
        <v>2022422</v>
      </c>
      <c r="B440" s="1172">
        <v>7658</v>
      </c>
      <c r="C440" s="1356" t="s">
        <v>681</v>
      </c>
      <c r="D440" s="1190" t="s">
        <v>694</v>
      </c>
      <c r="E440" s="1174">
        <v>80111600</v>
      </c>
      <c r="F440" s="1389" t="s">
        <v>1087</v>
      </c>
      <c r="G440" s="1390">
        <v>44562</v>
      </c>
      <c r="H440" s="1390">
        <v>44592</v>
      </c>
      <c r="I440" s="1176">
        <v>10</v>
      </c>
      <c r="J440" s="1176" t="s">
        <v>675</v>
      </c>
      <c r="K440" s="1177" t="s">
        <v>676</v>
      </c>
      <c r="L440" s="1178" t="s">
        <v>677</v>
      </c>
      <c r="M440" s="1179">
        <f>33000000-18300000</f>
        <v>14700000</v>
      </c>
      <c r="N440" s="1386" t="s">
        <v>770</v>
      </c>
      <c r="O440" s="1174" t="s">
        <v>769</v>
      </c>
      <c r="P440" s="1207" t="s">
        <v>680</v>
      </c>
      <c r="Q440" s="1163"/>
      <c r="R440" s="1357">
        <v>33000000</v>
      </c>
      <c r="S440" s="1357">
        <v>33000000</v>
      </c>
      <c r="T440" s="1357">
        <f>+Tabla16[[#This Row],[CDPS A 31 JULIO 2022]]-Tabla16[[#This Row],[CDP]]</f>
        <v>0</v>
      </c>
      <c r="U440" s="1357">
        <v>33000000</v>
      </c>
      <c r="V440" s="1357">
        <v>14300000</v>
      </c>
      <c r="W440" s="1357"/>
      <c r="X440" s="1207"/>
      <c r="Y440" s="1207"/>
      <c r="Z440" s="1207"/>
      <c r="AA440" s="1207"/>
      <c r="AB440" s="1207"/>
      <c r="AC440" s="1207"/>
      <c r="AD440" s="1207"/>
      <c r="AE440" s="1207"/>
      <c r="AF440" s="1207"/>
      <c r="AG440" s="1207"/>
      <c r="AH440" s="1207"/>
      <c r="AI440" s="1207"/>
      <c r="AJ440" s="1207"/>
      <c r="AK440" s="1207"/>
      <c r="AL440" s="1207"/>
      <c r="AM440" s="1207"/>
      <c r="AN440" s="1207"/>
      <c r="AO440" s="1207"/>
      <c r="AP440" s="1207"/>
      <c r="AQ440" s="1207"/>
      <c r="AR440" s="1207"/>
      <c r="AS440" s="1207"/>
      <c r="AT440" s="1207"/>
      <c r="AU440" s="1207"/>
      <c r="AV440" s="1207"/>
      <c r="AW440" s="1207"/>
      <c r="AX440" s="1207"/>
      <c r="AY440" s="1207"/>
      <c r="AZ440" s="1207"/>
      <c r="BA440" s="1207"/>
      <c r="BB440" s="1207"/>
      <c r="BC440" s="1207"/>
      <c r="BD440" s="1207"/>
      <c r="BE440" s="1207"/>
      <c r="BF440" s="1207"/>
      <c r="BG440" s="1207"/>
      <c r="BH440" s="1207"/>
      <c r="BI440" s="1207"/>
      <c r="BJ440" s="1207"/>
      <c r="BK440" s="1207"/>
      <c r="BL440" s="1207"/>
      <c r="BM440" s="1207"/>
      <c r="BN440" s="1207"/>
      <c r="BO440" s="1207"/>
      <c r="BP440" s="1207"/>
      <c r="BQ440" s="1207"/>
      <c r="BR440" s="1207"/>
      <c r="BS440" s="1207"/>
      <c r="BT440" s="1207"/>
      <c r="BU440" s="1207"/>
      <c r="BV440" s="1207"/>
      <c r="BW440" s="1207"/>
      <c r="BX440" s="1207"/>
      <c r="BY440" s="1207"/>
      <c r="BZ440" s="1207"/>
      <c r="CA440" s="1207"/>
      <c r="CB440" s="1207"/>
      <c r="CC440" s="1207"/>
      <c r="CD440" s="1207"/>
      <c r="CE440" s="1207"/>
      <c r="CF440" s="1207"/>
    </row>
    <row r="441" spans="1:84" ht="105" x14ac:dyDescent="0.2">
      <c r="A441" s="1355">
        <v>2022423</v>
      </c>
      <c r="B441" s="1172">
        <v>7658</v>
      </c>
      <c r="C441" s="1356" t="s">
        <v>681</v>
      </c>
      <c r="D441" s="1190" t="s">
        <v>694</v>
      </c>
      <c r="E441" s="1174">
        <v>80111600</v>
      </c>
      <c r="F441" s="1389" t="s">
        <v>1087</v>
      </c>
      <c r="G441" s="1390">
        <v>44562</v>
      </c>
      <c r="H441" s="1390">
        <v>44592</v>
      </c>
      <c r="I441" s="1176">
        <v>10</v>
      </c>
      <c r="J441" s="1176" t="s">
        <v>675</v>
      </c>
      <c r="K441" s="1177" t="s">
        <v>676</v>
      </c>
      <c r="L441" s="1178" t="s">
        <v>677</v>
      </c>
      <c r="M441" s="1179">
        <v>24500000</v>
      </c>
      <c r="N441" s="1386" t="s">
        <v>770</v>
      </c>
      <c r="O441" s="1174" t="s">
        <v>769</v>
      </c>
      <c r="P441" s="1207" t="s">
        <v>680</v>
      </c>
      <c r="Q441" s="1163"/>
      <c r="R441" s="1357">
        <v>24500000</v>
      </c>
      <c r="S441" s="1357">
        <v>24500000</v>
      </c>
      <c r="T441" s="1357">
        <f>+Tabla16[[#This Row],[CDPS A 31 JULIO 2022]]-Tabla16[[#This Row],[CDP]]</f>
        <v>0</v>
      </c>
      <c r="U441" s="1357">
        <v>24500000</v>
      </c>
      <c r="V441" s="1357">
        <v>10208333</v>
      </c>
      <c r="W441" s="1357"/>
      <c r="X441" s="1207"/>
      <c r="Y441" s="1207"/>
      <c r="Z441" s="1207"/>
      <c r="AA441" s="1207"/>
      <c r="AB441" s="1207"/>
      <c r="AC441" s="1207"/>
      <c r="AD441" s="1207"/>
      <c r="AE441" s="1207"/>
      <c r="AF441" s="1207"/>
      <c r="AG441" s="1207"/>
      <c r="AH441" s="1207"/>
      <c r="AI441" s="1207"/>
      <c r="AJ441" s="1207"/>
      <c r="AK441" s="1207"/>
      <c r="AL441" s="1207"/>
      <c r="AM441" s="1207"/>
      <c r="AN441" s="1207"/>
      <c r="AO441" s="1207"/>
      <c r="AP441" s="1207"/>
      <c r="AQ441" s="1207"/>
      <c r="AR441" s="1207"/>
      <c r="AS441" s="1207"/>
      <c r="AT441" s="1207"/>
      <c r="AU441" s="1207"/>
      <c r="AV441" s="1207"/>
      <c r="AW441" s="1207"/>
      <c r="AX441" s="1207"/>
      <c r="AY441" s="1207"/>
      <c r="AZ441" s="1207"/>
      <c r="BA441" s="1207"/>
      <c r="BB441" s="1207"/>
      <c r="BC441" s="1207"/>
      <c r="BD441" s="1207"/>
      <c r="BE441" s="1207"/>
      <c r="BF441" s="1207"/>
      <c r="BG441" s="1207"/>
      <c r="BH441" s="1207"/>
      <c r="BI441" s="1207"/>
      <c r="BJ441" s="1207"/>
      <c r="BK441" s="1207"/>
      <c r="BL441" s="1207"/>
      <c r="BM441" s="1207"/>
      <c r="BN441" s="1207"/>
      <c r="BO441" s="1207"/>
      <c r="BP441" s="1207"/>
      <c r="BQ441" s="1207"/>
      <c r="BR441" s="1207"/>
      <c r="BS441" s="1207"/>
      <c r="BT441" s="1207"/>
      <c r="BU441" s="1207"/>
      <c r="BV441" s="1207"/>
      <c r="BW441" s="1207"/>
      <c r="BX441" s="1207"/>
      <c r="BY441" s="1207"/>
      <c r="BZ441" s="1207"/>
      <c r="CA441" s="1207"/>
      <c r="CB441" s="1207"/>
      <c r="CC441" s="1207"/>
      <c r="CD441" s="1207"/>
      <c r="CE441" s="1207"/>
      <c r="CF441" s="1207"/>
    </row>
    <row r="442" spans="1:84" ht="105" x14ac:dyDescent="0.2">
      <c r="A442" s="1355">
        <v>2022424</v>
      </c>
      <c r="B442" s="1172">
        <v>7658</v>
      </c>
      <c r="C442" s="1356" t="s">
        <v>681</v>
      </c>
      <c r="D442" s="1190" t="s">
        <v>694</v>
      </c>
      <c r="E442" s="1174">
        <v>80111600</v>
      </c>
      <c r="F442" s="1389" t="s">
        <v>1087</v>
      </c>
      <c r="G442" s="1390">
        <v>44562</v>
      </c>
      <c r="H442" s="1390">
        <v>44592</v>
      </c>
      <c r="I442" s="1176">
        <v>10</v>
      </c>
      <c r="J442" s="1176" t="s">
        <v>675</v>
      </c>
      <c r="K442" s="1177" t="s">
        <v>676</v>
      </c>
      <c r="L442" s="1178" t="s">
        <v>677</v>
      </c>
      <c r="M442" s="1179">
        <v>33000000</v>
      </c>
      <c r="N442" s="1386" t="s">
        <v>770</v>
      </c>
      <c r="O442" s="1174" t="s">
        <v>769</v>
      </c>
      <c r="P442" s="1207" t="s">
        <v>680</v>
      </c>
      <c r="Q442" s="1163"/>
      <c r="R442" s="1357">
        <v>19800000</v>
      </c>
      <c r="S442" s="1357">
        <v>19800000</v>
      </c>
      <c r="T442" s="1357">
        <f>+Tabla16[[#This Row],[CDPS A 31 JULIO 2022]]-Tabla16[[#This Row],[CDP]]</f>
        <v>0</v>
      </c>
      <c r="U442" s="1357">
        <v>19800000</v>
      </c>
      <c r="V442" s="1357">
        <v>13200000</v>
      </c>
      <c r="W442" s="1357"/>
      <c r="X442" s="1207"/>
      <c r="Y442" s="1207"/>
      <c r="Z442" s="1207"/>
      <c r="AA442" s="1207"/>
      <c r="AB442" s="1207"/>
      <c r="AC442" s="1207"/>
      <c r="AD442" s="1207"/>
      <c r="AE442" s="1207"/>
      <c r="AF442" s="1207"/>
      <c r="AG442" s="1207"/>
      <c r="AH442" s="1207"/>
      <c r="AI442" s="1207"/>
      <c r="AJ442" s="1207"/>
      <c r="AK442" s="1207"/>
      <c r="AL442" s="1207"/>
      <c r="AM442" s="1207"/>
      <c r="AN442" s="1207"/>
      <c r="AO442" s="1207"/>
      <c r="AP442" s="1207"/>
      <c r="AQ442" s="1207"/>
      <c r="AR442" s="1207"/>
      <c r="AS442" s="1207"/>
      <c r="AT442" s="1207"/>
      <c r="AU442" s="1207"/>
      <c r="AV442" s="1207"/>
      <c r="AW442" s="1207"/>
      <c r="AX442" s="1207"/>
      <c r="AY442" s="1207"/>
      <c r="AZ442" s="1207"/>
      <c r="BA442" s="1207"/>
      <c r="BB442" s="1207"/>
      <c r="BC442" s="1207"/>
      <c r="BD442" s="1207"/>
      <c r="BE442" s="1207"/>
      <c r="BF442" s="1207"/>
      <c r="BG442" s="1207"/>
      <c r="BH442" s="1207"/>
      <c r="BI442" s="1207"/>
      <c r="BJ442" s="1207"/>
      <c r="BK442" s="1207"/>
      <c r="BL442" s="1207"/>
      <c r="BM442" s="1207"/>
      <c r="BN442" s="1207"/>
      <c r="BO442" s="1207"/>
      <c r="BP442" s="1207"/>
      <c r="BQ442" s="1207"/>
      <c r="BR442" s="1207"/>
      <c r="BS442" s="1207"/>
      <c r="BT442" s="1207"/>
      <c r="BU442" s="1207"/>
      <c r="BV442" s="1207"/>
      <c r="BW442" s="1207"/>
      <c r="BX442" s="1207"/>
      <c r="BY442" s="1207"/>
      <c r="BZ442" s="1207"/>
      <c r="CA442" s="1207"/>
      <c r="CB442" s="1207"/>
      <c r="CC442" s="1207"/>
      <c r="CD442" s="1207"/>
      <c r="CE442" s="1207"/>
      <c r="CF442" s="1207"/>
    </row>
    <row r="443" spans="1:84" ht="105" x14ac:dyDescent="0.2">
      <c r="A443" s="1355">
        <v>2022425</v>
      </c>
      <c r="B443" s="1172">
        <v>7658</v>
      </c>
      <c r="C443" s="1356" t="s">
        <v>681</v>
      </c>
      <c r="D443" s="1190" t="s">
        <v>694</v>
      </c>
      <c r="E443" s="1174">
        <v>80111600</v>
      </c>
      <c r="F443" s="1389" t="s">
        <v>1087</v>
      </c>
      <c r="G443" s="1390">
        <v>44562</v>
      </c>
      <c r="H443" s="1390">
        <v>44592</v>
      </c>
      <c r="I443" s="1176">
        <v>10</v>
      </c>
      <c r="J443" s="1176" t="s">
        <v>675</v>
      </c>
      <c r="K443" s="1177" t="s">
        <v>676</v>
      </c>
      <c r="L443" s="1178" t="s">
        <v>677</v>
      </c>
      <c r="M443" s="1179">
        <f>27500000-1100000</f>
        <v>26400000</v>
      </c>
      <c r="N443" s="1386" t="s">
        <v>770</v>
      </c>
      <c r="O443" s="1174" t="s">
        <v>769</v>
      </c>
      <c r="P443" s="1207" t="s">
        <v>680</v>
      </c>
      <c r="Q443" s="1163"/>
      <c r="R443" s="1357">
        <v>26400000</v>
      </c>
      <c r="S443" s="1357">
        <v>26400000</v>
      </c>
      <c r="T443" s="1357">
        <f>+Tabla16[[#This Row],[CDPS A 31 JULIO 2022]]-Tabla16[[#This Row],[CDP]]</f>
        <v>0</v>
      </c>
      <c r="U443" s="1357">
        <v>26400000</v>
      </c>
      <c r="V443" s="1357">
        <v>13750000</v>
      </c>
      <c r="W443" s="1357"/>
      <c r="X443" s="1207"/>
      <c r="Y443" s="1207"/>
      <c r="Z443" s="1207"/>
      <c r="AA443" s="1207"/>
      <c r="AB443" s="1207"/>
      <c r="AC443" s="1207"/>
      <c r="AD443" s="1207"/>
      <c r="AE443" s="1207"/>
      <c r="AF443" s="1207"/>
      <c r="AG443" s="1207"/>
      <c r="AH443" s="1207"/>
      <c r="AI443" s="1207"/>
      <c r="AJ443" s="1207"/>
      <c r="AK443" s="1207"/>
      <c r="AL443" s="1207"/>
      <c r="AM443" s="1207"/>
      <c r="AN443" s="1207"/>
      <c r="AO443" s="1207"/>
      <c r="AP443" s="1207"/>
      <c r="AQ443" s="1207"/>
      <c r="AR443" s="1207"/>
      <c r="AS443" s="1207"/>
      <c r="AT443" s="1207"/>
      <c r="AU443" s="1207"/>
      <c r="AV443" s="1207"/>
      <c r="AW443" s="1207"/>
      <c r="AX443" s="1207"/>
      <c r="AY443" s="1207"/>
      <c r="AZ443" s="1207"/>
      <c r="BA443" s="1207"/>
      <c r="BB443" s="1207"/>
      <c r="BC443" s="1207"/>
      <c r="BD443" s="1207"/>
      <c r="BE443" s="1207"/>
      <c r="BF443" s="1207"/>
      <c r="BG443" s="1207"/>
      <c r="BH443" s="1207"/>
      <c r="BI443" s="1207"/>
      <c r="BJ443" s="1207"/>
      <c r="BK443" s="1207"/>
      <c r="BL443" s="1207"/>
      <c r="BM443" s="1207"/>
      <c r="BN443" s="1207"/>
      <c r="BO443" s="1207"/>
      <c r="BP443" s="1207"/>
      <c r="BQ443" s="1207"/>
      <c r="BR443" s="1207"/>
      <c r="BS443" s="1207"/>
      <c r="BT443" s="1207"/>
      <c r="BU443" s="1207"/>
      <c r="BV443" s="1207"/>
      <c r="BW443" s="1207"/>
      <c r="BX443" s="1207"/>
      <c r="BY443" s="1207"/>
      <c r="BZ443" s="1207"/>
      <c r="CA443" s="1207"/>
      <c r="CB443" s="1207"/>
      <c r="CC443" s="1207"/>
      <c r="CD443" s="1207"/>
      <c r="CE443" s="1207"/>
      <c r="CF443" s="1207"/>
    </row>
    <row r="444" spans="1:84" ht="105" x14ac:dyDescent="0.2">
      <c r="A444" s="1355">
        <v>2022426</v>
      </c>
      <c r="B444" s="1172">
        <v>7658</v>
      </c>
      <c r="C444" s="1356" t="s">
        <v>681</v>
      </c>
      <c r="D444" s="1190" t="s">
        <v>694</v>
      </c>
      <c r="E444" s="1174">
        <v>80111600</v>
      </c>
      <c r="F444" s="1389" t="s">
        <v>1087</v>
      </c>
      <c r="G444" s="1390">
        <v>44562</v>
      </c>
      <c r="H444" s="1390">
        <v>44592</v>
      </c>
      <c r="I444" s="1176">
        <v>10</v>
      </c>
      <c r="J444" s="1176" t="s">
        <v>675</v>
      </c>
      <c r="K444" s="1177" t="s">
        <v>676</v>
      </c>
      <c r="L444" s="1178" t="s">
        <v>677</v>
      </c>
      <c r="M444" s="1179">
        <v>33000000</v>
      </c>
      <c r="N444" s="1386" t="s">
        <v>770</v>
      </c>
      <c r="O444" s="1174" t="s">
        <v>769</v>
      </c>
      <c r="P444" s="1207" t="s">
        <v>680</v>
      </c>
      <c r="Q444" s="1163"/>
      <c r="R444" s="1357">
        <v>14700000</v>
      </c>
      <c r="S444" s="1357">
        <v>14700000</v>
      </c>
      <c r="T444" s="1357">
        <f>+Tabla16[[#This Row],[CDPS A 31 JULIO 2022]]-Tabla16[[#This Row],[CDP]]</f>
        <v>0</v>
      </c>
      <c r="U444" s="1357">
        <v>14700000</v>
      </c>
      <c r="V444" s="1357">
        <v>9800000</v>
      </c>
      <c r="W444" s="1357"/>
      <c r="X444" s="1207"/>
      <c r="Y444" s="1207"/>
      <c r="Z444" s="1207"/>
      <c r="AA444" s="1207"/>
      <c r="AB444" s="1207"/>
      <c r="AC444" s="1207"/>
      <c r="AD444" s="1207"/>
      <c r="AE444" s="1207"/>
      <c r="AF444" s="1207"/>
      <c r="AG444" s="1207"/>
      <c r="AH444" s="1207"/>
      <c r="AI444" s="1207"/>
      <c r="AJ444" s="1207"/>
      <c r="AK444" s="1207"/>
      <c r="AL444" s="1207"/>
      <c r="AM444" s="1207"/>
      <c r="AN444" s="1207"/>
      <c r="AO444" s="1207"/>
      <c r="AP444" s="1207"/>
      <c r="AQ444" s="1207"/>
      <c r="AR444" s="1207"/>
      <c r="AS444" s="1207"/>
      <c r="AT444" s="1207"/>
      <c r="AU444" s="1207"/>
      <c r="AV444" s="1207"/>
      <c r="AW444" s="1207"/>
      <c r="AX444" s="1207"/>
      <c r="AY444" s="1207"/>
      <c r="AZ444" s="1207"/>
      <c r="BA444" s="1207"/>
      <c r="BB444" s="1207"/>
      <c r="BC444" s="1207"/>
      <c r="BD444" s="1207"/>
      <c r="BE444" s="1207"/>
      <c r="BF444" s="1207"/>
      <c r="BG444" s="1207"/>
      <c r="BH444" s="1207"/>
      <c r="BI444" s="1207"/>
      <c r="BJ444" s="1207"/>
      <c r="BK444" s="1207"/>
      <c r="BL444" s="1207"/>
      <c r="BM444" s="1207"/>
      <c r="BN444" s="1207"/>
      <c r="BO444" s="1207"/>
      <c r="BP444" s="1207"/>
      <c r="BQ444" s="1207"/>
      <c r="BR444" s="1207"/>
      <c r="BS444" s="1207"/>
      <c r="BT444" s="1207"/>
      <c r="BU444" s="1207"/>
      <c r="BV444" s="1207"/>
      <c r="BW444" s="1207"/>
      <c r="BX444" s="1207"/>
      <c r="BY444" s="1207"/>
      <c r="BZ444" s="1207"/>
      <c r="CA444" s="1207"/>
      <c r="CB444" s="1207"/>
      <c r="CC444" s="1207"/>
      <c r="CD444" s="1207"/>
      <c r="CE444" s="1207"/>
      <c r="CF444" s="1207"/>
    </row>
    <row r="445" spans="1:84" ht="105" x14ac:dyDescent="0.2">
      <c r="A445" s="1355">
        <v>2022427</v>
      </c>
      <c r="B445" s="1172">
        <v>7658</v>
      </c>
      <c r="C445" s="1356" t="s">
        <v>681</v>
      </c>
      <c r="D445" s="1190" t="s">
        <v>694</v>
      </c>
      <c r="E445" s="1174">
        <v>80111600</v>
      </c>
      <c r="F445" s="1389" t="s">
        <v>1087</v>
      </c>
      <c r="G445" s="1390">
        <v>44562</v>
      </c>
      <c r="H445" s="1390">
        <v>44592</v>
      </c>
      <c r="I445" s="1176">
        <v>10</v>
      </c>
      <c r="J445" s="1176" t="s">
        <v>675</v>
      </c>
      <c r="K445" s="1177" t="s">
        <v>676</v>
      </c>
      <c r="L445" s="1178" t="s">
        <v>677</v>
      </c>
      <c r="M445" s="1179">
        <f>33000000-13200000</f>
        <v>19800000</v>
      </c>
      <c r="N445" s="1386" t="s">
        <v>770</v>
      </c>
      <c r="O445" s="1174" t="s">
        <v>769</v>
      </c>
      <c r="P445" s="1207" t="s">
        <v>680</v>
      </c>
      <c r="Q445" s="1163"/>
      <c r="R445" s="1357">
        <v>33000000</v>
      </c>
      <c r="S445" s="1357">
        <v>33000000</v>
      </c>
      <c r="T445" s="1357">
        <f>+Tabla16[[#This Row],[CDPS A 31 JULIO 2022]]-Tabla16[[#This Row],[CDP]]</f>
        <v>0</v>
      </c>
      <c r="U445" s="1357">
        <v>33000000</v>
      </c>
      <c r="V445" s="1357">
        <v>13750000</v>
      </c>
      <c r="W445" s="1357"/>
      <c r="X445" s="1207"/>
      <c r="Y445" s="1207"/>
      <c r="Z445" s="1207"/>
      <c r="AA445" s="1207"/>
      <c r="AB445" s="1207"/>
      <c r="AC445" s="1207"/>
      <c r="AD445" s="1207"/>
      <c r="AE445" s="1207"/>
      <c r="AF445" s="1207"/>
      <c r="AG445" s="1207"/>
      <c r="AH445" s="1207"/>
      <c r="AI445" s="1207"/>
      <c r="AJ445" s="1207"/>
      <c r="AK445" s="1207"/>
      <c r="AL445" s="1207"/>
      <c r="AM445" s="1207"/>
      <c r="AN445" s="1207"/>
      <c r="AO445" s="1207"/>
      <c r="AP445" s="1207"/>
      <c r="AQ445" s="1207"/>
      <c r="AR445" s="1207"/>
      <c r="AS445" s="1207"/>
      <c r="AT445" s="1207"/>
      <c r="AU445" s="1207"/>
      <c r="AV445" s="1207"/>
      <c r="AW445" s="1207"/>
      <c r="AX445" s="1207"/>
      <c r="AY445" s="1207"/>
      <c r="AZ445" s="1207"/>
      <c r="BA445" s="1207"/>
      <c r="BB445" s="1207"/>
      <c r="BC445" s="1207"/>
      <c r="BD445" s="1207"/>
      <c r="BE445" s="1207"/>
      <c r="BF445" s="1207"/>
      <c r="BG445" s="1207"/>
      <c r="BH445" s="1207"/>
      <c r="BI445" s="1207"/>
      <c r="BJ445" s="1207"/>
      <c r="BK445" s="1207"/>
      <c r="BL445" s="1207"/>
      <c r="BM445" s="1207"/>
      <c r="BN445" s="1207"/>
      <c r="BO445" s="1207"/>
      <c r="BP445" s="1207"/>
      <c r="BQ445" s="1207"/>
      <c r="BR445" s="1207"/>
      <c r="BS445" s="1207"/>
      <c r="BT445" s="1207"/>
      <c r="BU445" s="1207"/>
      <c r="BV445" s="1207"/>
      <c r="BW445" s="1207"/>
      <c r="BX445" s="1207"/>
      <c r="BY445" s="1207"/>
      <c r="BZ445" s="1207"/>
      <c r="CA445" s="1207"/>
      <c r="CB445" s="1207"/>
      <c r="CC445" s="1207"/>
      <c r="CD445" s="1207"/>
      <c r="CE445" s="1207"/>
      <c r="CF445" s="1207"/>
    </row>
    <row r="446" spans="1:84" ht="105" x14ac:dyDescent="0.2">
      <c r="A446" s="1355">
        <v>2022428</v>
      </c>
      <c r="B446" s="1172">
        <v>7658</v>
      </c>
      <c r="C446" s="1356" t="s">
        <v>681</v>
      </c>
      <c r="D446" s="1190" t="s">
        <v>694</v>
      </c>
      <c r="E446" s="1174">
        <v>80111600</v>
      </c>
      <c r="F446" s="1389" t="s">
        <v>1084</v>
      </c>
      <c r="G446" s="1390">
        <v>44562</v>
      </c>
      <c r="H446" s="1390">
        <v>44592</v>
      </c>
      <c r="I446" s="1176">
        <v>10</v>
      </c>
      <c r="J446" s="1176" t="s">
        <v>675</v>
      </c>
      <c r="K446" s="1177" t="s">
        <v>676</v>
      </c>
      <c r="L446" s="1178" t="s">
        <v>677</v>
      </c>
      <c r="M446" s="1179">
        <v>28000000</v>
      </c>
      <c r="N446" s="1386" t="s">
        <v>770</v>
      </c>
      <c r="O446" s="1174" t="s">
        <v>769</v>
      </c>
      <c r="P446" s="1207" t="s">
        <v>680</v>
      </c>
      <c r="Q446" s="1163"/>
      <c r="R446" s="1357">
        <v>28000000</v>
      </c>
      <c r="S446" s="1357">
        <v>28000000</v>
      </c>
      <c r="T446" s="1357">
        <f>+Tabla16[[#This Row],[CDPS A 31 JULIO 2022]]-Tabla16[[#This Row],[CDP]]</f>
        <v>0</v>
      </c>
      <c r="U446" s="1357">
        <v>28000000</v>
      </c>
      <c r="V446" s="1357">
        <v>12226667</v>
      </c>
      <c r="W446" s="1357"/>
      <c r="X446" s="1207"/>
      <c r="Y446" s="1207"/>
      <c r="Z446" s="1207"/>
      <c r="AA446" s="1207"/>
      <c r="AB446" s="1207"/>
      <c r="AC446" s="1207"/>
      <c r="AD446" s="1207"/>
      <c r="AE446" s="1207"/>
      <c r="AF446" s="1207"/>
      <c r="AG446" s="1207"/>
      <c r="AH446" s="1207"/>
      <c r="AI446" s="1207"/>
      <c r="AJ446" s="1207"/>
      <c r="AK446" s="1207"/>
      <c r="AL446" s="1207"/>
      <c r="AM446" s="1207"/>
      <c r="AN446" s="1207"/>
      <c r="AO446" s="1207"/>
      <c r="AP446" s="1207"/>
      <c r="AQ446" s="1207"/>
      <c r="AR446" s="1207"/>
      <c r="AS446" s="1207"/>
      <c r="AT446" s="1207"/>
      <c r="AU446" s="1207"/>
      <c r="AV446" s="1207"/>
      <c r="AW446" s="1207"/>
      <c r="AX446" s="1207"/>
      <c r="AY446" s="1207"/>
      <c r="AZ446" s="1207"/>
      <c r="BA446" s="1207"/>
      <c r="BB446" s="1207"/>
      <c r="BC446" s="1207"/>
      <c r="BD446" s="1207"/>
      <c r="BE446" s="1207"/>
      <c r="BF446" s="1207"/>
      <c r="BG446" s="1207"/>
      <c r="BH446" s="1207"/>
      <c r="BI446" s="1207"/>
      <c r="BJ446" s="1207"/>
      <c r="BK446" s="1207"/>
      <c r="BL446" s="1207"/>
      <c r="BM446" s="1207"/>
      <c r="BN446" s="1207"/>
      <c r="BO446" s="1207"/>
      <c r="BP446" s="1207"/>
      <c r="BQ446" s="1207"/>
      <c r="BR446" s="1207"/>
      <c r="BS446" s="1207"/>
      <c r="BT446" s="1207"/>
      <c r="BU446" s="1207"/>
      <c r="BV446" s="1207"/>
      <c r="BW446" s="1207"/>
      <c r="BX446" s="1207"/>
      <c r="BY446" s="1207"/>
      <c r="BZ446" s="1207"/>
      <c r="CA446" s="1207"/>
      <c r="CB446" s="1207"/>
      <c r="CC446" s="1207"/>
      <c r="CD446" s="1207"/>
      <c r="CE446" s="1207"/>
      <c r="CF446" s="1207"/>
    </row>
    <row r="447" spans="1:84" ht="105" x14ac:dyDescent="0.2">
      <c r="A447" s="1355">
        <v>2022429</v>
      </c>
      <c r="B447" s="1172">
        <v>7658</v>
      </c>
      <c r="C447" s="1356" t="s">
        <v>681</v>
      </c>
      <c r="D447" s="1190" t="s">
        <v>694</v>
      </c>
      <c r="E447" s="1174">
        <v>80111600</v>
      </c>
      <c r="F447" s="1389" t="s">
        <v>1084</v>
      </c>
      <c r="G447" s="1390">
        <v>44562</v>
      </c>
      <c r="H447" s="1390">
        <v>44592</v>
      </c>
      <c r="I447" s="1176">
        <v>10</v>
      </c>
      <c r="J447" s="1176" t="s">
        <v>675</v>
      </c>
      <c r="K447" s="1177" t="s">
        <v>676</v>
      </c>
      <c r="L447" s="1178" t="s">
        <v>677</v>
      </c>
      <c r="M447" s="1179">
        <v>28000000</v>
      </c>
      <c r="N447" s="1386" t="s">
        <v>770</v>
      </c>
      <c r="O447" s="1174" t="s">
        <v>769</v>
      </c>
      <c r="P447" s="1207" t="s">
        <v>680</v>
      </c>
      <c r="Q447" s="1163"/>
      <c r="R447" s="1357">
        <v>28000000</v>
      </c>
      <c r="S447" s="1357">
        <v>28000000</v>
      </c>
      <c r="T447" s="1357">
        <f>+Tabla16[[#This Row],[CDPS A 31 JULIO 2022]]-Tabla16[[#This Row],[CDP]]</f>
        <v>0</v>
      </c>
      <c r="U447" s="1357">
        <v>28000000</v>
      </c>
      <c r="V447" s="1357">
        <v>11666667</v>
      </c>
      <c r="W447" s="1357"/>
      <c r="X447" s="1207"/>
      <c r="Y447" s="1207"/>
      <c r="Z447" s="1207"/>
      <c r="AA447" s="1207"/>
      <c r="AB447" s="1207"/>
      <c r="AC447" s="1207"/>
      <c r="AD447" s="1207"/>
      <c r="AE447" s="1207"/>
      <c r="AF447" s="1207"/>
      <c r="AG447" s="1207"/>
      <c r="AH447" s="1207"/>
      <c r="AI447" s="1207"/>
      <c r="AJ447" s="1207"/>
      <c r="AK447" s="1207"/>
      <c r="AL447" s="1207"/>
      <c r="AM447" s="1207"/>
      <c r="AN447" s="1207"/>
      <c r="AO447" s="1207"/>
      <c r="AP447" s="1207"/>
      <c r="AQ447" s="1207"/>
      <c r="AR447" s="1207"/>
      <c r="AS447" s="1207"/>
      <c r="AT447" s="1207"/>
      <c r="AU447" s="1207"/>
      <c r="AV447" s="1207"/>
      <c r="AW447" s="1207"/>
      <c r="AX447" s="1207"/>
      <c r="AY447" s="1207"/>
      <c r="AZ447" s="1207"/>
      <c r="BA447" s="1207"/>
      <c r="BB447" s="1207"/>
      <c r="BC447" s="1207"/>
      <c r="BD447" s="1207"/>
      <c r="BE447" s="1207"/>
      <c r="BF447" s="1207"/>
      <c r="BG447" s="1207"/>
      <c r="BH447" s="1207"/>
      <c r="BI447" s="1207"/>
      <c r="BJ447" s="1207"/>
      <c r="BK447" s="1207"/>
      <c r="BL447" s="1207"/>
      <c r="BM447" s="1207"/>
      <c r="BN447" s="1207"/>
      <c r="BO447" s="1207"/>
      <c r="BP447" s="1207"/>
      <c r="BQ447" s="1207"/>
      <c r="BR447" s="1207"/>
      <c r="BS447" s="1207"/>
      <c r="BT447" s="1207"/>
      <c r="BU447" s="1207"/>
      <c r="BV447" s="1207"/>
      <c r="BW447" s="1207"/>
      <c r="BX447" s="1207"/>
      <c r="BY447" s="1207"/>
      <c r="BZ447" s="1207"/>
      <c r="CA447" s="1207"/>
      <c r="CB447" s="1207"/>
      <c r="CC447" s="1207"/>
      <c r="CD447" s="1207"/>
      <c r="CE447" s="1207"/>
      <c r="CF447" s="1207"/>
    </row>
    <row r="448" spans="1:84" ht="105" x14ac:dyDescent="0.2">
      <c r="A448" s="1355">
        <v>2022430</v>
      </c>
      <c r="B448" s="1172">
        <v>7658</v>
      </c>
      <c r="C448" s="1356" t="s">
        <v>681</v>
      </c>
      <c r="D448" s="1190" t="s">
        <v>694</v>
      </c>
      <c r="E448" s="1174">
        <v>80111600</v>
      </c>
      <c r="F448" s="1389" t="s">
        <v>1088</v>
      </c>
      <c r="G448" s="1390">
        <v>44562</v>
      </c>
      <c r="H448" s="1390">
        <v>44592</v>
      </c>
      <c r="I448" s="1176">
        <v>10</v>
      </c>
      <c r="J448" s="1176" t="s">
        <v>675</v>
      </c>
      <c r="K448" s="1177" t="s">
        <v>676</v>
      </c>
      <c r="L448" s="1178" t="s">
        <v>677</v>
      </c>
      <c r="M448" s="1179">
        <v>45000000</v>
      </c>
      <c r="N448" s="1386" t="s">
        <v>770</v>
      </c>
      <c r="O448" s="1174" t="s">
        <v>769</v>
      </c>
      <c r="P448" s="1207" t="s">
        <v>680</v>
      </c>
      <c r="Q448" s="1163"/>
      <c r="R448" s="1357">
        <v>45000000</v>
      </c>
      <c r="S448" s="1357">
        <v>45000000</v>
      </c>
      <c r="T448" s="1357">
        <f>+Tabla16[[#This Row],[CDPS A 31 JULIO 2022]]-Tabla16[[#This Row],[CDP]]</f>
        <v>0</v>
      </c>
      <c r="U448" s="1357">
        <v>45000000</v>
      </c>
      <c r="V448" s="1357">
        <v>19500000</v>
      </c>
      <c r="W448" s="1357"/>
      <c r="X448" s="1207"/>
      <c r="Y448" s="1207"/>
      <c r="Z448" s="1207"/>
      <c r="AA448" s="1207"/>
      <c r="AB448" s="1207"/>
      <c r="AC448" s="1207"/>
      <c r="AD448" s="1207"/>
      <c r="AE448" s="1207"/>
      <c r="AF448" s="1207"/>
      <c r="AG448" s="1207"/>
      <c r="AH448" s="1207"/>
      <c r="AI448" s="1207"/>
      <c r="AJ448" s="1207"/>
      <c r="AK448" s="1207"/>
      <c r="AL448" s="1207"/>
      <c r="AM448" s="1207"/>
      <c r="AN448" s="1207"/>
      <c r="AO448" s="1207"/>
      <c r="AP448" s="1207"/>
      <c r="AQ448" s="1207"/>
      <c r="AR448" s="1207"/>
      <c r="AS448" s="1207"/>
      <c r="AT448" s="1207"/>
      <c r="AU448" s="1207"/>
      <c r="AV448" s="1207"/>
      <c r="AW448" s="1207"/>
      <c r="AX448" s="1207"/>
      <c r="AY448" s="1207"/>
      <c r="AZ448" s="1207"/>
      <c r="BA448" s="1207"/>
      <c r="BB448" s="1207"/>
      <c r="BC448" s="1207"/>
      <c r="BD448" s="1207"/>
      <c r="BE448" s="1207"/>
      <c r="BF448" s="1207"/>
      <c r="BG448" s="1207"/>
      <c r="BH448" s="1207"/>
      <c r="BI448" s="1207"/>
      <c r="BJ448" s="1207"/>
      <c r="BK448" s="1207"/>
      <c r="BL448" s="1207"/>
      <c r="BM448" s="1207"/>
      <c r="BN448" s="1207"/>
      <c r="BO448" s="1207"/>
      <c r="BP448" s="1207"/>
      <c r="BQ448" s="1207"/>
      <c r="BR448" s="1207"/>
      <c r="BS448" s="1207"/>
      <c r="BT448" s="1207"/>
      <c r="BU448" s="1207"/>
      <c r="BV448" s="1207"/>
      <c r="BW448" s="1207"/>
      <c r="BX448" s="1207"/>
      <c r="BY448" s="1207"/>
      <c r="BZ448" s="1207"/>
      <c r="CA448" s="1207"/>
      <c r="CB448" s="1207"/>
      <c r="CC448" s="1207"/>
      <c r="CD448" s="1207"/>
      <c r="CE448" s="1207"/>
      <c r="CF448" s="1207"/>
    </row>
    <row r="449" spans="1:84" ht="105" x14ac:dyDescent="0.2">
      <c r="A449" s="1355">
        <v>2022431</v>
      </c>
      <c r="B449" s="1172">
        <v>7658</v>
      </c>
      <c r="C449" s="1356" t="s">
        <v>681</v>
      </c>
      <c r="D449" s="1190" t="s">
        <v>694</v>
      </c>
      <c r="E449" s="1174">
        <v>80111600</v>
      </c>
      <c r="F449" s="1389" t="s">
        <v>1089</v>
      </c>
      <c r="G449" s="1390">
        <v>44562</v>
      </c>
      <c r="H449" s="1390">
        <v>44592</v>
      </c>
      <c r="I449" s="1176">
        <v>10</v>
      </c>
      <c r="J449" s="1176" t="s">
        <v>675</v>
      </c>
      <c r="K449" s="1177" t="s">
        <v>676</v>
      </c>
      <c r="L449" s="1178" t="s">
        <v>677</v>
      </c>
      <c r="M449" s="1179">
        <v>24500000</v>
      </c>
      <c r="N449" s="1386" t="s">
        <v>770</v>
      </c>
      <c r="O449" s="1174" t="s">
        <v>769</v>
      </c>
      <c r="P449" s="1207" t="s">
        <v>680</v>
      </c>
      <c r="Q449" s="1163"/>
      <c r="R449" s="1357">
        <v>24500000</v>
      </c>
      <c r="S449" s="1357">
        <v>24500000</v>
      </c>
      <c r="T449" s="1357">
        <f>+Tabla16[[#This Row],[CDPS A 31 JULIO 2022]]-Tabla16[[#This Row],[CDP]]</f>
        <v>0</v>
      </c>
      <c r="U449" s="1357">
        <v>24500000</v>
      </c>
      <c r="V449" s="1357">
        <v>10698333</v>
      </c>
      <c r="W449" s="1357"/>
      <c r="X449" s="1207"/>
      <c r="Y449" s="1207"/>
      <c r="Z449" s="1207"/>
      <c r="AA449" s="1207"/>
      <c r="AB449" s="1207"/>
      <c r="AC449" s="1207"/>
      <c r="AD449" s="1207"/>
      <c r="AE449" s="1207"/>
      <c r="AF449" s="1207"/>
      <c r="AG449" s="1207"/>
      <c r="AH449" s="1207"/>
      <c r="AI449" s="1207"/>
      <c r="AJ449" s="1207"/>
      <c r="AK449" s="1207"/>
      <c r="AL449" s="1207"/>
      <c r="AM449" s="1207"/>
      <c r="AN449" s="1207"/>
      <c r="AO449" s="1207"/>
      <c r="AP449" s="1207"/>
      <c r="AQ449" s="1207"/>
      <c r="AR449" s="1207"/>
      <c r="AS449" s="1207"/>
      <c r="AT449" s="1207"/>
      <c r="AU449" s="1207"/>
      <c r="AV449" s="1207"/>
      <c r="AW449" s="1207"/>
      <c r="AX449" s="1207"/>
      <c r="AY449" s="1207"/>
      <c r="AZ449" s="1207"/>
      <c r="BA449" s="1207"/>
      <c r="BB449" s="1207"/>
      <c r="BC449" s="1207"/>
      <c r="BD449" s="1207"/>
      <c r="BE449" s="1207"/>
      <c r="BF449" s="1207"/>
      <c r="BG449" s="1207"/>
      <c r="BH449" s="1207"/>
      <c r="BI449" s="1207"/>
      <c r="BJ449" s="1207"/>
      <c r="BK449" s="1207"/>
      <c r="BL449" s="1207"/>
      <c r="BM449" s="1207"/>
      <c r="BN449" s="1207"/>
      <c r="BO449" s="1207"/>
      <c r="BP449" s="1207"/>
      <c r="BQ449" s="1207"/>
      <c r="BR449" s="1207"/>
      <c r="BS449" s="1207"/>
      <c r="BT449" s="1207"/>
      <c r="BU449" s="1207"/>
      <c r="BV449" s="1207"/>
      <c r="BW449" s="1207"/>
      <c r="BX449" s="1207"/>
      <c r="BY449" s="1207"/>
      <c r="BZ449" s="1207"/>
      <c r="CA449" s="1207"/>
      <c r="CB449" s="1207"/>
      <c r="CC449" s="1207"/>
      <c r="CD449" s="1207"/>
      <c r="CE449" s="1207"/>
      <c r="CF449" s="1207"/>
    </row>
    <row r="450" spans="1:84" ht="105" x14ac:dyDescent="0.2">
      <c r="A450" s="1355">
        <v>2022432</v>
      </c>
      <c r="B450" s="1172">
        <v>7658</v>
      </c>
      <c r="C450" s="1356" t="s">
        <v>681</v>
      </c>
      <c r="D450" s="1190" t="s">
        <v>694</v>
      </c>
      <c r="E450" s="1174">
        <v>80111600</v>
      </c>
      <c r="F450" s="1389" t="s">
        <v>1089</v>
      </c>
      <c r="G450" s="1390">
        <v>44562</v>
      </c>
      <c r="H450" s="1390">
        <v>44592</v>
      </c>
      <c r="I450" s="1176">
        <v>10</v>
      </c>
      <c r="J450" s="1176" t="s">
        <v>675</v>
      </c>
      <c r="K450" s="1177" t="s">
        <v>676</v>
      </c>
      <c r="L450" s="1178" t="s">
        <v>677</v>
      </c>
      <c r="M450" s="1179">
        <v>33000000</v>
      </c>
      <c r="N450" s="1386" t="s">
        <v>770</v>
      </c>
      <c r="O450" s="1174" t="s">
        <v>769</v>
      </c>
      <c r="P450" s="1207" t="s">
        <v>680</v>
      </c>
      <c r="Q450" s="1163"/>
      <c r="R450" s="1357">
        <v>33000000</v>
      </c>
      <c r="S450" s="1357">
        <v>33000000</v>
      </c>
      <c r="T450" s="1357">
        <f>+Tabla16[[#This Row],[CDPS A 31 JULIO 2022]]-Tabla16[[#This Row],[CDP]]</f>
        <v>0</v>
      </c>
      <c r="U450" s="1357">
        <v>33000000</v>
      </c>
      <c r="V450" s="1357">
        <v>14630000</v>
      </c>
      <c r="W450" s="1357"/>
      <c r="X450" s="1207"/>
      <c r="Y450" s="1207"/>
      <c r="Z450" s="1207"/>
      <c r="AA450" s="1207"/>
      <c r="AB450" s="1207"/>
      <c r="AC450" s="1207"/>
      <c r="AD450" s="1207"/>
      <c r="AE450" s="1207"/>
      <c r="AF450" s="1207"/>
      <c r="AG450" s="1207"/>
      <c r="AH450" s="1207"/>
      <c r="AI450" s="1207"/>
      <c r="AJ450" s="1207"/>
      <c r="AK450" s="1207"/>
      <c r="AL450" s="1207"/>
      <c r="AM450" s="1207"/>
      <c r="AN450" s="1207"/>
      <c r="AO450" s="1207"/>
      <c r="AP450" s="1207"/>
      <c r="AQ450" s="1207"/>
      <c r="AR450" s="1207"/>
      <c r="AS450" s="1207"/>
      <c r="AT450" s="1207"/>
      <c r="AU450" s="1207"/>
      <c r="AV450" s="1207"/>
      <c r="AW450" s="1207"/>
      <c r="AX450" s="1207"/>
      <c r="AY450" s="1207"/>
      <c r="AZ450" s="1207"/>
      <c r="BA450" s="1207"/>
      <c r="BB450" s="1207"/>
      <c r="BC450" s="1207"/>
      <c r="BD450" s="1207"/>
      <c r="BE450" s="1207"/>
      <c r="BF450" s="1207"/>
      <c r="BG450" s="1207"/>
      <c r="BH450" s="1207"/>
      <c r="BI450" s="1207"/>
      <c r="BJ450" s="1207"/>
      <c r="BK450" s="1207"/>
      <c r="BL450" s="1207"/>
      <c r="BM450" s="1207"/>
      <c r="BN450" s="1207"/>
      <c r="BO450" s="1207"/>
      <c r="BP450" s="1207"/>
      <c r="BQ450" s="1207"/>
      <c r="BR450" s="1207"/>
      <c r="BS450" s="1207"/>
      <c r="BT450" s="1207"/>
      <c r="BU450" s="1207"/>
      <c r="BV450" s="1207"/>
      <c r="BW450" s="1207"/>
      <c r="BX450" s="1207"/>
      <c r="BY450" s="1207"/>
      <c r="BZ450" s="1207"/>
      <c r="CA450" s="1207"/>
      <c r="CB450" s="1207"/>
      <c r="CC450" s="1207"/>
      <c r="CD450" s="1207"/>
      <c r="CE450" s="1207"/>
      <c r="CF450" s="1207"/>
    </row>
    <row r="451" spans="1:84" ht="105" x14ac:dyDescent="0.2">
      <c r="A451" s="1355">
        <v>2022433</v>
      </c>
      <c r="B451" s="1172">
        <v>7658</v>
      </c>
      <c r="C451" s="1356" t="s">
        <v>681</v>
      </c>
      <c r="D451" s="1190" t="s">
        <v>694</v>
      </c>
      <c r="E451" s="1174">
        <v>80111600</v>
      </c>
      <c r="F451" s="1389" t="s">
        <v>1089</v>
      </c>
      <c r="G451" s="1390">
        <v>44562</v>
      </c>
      <c r="H451" s="1390">
        <v>44592</v>
      </c>
      <c r="I451" s="1176">
        <v>10</v>
      </c>
      <c r="J451" s="1176" t="s">
        <v>675</v>
      </c>
      <c r="K451" s="1177" t="s">
        <v>676</v>
      </c>
      <c r="L451" s="1178" t="s">
        <v>677</v>
      </c>
      <c r="M451" s="1179">
        <v>32000000</v>
      </c>
      <c r="N451" s="1386" t="s">
        <v>770</v>
      </c>
      <c r="O451" s="1174" t="s">
        <v>769</v>
      </c>
      <c r="P451" s="1207" t="s">
        <v>680</v>
      </c>
      <c r="Q451" s="1163"/>
      <c r="R451" s="1357">
        <v>32000000</v>
      </c>
      <c r="S451" s="1357">
        <v>32000000</v>
      </c>
      <c r="T451" s="1357">
        <f>+Tabla16[[#This Row],[CDPS A 31 JULIO 2022]]-Tabla16[[#This Row],[CDP]]</f>
        <v>0</v>
      </c>
      <c r="U451" s="1357">
        <v>32000000</v>
      </c>
      <c r="V451" s="1357">
        <v>14080000</v>
      </c>
      <c r="W451" s="1357"/>
      <c r="X451" s="1207"/>
      <c r="Y451" s="1207"/>
      <c r="Z451" s="1207"/>
      <c r="AA451" s="1207"/>
      <c r="AB451" s="1207"/>
      <c r="AC451" s="1207"/>
      <c r="AD451" s="1207"/>
      <c r="AE451" s="1207"/>
      <c r="AF451" s="1207"/>
      <c r="AG451" s="1207"/>
      <c r="AH451" s="1207"/>
      <c r="AI451" s="1207"/>
      <c r="AJ451" s="1207"/>
      <c r="AK451" s="1207"/>
      <c r="AL451" s="1207"/>
      <c r="AM451" s="1207"/>
      <c r="AN451" s="1207"/>
      <c r="AO451" s="1207"/>
      <c r="AP451" s="1207"/>
      <c r="AQ451" s="1207"/>
      <c r="AR451" s="1207"/>
      <c r="AS451" s="1207"/>
      <c r="AT451" s="1207"/>
      <c r="AU451" s="1207"/>
      <c r="AV451" s="1207"/>
      <c r="AW451" s="1207"/>
      <c r="AX451" s="1207"/>
      <c r="AY451" s="1207"/>
      <c r="AZ451" s="1207"/>
      <c r="BA451" s="1207"/>
      <c r="BB451" s="1207"/>
      <c r="BC451" s="1207"/>
      <c r="BD451" s="1207"/>
      <c r="BE451" s="1207"/>
      <c r="BF451" s="1207"/>
      <c r="BG451" s="1207"/>
      <c r="BH451" s="1207"/>
      <c r="BI451" s="1207"/>
      <c r="BJ451" s="1207"/>
      <c r="BK451" s="1207"/>
      <c r="BL451" s="1207"/>
      <c r="BM451" s="1207"/>
      <c r="BN451" s="1207"/>
      <c r="BO451" s="1207"/>
      <c r="BP451" s="1207"/>
      <c r="BQ451" s="1207"/>
      <c r="BR451" s="1207"/>
      <c r="BS451" s="1207"/>
      <c r="BT451" s="1207"/>
      <c r="BU451" s="1207"/>
      <c r="BV451" s="1207"/>
      <c r="BW451" s="1207"/>
      <c r="BX451" s="1207"/>
      <c r="BY451" s="1207"/>
      <c r="BZ451" s="1207"/>
      <c r="CA451" s="1207"/>
      <c r="CB451" s="1207"/>
      <c r="CC451" s="1207"/>
      <c r="CD451" s="1207"/>
      <c r="CE451" s="1207"/>
      <c r="CF451" s="1207"/>
    </row>
    <row r="452" spans="1:84" ht="105" x14ac:dyDescent="0.2">
      <c r="A452" s="1355">
        <v>2022434</v>
      </c>
      <c r="B452" s="1172">
        <v>7658</v>
      </c>
      <c r="C452" s="1356" t="s">
        <v>681</v>
      </c>
      <c r="D452" s="1190" t="s">
        <v>694</v>
      </c>
      <c r="E452" s="1174">
        <v>80111600</v>
      </c>
      <c r="F452" s="1389" t="s">
        <v>1089</v>
      </c>
      <c r="G452" s="1390">
        <v>44562</v>
      </c>
      <c r="H452" s="1390">
        <v>44592</v>
      </c>
      <c r="I452" s="1176">
        <v>10</v>
      </c>
      <c r="J452" s="1176" t="s">
        <v>675</v>
      </c>
      <c r="K452" s="1177" t="s">
        <v>676</v>
      </c>
      <c r="L452" s="1178" t="s">
        <v>677</v>
      </c>
      <c r="M452" s="1179">
        <v>24500000</v>
      </c>
      <c r="N452" s="1386" t="s">
        <v>770</v>
      </c>
      <c r="O452" s="1174" t="s">
        <v>769</v>
      </c>
      <c r="P452" s="1207" t="s">
        <v>680</v>
      </c>
      <c r="Q452" s="1163"/>
      <c r="R452" s="1357">
        <v>24500000</v>
      </c>
      <c r="S452" s="1357">
        <v>24500000</v>
      </c>
      <c r="T452" s="1357">
        <f>+Tabla16[[#This Row],[CDPS A 31 JULIO 2022]]-Tabla16[[#This Row],[CDP]]</f>
        <v>0</v>
      </c>
      <c r="U452" s="1357">
        <v>24500000</v>
      </c>
      <c r="V452" s="1357">
        <v>10290000</v>
      </c>
      <c r="W452" s="1357"/>
      <c r="X452" s="1207"/>
      <c r="Y452" s="1207"/>
      <c r="Z452" s="1207"/>
      <c r="AA452" s="1207"/>
      <c r="AB452" s="1207"/>
      <c r="AC452" s="1207"/>
      <c r="AD452" s="1207"/>
      <c r="AE452" s="1207"/>
      <c r="AF452" s="1207"/>
      <c r="AG452" s="1207"/>
      <c r="AH452" s="1207"/>
      <c r="AI452" s="1207"/>
      <c r="AJ452" s="1207"/>
      <c r="AK452" s="1207"/>
      <c r="AL452" s="1207"/>
      <c r="AM452" s="1207"/>
      <c r="AN452" s="1207"/>
      <c r="AO452" s="1207"/>
      <c r="AP452" s="1207"/>
      <c r="AQ452" s="1207"/>
      <c r="AR452" s="1207"/>
      <c r="AS452" s="1207"/>
      <c r="AT452" s="1207"/>
      <c r="AU452" s="1207"/>
      <c r="AV452" s="1207"/>
      <c r="AW452" s="1207"/>
      <c r="AX452" s="1207"/>
      <c r="AY452" s="1207"/>
      <c r="AZ452" s="1207"/>
      <c r="BA452" s="1207"/>
      <c r="BB452" s="1207"/>
      <c r="BC452" s="1207"/>
      <c r="BD452" s="1207"/>
      <c r="BE452" s="1207"/>
      <c r="BF452" s="1207"/>
      <c r="BG452" s="1207"/>
      <c r="BH452" s="1207"/>
      <c r="BI452" s="1207"/>
      <c r="BJ452" s="1207"/>
      <c r="BK452" s="1207"/>
      <c r="BL452" s="1207"/>
      <c r="BM452" s="1207"/>
      <c r="BN452" s="1207"/>
      <c r="BO452" s="1207"/>
      <c r="BP452" s="1207"/>
      <c r="BQ452" s="1207"/>
      <c r="BR452" s="1207"/>
      <c r="BS452" s="1207"/>
      <c r="BT452" s="1207"/>
      <c r="BU452" s="1207"/>
      <c r="BV452" s="1207"/>
      <c r="BW452" s="1207"/>
      <c r="BX452" s="1207"/>
      <c r="BY452" s="1207"/>
      <c r="BZ452" s="1207"/>
      <c r="CA452" s="1207"/>
      <c r="CB452" s="1207"/>
      <c r="CC452" s="1207"/>
      <c r="CD452" s="1207"/>
      <c r="CE452" s="1207"/>
      <c r="CF452" s="1207"/>
    </row>
    <row r="453" spans="1:84" ht="105" x14ac:dyDescent="0.2">
      <c r="A453" s="1355">
        <v>2022435</v>
      </c>
      <c r="B453" s="1172">
        <v>7658</v>
      </c>
      <c r="C453" s="1356" t="s">
        <v>681</v>
      </c>
      <c r="D453" s="1190" t="s">
        <v>694</v>
      </c>
      <c r="E453" s="1174">
        <v>80111600</v>
      </c>
      <c r="F453" s="1389" t="s">
        <v>1089</v>
      </c>
      <c r="G453" s="1390">
        <v>44562</v>
      </c>
      <c r="H453" s="1390">
        <v>44592</v>
      </c>
      <c r="I453" s="1176">
        <v>10</v>
      </c>
      <c r="J453" s="1176" t="s">
        <v>675</v>
      </c>
      <c r="K453" s="1177" t="s">
        <v>676</v>
      </c>
      <c r="L453" s="1178" t="s">
        <v>677</v>
      </c>
      <c r="M453" s="1179">
        <v>28500000</v>
      </c>
      <c r="N453" s="1386" t="s">
        <v>770</v>
      </c>
      <c r="O453" s="1174" t="s">
        <v>769</v>
      </c>
      <c r="P453" s="1207" t="s">
        <v>680</v>
      </c>
      <c r="Q453" s="1163"/>
      <c r="R453" s="1357">
        <v>28500000</v>
      </c>
      <c r="S453" s="1357">
        <v>28500000</v>
      </c>
      <c r="T453" s="1357">
        <f>+Tabla16[[#This Row],[CDPS A 31 JULIO 2022]]-Tabla16[[#This Row],[CDP]]</f>
        <v>0</v>
      </c>
      <c r="U453" s="1357">
        <v>28500000</v>
      </c>
      <c r="V453" s="1357">
        <v>11970000</v>
      </c>
      <c r="W453" s="1357"/>
      <c r="X453" s="1207"/>
      <c r="Y453" s="1207"/>
      <c r="Z453" s="1207"/>
      <c r="AA453" s="1207"/>
      <c r="AB453" s="1207"/>
      <c r="AC453" s="1207"/>
      <c r="AD453" s="1207"/>
      <c r="AE453" s="1207"/>
      <c r="AF453" s="1207"/>
      <c r="AG453" s="1207"/>
      <c r="AH453" s="1207"/>
      <c r="AI453" s="1207"/>
      <c r="AJ453" s="1207"/>
      <c r="AK453" s="1207"/>
      <c r="AL453" s="1207"/>
      <c r="AM453" s="1207"/>
      <c r="AN453" s="1207"/>
      <c r="AO453" s="1207"/>
      <c r="AP453" s="1207"/>
      <c r="AQ453" s="1207"/>
      <c r="AR453" s="1207"/>
      <c r="AS453" s="1207"/>
      <c r="AT453" s="1207"/>
      <c r="AU453" s="1207"/>
      <c r="AV453" s="1207"/>
      <c r="AW453" s="1207"/>
      <c r="AX453" s="1207"/>
      <c r="AY453" s="1207"/>
      <c r="AZ453" s="1207"/>
      <c r="BA453" s="1207"/>
      <c r="BB453" s="1207"/>
      <c r="BC453" s="1207"/>
      <c r="BD453" s="1207"/>
      <c r="BE453" s="1207"/>
      <c r="BF453" s="1207"/>
      <c r="BG453" s="1207"/>
      <c r="BH453" s="1207"/>
      <c r="BI453" s="1207"/>
      <c r="BJ453" s="1207"/>
      <c r="BK453" s="1207"/>
      <c r="BL453" s="1207"/>
      <c r="BM453" s="1207"/>
      <c r="BN453" s="1207"/>
      <c r="BO453" s="1207"/>
      <c r="BP453" s="1207"/>
      <c r="BQ453" s="1207"/>
      <c r="BR453" s="1207"/>
      <c r="BS453" s="1207"/>
      <c r="BT453" s="1207"/>
      <c r="BU453" s="1207"/>
      <c r="BV453" s="1207"/>
      <c r="BW453" s="1207"/>
      <c r="BX453" s="1207"/>
      <c r="BY453" s="1207"/>
      <c r="BZ453" s="1207"/>
      <c r="CA453" s="1207"/>
      <c r="CB453" s="1207"/>
      <c r="CC453" s="1207"/>
      <c r="CD453" s="1207"/>
      <c r="CE453" s="1207"/>
      <c r="CF453" s="1207"/>
    </row>
    <row r="454" spans="1:84" ht="105" x14ac:dyDescent="0.2">
      <c r="A454" s="1355">
        <v>2022436</v>
      </c>
      <c r="B454" s="1172">
        <v>7658</v>
      </c>
      <c r="C454" s="1356" t="s">
        <v>681</v>
      </c>
      <c r="D454" s="1190" t="s">
        <v>694</v>
      </c>
      <c r="E454" s="1174">
        <v>80111600</v>
      </c>
      <c r="F454" s="1389" t="s">
        <v>1089</v>
      </c>
      <c r="G454" s="1390">
        <v>44562</v>
      </c>
      <c r="H454" s="1390">
        <v>44592</v>
      </c>
      <c r="I454" s="1176">
        <v>10</v>
      </c>
      <c r="J454" s="1176" t="s">
        <v>675</v>
      </c>
      <c r="K454" s="1177" t="s">
        <v>676</v>
      </c>
      <c r="L454" s="1178" t="s">
        <v>677</v>
      </c>
      <c r="M454" s="1179">
        <f>28500000-15200000</f>
        <v>13300000</v>
      </c>
      <c r="N454" s="1386" t="s">
        <v>770</v>
      </c>
      <c r="O454" s="1174" t="s">
        <v>769</v>
      </c>
      <c r="P454" s="1207" t="s">
        <v>680</v>
      </c>
      <c r="Q454" s="1163"/>
      <c r="R454" s="1357">
        <v>28500000</v>
      </c>
      <c r="S454" s="1357">
        <v>28500000</v>
      </c>
      <c r="T454" s="1357">
        <f>+Tabla16[[#This Row],[CDPS A 31 JULIO 2022]]-Tabla16[[#This Row],[CDP]]</f>
        <v>0</v>
      </c>
      <c r="U454" s="1357">
        <v>28500000</v>
      </c>
      <c r="V454" s="1357">
        <v>12065000</v>
      </c>
      <c r="W454" s="1357"/>
      <c r="X454" s="1207"/>
      <c r="Y454" s="1207"/>
      <c r="Z454" s="1207"/>
      <c r="AA454" s="1207"/>
      <c r="AB454" s="1207"/>
      <c r="AC454" s="1207"/>
      <c r="AD454" s="1207"/>
      <c r="AE454" s="1207"/>
      <c r="AF454" s="1207"/>
      <c r="AG454" s="1207"/>
      <c r="AH454" s="1207"/>
      <c r="AI454" s="1207"/>
      <c r="AJ454" s="1207"/>
      <c r="AK454" s="1207"/>
      <c r="AL454" s="1207"/>
      <c r="AM454" s="1207"/>
      <c r="AN454" s="1207"/>
      <c r="AO454" s="1207"/>
      <c r="AP454" s="1207"/>
      <c r="AQ454" s="1207"/>
      <c r="AR454" s="1207"/>
      <c r="AS454" s="1207"/>
      <c r="AT454" s="1207"/>
      <c r="AU454" s="1207"/>
      <c r="AV454" s="1207"/>
      <c r="AW454" s="1207"/>
      <c r="AX454" s="1207"/>
      <c r="AY454" s="1207"/>
      <c r="AZ454" s="1207"/>
      <c r="BA454" s="1207"/>
      <c r="BB454" s="1207"/>
      <c r="BC454" s="1207"/>
      <c r="BD454" s="1207"/>
      <c r="BE454" s="1207"/>
      <c r="BF454" s="1207"/>
      <c r="BG454" s="1207"/>
      <c r="BH454" s="1207"/>
      <c r="BI454" s="1207"/>
      <c r="BJ454" s="1207"/>
      <c r="BK454" s="1207"/>
      <c r="BL454" s="1207"/>
      <c r="BM454" s="1207"/>
      <c r="BN454" s="1207"/>
      <c r="BO454" s="1207"/>
      <c r="BP454" s="1207"/>
      <c r="BQ454" s="1207"/>
      <c r="BR454" s="1207"/>
      <c r="BS454" s="1207"/>
      <c r="BT454" s="1207"/>
      <c r="BU454" s="1207"/>
      <c r="BV454" s="1207"/>
      <c r="BW454" s="1207"/>
      <c r="BX454" s="1207"/>
      <c r="BY454" s="1207"/>
      <c r="BZ454" s="1207"/>
      <c r="CA454" s="1207"/>
      <c r="CB454" s="1207"/>
      <c r="CC454" s="1207"/>
      <c r="CD454" s="1207"/>
      <c r="CE454" s="1207"/>
      <c r="CF454" s="1207"/>
    </row>
    <row r="455" spans="1:84" ht="105" x14ac:dyDescent="0.2">
      <c r="A455" s="1355">
        <v>2022437</v>
      </c>
      <c r="B455" s="1172">
        <v>7658</v>
      </c>
      <c r="C455" s="1356" t="s">
        <v>681</v>
      </c>
      <c r="D455" s="1190" t="s">
        <v>694</v>
      </c>
      <c r="E455" s="1174">
        <v>80111600</v>
      </c>
      <c r="F455" s="1389" t="s">
        <v>1089</v>
      </c>
      <c r="G455" s="1390">
        <v>44562</v>
      </c>
      <c r="H455" s="1390">
        <v>44592</v>
      </c>
      <c r="I455" s="1176">
        <v>10</v>
      </c>
      <c r="J455" s="1176" t="s">
        <v>675</v>
      </c>
      <c r="K455" s="1177" t="s">
        <v>676</v>
      </c>
      <c r="L455" s="1178" t="s">
        <v>677</v>
      </c>
      <c r="M455" s="1179">
        <v>24500000</v>
      </c>
      <c r="N455" s="1386" t="s">
        <v>770</v>
      </c>
      <c r="O455" s="1174" t="s">
        <v>769</v>
      </c>
      <c r="P455" s="1207" t="s">
        <v>680</v>
      </c>
      <c r="Q455" s="1163"/>
      <c r="R455" s="1357">
        <v>24500000</v>
      </c>
      <c r="S455" s="1357">
        <v>24500000</v>
      </c>
      <c r="T455" s="1357">
        <f>+Tabla16[[#This Row],[CDPS A 31 JULIO 2022]]-Tabla16[[#This Row],[CDP]]</f>
        <v>0</v>
      </c>
      <c r="U455" s="1357">
        <v>24500000</v>
      </c>
      <c r="V455" s="1357">
        <v>10861667</v>
      </c>
      <c r="W455" s="1357"/>
      <c r="X455" s="1207"/>
      <c r="Y455" s="1207"/>
      <c r="Z455" s="1207"/>
      <c r="AA455" s="1207"/>
      <c r="AB455" s="1207"/>
      <c r="AC455" s="1207"/>
      <c r="AD455" s="1207"/>
      <c r="AE455" s="1207"/>
      <c r="AF455" s="1207"/>
      <c r="AG455" s="1207"/>
      <c r="AH455" s="1207"/>
      <c r="AI455" s="1207"/>
      <c r="AJ455" s="1207"/>
      <c r="AK455" s="1207"/>
      <c r="AL455" s="1207"/>
      <c r="AM455" s="1207"/>
      <c r="AN455" s="1207"/>
      <c r="AO455" s="1207"/>
      <c r="AP455" s="1207"/>
      <c r="AQ455" s="1207"/>
      <c r="AR455" s="1207"/>
      <c r="AS455" s="1207"/>
      <c r="AT455" s="1207"/>
      <c r="AU455" s="1207"/>
      <c r="AV455" s="1207"/>
      <c r="AW455" s="1207"/>
      <c r="AX455" s="1207"/>
      <c r="AY455" s="1207"/>
      <c r="AZ455" s="1207"/>
      <c r="BA455" s="1207"/>
      <c r="BB455" s="1207"/>
      <c r="BC455" s="1207"/>
      <c r="BD455" s="1207"/>
      <c r="BE455" s="1207"/>
      <c r="BF455" s="1207"/>
      <c r="BG455" s="1207"/>
      <c r="BH455" s="1207"/>
      <c r="BI455" s="1207"/>
      <c r="BJ455" s="1207"/>
      <c r="BK455" s="1207"/>
      <c r="BL455" s="1207"/>
      <c r="BM455" s="1207"/>
      <c r="BN455" s="1207"/>
      <c r="BO455" s="1207"/>
      <c r="BP455" s="1207"/>
      <c r="BQ455" s="1207"/>
      <c r="BR455" s="1207"/>
      <c r="BS455" s="1207"/>
      <c r="BT455" s="1207"/>
      <c r="BU455" s="1207"/>
      <c r="BV455" s="1207"/>
      <c r="BW455" s="1207"/>
      <c r="BX455" s="1207"/>
      <c r="BY455" s="1207"/>
      <c r="BZ455" s="1207"/>
      <c r="CA455" s="1207"/>
      <c r="CB455" s="1207"/>
      <c r="CC455" s="1207"/>
      <c r="CD455" s="1207"/>
      <c r="CE455" s="1207"/>
      <c r="CF455" s="1207"/>
    </row>
    <row r="456" spans="1:84" ht="105" x14ac:dyDescent="0.2">
      <c r="A456" s="1355">
        <v>2022438</v>
      </c>
      <c r="B456" s="1172">
        <v>7658</v>
      </c>
      <c r="C456" s="1356" t="s">
        <v>681</v>
      </c>
      <c r="D456" s="1190" t="s">
        <v>694</v>
      </c>
      <c r="E456" s="1174">
        <v>80111600</v>
      </c>
      <c r="F456" s="1389" t="s">
        <v>1089</v>
      </c>
      <c r="G456" s="1390">
        <v>44562</v>
      </c>
      <c r="H456" s="1390">
        <v>44592</v>
      </c>
      <c r="I456" s="1176">
        <v>10</v>
      </c>
      <c r="J456" s="1176" t="s">
        <v>675</v>
      </c>
      <c r="K456" s="1177" t="s">
        <v>676</v>
      </c>
      <c r="L456" s="1178" t="s">
        <v>677</v>
      </c>
      <c r="M456" s="1179">
        <v>24500000</v>
      </c>
      <c r="N456" s="1386" t="s">
        <v>770</v>
      </c>
      <c r="O456" s="1174" t="s">
        <v>769</v>
      </c>
      <c r="P456" s="1207" t="s">
        <v>680</v>
      </c>
      <c r="Q456" s="1163"/>
      <c r="R456" s="1357">
        <v>24500000</v>
      </c>
      <c r="S456" s="1357">
        <v>24500000</v>
      </c>
      <c r="T456" s="1357">
        <f>+Tabla16[[#This Row],[CDPS A 31 JULIO 2022]]-Tabla16[[#This Row],[CDP]]</f>
        <v>0</v>
      </c>
      <c r="U456" s="1357">
        <v>24500000</v>
      </c>
      <c r="V456" s="1357">
        <v>10780000</v>
      </c>
      <c r="W456" s="1357"/>
      <c r="X456" s="1207"/>
      <c r="Y456" s="1207"/>
      <c r="Z456" s="1207"/>
      <c r="AA456" s="1207"/>
      <c r="AB456" s="1207"/>
      <c r="AC456" s="1207"/>
      <c r="AD456" s="1207"/>
      <c r="AE456" s="1207"/>
      <c r="AF456" s="1207"/>
      <c r="AG456" s="1207"/>
      <c r="AH456" s="1207"/>
      <c r="AI456" s="1207"/>
      <c r="AJ456" s="1207"/>
      <c r="AK456" s="1207"/>
      <c r="AL456" s="1207"/>
      <c r="AM456" s="1207"/>
      <c r="AN456" s="1207"/>
      <c r="AO456" s="1207"/>
      <c r="AP456" s="1207"/>
      <c r="AQ456" s="1207"/>
      <c r="AR456" s="1207"/>
      <c r="AS456" s="1207"/>
      <c r="AT456" s="1207"/>
      <c r="AU456" s="1207"/>
      <c r="AV456" s="1207"/>
      <c r="AW456" s="1207"/>
      <c r="AX456" s="1207"/>
      <c r="AY456" s="1207"/>
      <c r="AZ456" s="1207"/>
      <c r="BA456" s="1207"/>
      <c r="BB456" s="1207"/>
      <c r="BC456" s="1207"/>
      <c r="BD456" s="1207"/>
      <c r="BE456" s="1207"/>
      <c r="BF456" s="1207"/>
      <c r="BG456" s="1207"/>
      <c r="BH456" s="1207"/>
      <c r="BI456" s="1207"/>
      <c r="BJ456" s="1207"/>
      <c r="BK456" s="1207"/>
      <c r="BL456" s="1207"/>
      <c r="BM456" s="1207"/>
      <c r="BN456" s="1207"/>
      <c r="BO456" s="1207"/>
      <c r="BP456" s="1207"/>
      <c r="BQ456" s="1207"/>
      <c r="BR456" s="1207"/>
      <c r="BS456" s="1207"/>
      <c r="BT456" s="1207"/>
      <c r="BU456" s="1207"/>
      <c r="BV456" s="1207"/>
      <c r="BW456" s="1207"/>
      <c r="BX456" s="1207"/>
      <c r="BY456" s="1207"/>
      <c r="BZ456" s="1207"/>
      <c r="CA456" s="1207"/>
      <c r="CB456" s="1207"/>
      <c r="CC456" s="1207"/>
      <c r="CD456" s="1207"/>
      <c r="CE456" s="1207"/>
      <c r="CF456" s="1207"/>
    </row>
    <row r="457" spans="1:84" ht="105" x14ac:dyDescent="0.2">
      <c r="A457" s="1355">
        <v>2022439</v>
      </c>
      <c r="B457" s="1172">
        <v>7658</v>
      </c>
      <c r="C457" s="1356" t="s">
        <v>681</v>
      </c>
      <c r="D457" s="1190" t="s">
        <v>694</v>
      </c>
      <c r="E457" s="1174">
        <v>80111600</v>
      </c>
      <c r="F457" s="1389" t="s">
        <v>1089</v>
      </c>
      <c r="G457" s="1390">
        <v>44562</v>
      </c>
      <c r="H457" s="1390">
        <v>44592</v>
      </c>
      <c r="I457" s="1176">
        <v>10</v>
      </c>
      <c r="J457" s="1176" t="s">
        <v>675</v>
      </c>
      <c r="K457" s="1177" t="s">
        <v>676</v>
      </c>
      <c r="L457" s="1178" t="s">
        <v>677</v>
      </c>
      <c r="M457" s="1179">
        <v>18000000</v>
      </c>
      <c r="N457" s="1386" t="s">
        <v>770</v>
      </c>
      <c r="O457" s="1174" t="s">
        <v>769</v>
      </c>
      <c r="P457" s="1207" t="s">
        <v>680</v>
      </c>
      <c r="Q457" s="1163"/>
      <c r="R457" s="1357">
        <v>18000000</v>
      </c>
      <c r="S457" s="1357">
        <v>18000000</v>
      </c>
      <c r="T457" s="1357">
        <f>+Tabla16[[#This Row],[CDPS A 31 JULIO 2022]]-Tabla16[[#This Row],[CDP]]</f>
        <v>0</v>
      </c>
      <c r="U457" s="1357">
        <v>18000000</v>
      </c>
      <c r="V457" s="1357">
        <v>7500000</v>
      </c>
      <c r="W457" s="1357"/>
      <c r="X457" s="1207"/>
      <c r="Y457" s="1207"/>
      <c r="Z457" s="1207"/>
      <c r="AA457" s="1207"/>
      <c r="AB457" s="1207"/>
      <c r="AC457" s="1207"/>
      <c r="AD457" s="1207"/>
      <c r="AE457" s="1207"/>
      <c r="AF457" s="1207"/>
      <c r="AG457" s="1207"/>
      <c r="AH457" s="1207"/>
      <c r="AI457" s="1207"/>
      <c r="AJ457" s="1207"/>
      <c r="AK457" s="1207"/>
      <c r="AL457" s="1207"/>
      <c r="AM457" s="1207"/>
      <c r="AN457" s="1207"/>
      <c r="AO457" s="1207"/>
      <c r="AP457" s="1207"/>
      <c r="AQ457" s="1207"/>
      <c r="AR457" s="1207"/>
      <c r="AS457" s="1207"/>
      <c r="AT457" s="1207"/>
      <c r="AU457" s="1207"/>
      <c r="AV457" s="1207"/>
      <c r="AW457" s="1207"/>
      <c r="AX457" s="1207"/>
      <c r="AY457" s="1207"/>
      <c r="AZ457" s="1207"/>
      <c r="BA457" s="1207"/>
      <c r="BB457" s="1207"/>
      <c r="BC457" s="1207"/>
      <c r="BD457" s="1207"/>
      <c r="BE457" s="1207"/>
      <c r="BF457" s="1207"/>
      <c r="BG457" s="1207"/>
      <c r="BH457" s="1207"/>
      <c r="BI457" s="1207"/>
      <c r="BJ457" s="1207"/>
      <c r="BK457" s="1207"/>
      <c r="BL457" s="1207"/>
      <c r="BM457" s="1207"/>
      <c r="BN457" s="1207"/>
      <c r="BO457" s="1207"/>
      <c r="BP457" s="1207"/>
      <c r="BQ457" s="1207"/>
      <c r="BR457" s="1207"/>
      <c r="BS457" s="1207"/>
      <c r="BT457" s="1207"/>
      <c r="BU457" s="1207"/>
      <c r="BV457" s="1207"/>
      <c r="BW457" s="1207"/>
      <c r="BX457" s="1207"/>
      <c r="BY457" s="1207"/>
      <c r="BZ457" s="1207"/>
      <c r="CA457" s="1207"/>
      <c r="CB457" s="1207"/>
      <c r="CC457" s="1207"/>
      <c r="CD457" s="1207"/>
      <c r="CE457" s="1207"/>
      <c r="CF457" s="1207"/>
    </row>
    <row r="458" spans="1:84" ht="105" x14ac:dyDescent="0.2">
      <c r="A458" s="1355">
        <v>2022440</v>
      </c>
      <c r="B458" s="1172">
        <v>7658</v>
      </c>
      <c r="C458" s="1356" t="s">
        <v>681</v>
      </c>
      <c r="D458" s="1190" t="s">
        <v>694</v>
      </c>
      <c r="E458" s="1174">
        <v>80111600</v>
      </c>
      <c r="F458" s="1389" t="s">
        <v>1089</v>
      </c>
      <c r="G458" s="1390">
        <v>44562</v>
      </c>
      <c r="H458" s="1390">
        <v>44592</v>
      </c>
      <c r="I458" s="1176">
        <v>10</v>
      </c>
      <c r="J458" s="1176" t="s">
        <v>675</v>
      </c>
      <c r="K458" s="1177" t="s">
        <v>676</v>
      </c>
      <c r="L458" s="1178" t="s">
        <v>677</v>
      </c>
      <c r="M458" s="1179">
        <v>24500000</v>
      </c>
      <c r="N458" s="1386" t="s">
        <v>770</v>
      </c>
      <c r="O458" s="1174" t="s">
        <v>769</v>
      </c>
      <c r="P458" s="1207" t="s">
        <v>680</v>
      </c>
      <c r="Q458" s="1163"/>
      <c r="R458" s="1357">
        <v>24500000</v>
      </c>
      <c r="S458" s="1357">
        <v>24500000</v>
      </c>
      <c r="T458" s="1357">
        <f>+Tabla16[[#This Row],[CDPS A 31 JULIO 2022]]-Tabla16[[#This Row],[CDP]]</f>
        <v>0</v>
      </c>
      <c r="U458" s="1357">
        <v>24500000</v>
      </c>
      <c r="V458" s="1357">
        <v>10698333</v>
      </c>
      <c r="W458" s="1357"/>
      <c r="X458" s="1207"/>
      <c r="Y458" s="1207"/>
      <c r="Z458" s="1207"/>
      <c r="AA458" s="1207"/>
      <c r="AB458" s="1207"/>
      <c r="AC458" s="1207"/>
      <c r="AD458" s="1207"/>
      <c r="AE458" s="1207"/>
      <c r="AF458" s="1207"/>
      <c r="AG458" s="1207"/>
      <c r="AH458" s="1207"/>
      <c r="AI458" s="1207"/>
      <c r="AJ458" s="1207"/>
      <c r="AK458" s="1207"/>
      <c r="AL458" s="1207"/>
      <c r="AM458" s="1207"/>
      <c r="AN458" s="1207"/>
      <c r="AO458" s="1207"/>
      <c r="AP458" s="1207"/>
      <c r="AQ458" s="1207"/>
      <c r="AR458" s="1207"/>
      <c r="AS458" s="1207"/>
      <c r="AT458" s="1207"/>
      <c r="AU458" s="1207"/>
      <c r="AV458" s="1207"/>
      <c r="AW458" s="1207"/>
      <c r="AX458" s="1207"/>
      <c r="AY458" s="1207"/>
      <c r="AZ458" s="1207"/>
      <c r="BA458" s="1207"/>
      <c r="BB458" s="1207"/>
      <c r="BC458" s="1207"/>
      <c r="BD458" s="1207"/>
      <c r="BE458" s="1207"/>
      <c r="BF458" s="1207"/>
      <c r="BG458" s="1207"/>
      <c r="BH458" s="1207"/>
      <c r="BI458" s="1207"/>
      <c r="BJ458" s="1207"/>
      <c r="BK458" s="1207"/>
      <c r="BL458" s="1207"/>
      <c r="BM458" s="1207"/>
      <c r="BN458" s="1207"/>
      <c r="BO458" s="1207"/>
      <c r="BP458" s="1207"/>
      <c r="BQ458" s="1207"/>
      <c r="BR458" s="1207"/>
      <c r="BS458" s="1207"/>
      <c r="BT458" s="1207"/>
      <c r="BU458" s="1207"/>
      <c r="BV458" s="1207"/>
      <c r="BW458" s="1207"/>
      <c r="BX458" s="1207"/>
      <c r="BY458" s="1207"/>
      <c r="BZ458" s="1207"/>
      <c r="CA458" s="1207"/>
      <c r="CB458" s="1207"/>
      <c r="CC458" s="1207"/>
      <c r="CD458" s="1207"/>
      <c r="CE458" s="1207"/>
      <c r="CF458" s="1207"/>
    </row>
    <row r="459" spans="1:84" ht="105" x14ac:dyDescent="0.2">
      <c r="A459" s="1355">
        <v>2022441</v>
      </c>
      <c r="B459" s="1172">
        <v>7658</v>
      </c>
      <c r="C459" s="1356" t="s">
        <v>681</v>
      </c>
      <c r="D459" s="1190" t="s">
        <v>694</v>
      </c>
      <c r="E459" s="1174">
        <v>80111600</v>
      </c>
      <c r="F459" s="1389" t="s">
        <v>1089</v>
      </c>
      <c r="G459" s="1390">
        <v>44562</v>
      </c>
      <c r="H459" s="1390">
        <v>44592</v>
      </c>
      <c r="I459" s="1176">
        <v>10</v>
      </c>
      <c r="J459" s="1176" t="s">
        <v>675</v>
      </c>
      <c r="K459" s="1177" t="s">
        <v>676</v>
      </c>
      <c r="L459" s="1178" t="s">
        <v>677</v>
      </c>
      <c r="M459" s="1179">
        <v>28500000</v>
      </c>
      <c r="N459" s="1386" t="s">
        <v>770</v>
      </c>
      <c r="O459" s="1174" t="s">
        <v>769</v>
      </c>
      <c r="P459" s="1207" t="s">
        <v>680</v>
      </c>
      <c r="Q459" s="1163"/>
      <c r="R459" s="1357">
        <v>13300000</v>
      </c>
      <c r="S459" s="1357">
        <v>28500000</v>
      </c>
      <c r="T459" s="1357">
        <f>+Tabla16[[#This Row],[CDPS A 31 JULIO 2022]]-Tabla16[[#This Row],[CDP]]</f>
        <v>-15200000</v>
      </c>
      <c r="U459" s="1357">
        <v>28500000</v>
      </c>
      <c r="V459" s="1357">
        <v>12065000</v>
      </c>
      <c r="W459" s="1357"/>
      <c r="X459" s="1207"/>
      <c r="Y459" s="1207"/>
      <c r="Z459" s="1207"/>
      <c r="AA459" s="1207"/>
      <c r="AB459" s="1207"/>
      <c r="AC459" s="1207"/>
      <c r="AD459" s="1207"/>
      <c r="AE459" s="1207"/>
      <c r="AF459" s="1207"/>
      <c r="AG459" s="1207"/>
      <c r="AH459" s="1207"/>
      <c r="AI459" s="1207"/>
      <c r="AJ459" s="1207"/>
      <c r="AK459" s="1207"/>
      <c r="AL459" s="1207"/>
      <c r="AM459" s="1207"/>
      <c r="AN459" s="1207"/>
      <c r="AO459" s="1207"/>
      <c r="AP459" s="1207"/>
      <c r="AQ459" s="1207"/>
      <c r="AR459" s="1207"/>
      <c r="AS459" s="1207"/>
      <c r="AT459" s="1207"/>
      <c r="AU459" s="1207"/>
      <c r="AV459" s="1207"/>
      <c r="AW459" s="1207"/>
      <c r="AX459" s="1207"/>
      <c r="AY459" s="1207"/>
      <c r="AZ459" s="1207"/>
      <c r="BA459" s="1207"/>
      <c r="BB459" s="1207"/>
      <c r="BC459" s="1207"/>
      <c r="BD459" s="1207"/>
      <c r="BE459" s="1207"/>
      <c r="BF459" s="1207"/>
      <c r="BG459" s="1207"/>
      <c r="BH459" s="1207"/>
      <c r="BI459" s="1207"/>
      <c r="BJ459" s="1207"/>
      <c r="BK459" s="1207"/>
      <c r="BL459" s="1207"/>
      <c r="BM459" s="1207"/>
      <c r="BN459" s="1207"/>
      <c r="BO459" s="1207"/>
      <c r="BP459" s="1207"/>
      <c r="BQ459" s="1207"/>
      <c r="BR459" s="1207"/>
      <c r="BS459" s="1207"/>
      <c r="BT459" s="1207"/>
      <c r="BU459" s="1207"/>
      <c r="BV459" s="1207"/>
      <c r="BW459" s="1207"/>
      <c r="BX459" s="1207"/>
      <c r="BY459" s="1207"/>
      <c r="BZ459" s="1207"/>
      <c r="CA459" s="1207"/>
      <c r="CB459" s="1207"/>
      <c r="CC459" s="1207"/>
      <c r="CD459" s="1207"/>
      <c r="CE459" s="1207"/>
      <c r="CF459" s="1207"/>
    </row>
    <row r="460" spans="1:84" ht="105" x14ac:dyDescent="0.2">
      <c r="A460" s="1355">
        <v>2022442</v>
      </c>
      <c r="B460" s="1172">
        <v>7658</v>
      </c>
      <c r="C460" s="1356" t="s">
        <v>681</v>
      </c>
      <c r="D460" s="1190" t="s">
        <v>694</v>
      </c>
      <c r="E460" s="1174">
        <v>80111600</v>
      </c>
      <c r="F460" s="1389" t="s">
        <v>1090</v>
      </c>
      <c r="G460" s="1390">
        <v>44562</v>
      </c>
      <c r="H460" s="1390">
        <v>44592</v>
      </c>
      <c r="I460" s="1176">
        <v>10</v>
      </c>
      <c r="J460" s="1176" t="s">
        <v>675</v>
      </c>
      <c r="K460" s="1177" t="s">
        <v>676</v>
      </c>
      <c r="L460" s="1178" t="s">
        <v>677</v>
      </c>
      <c r="M460" s="1179">
        <f>56650000-32668167</f>
        <v>23981833</v>
      </c>
      <c r="N460" s="1386" t="s">
        <v>770</v>
      </c>
      <c r="O460" s="1174" t="s">
        <v>769</v>
      </c>
      <c r="P460" s="1207" t="s">
        <v>680</v>
      </c>
      <c r="Q460" s="1163"/>
      <c r="R460" s="1357">
        <v>56650000</v>
      </c>
      <c r="S460" s="1357">
        <v>56650000</v>
      </c>
      <c r="T460" s="1357">
        <f>+Tabla16[[#This Row],[CDPS A 31 JULIO 2022]]-Tabla16[[#This Row],[CDP]]</f>
        <v>0</v>
      </c>
      <c r="U460" s="1357">
        <v>56650000</v>
      </c>
      <c r="V460" s="1357">
        <v>23981833</v>
      </c>
      <c r="W460" s="1357"/>
      <c r="X460" s="1207"/>
      <c r="Y460" s="1207"/>
      <c r="Z460" s="1207"/>
      <c r="AA460" s="1207"/>
      <c r="AB460" s="1207"/>
      <c r="AC460" s="1207"/>
      <c r="AD460" s="1207"/>
      <c r="AE460" s="1207"/>
      <c r="AF460" s="1207"/>
      <c r="AG460" s="1207"/>
      <c r="AH460" s="1207"/>
      <c r="AI460" s="1207"/>
      <c r="AJ460" s="1207"/>
      <c r="AK460" s="1207"/>
      <c r="AL460" s="1207"/>
      <c r="AM460" s="1207"/>
      <c r="AN460" s="1207"/>
      <c r="AO460" s="1207"/>
      <c r="AP460" s="1207"/>
      <c r="AQ460" s="1207"/>
      <c r="AR460" s="1207"/>
      <c r="AS460" s="1207"/>
      <c r="AT460" s="1207"/>
      <c r="AU460" s="1207"/>
      <c r="AV460" s="1207"/>
      <c r="AW460" s="1207"/>
      <c r="AX460" s="1207"/>
      <c r="AY460" s="1207"/>
      <c r="AZ460" s="1207"/>
      <c r="BA460" s="1207"/>
      <c r="BB460" s="1207"/>
      <c r="BC460" s="1207"/>
      <c r="BD460" s="1207"/>
      <c r="BE460" s="1207"/>
      <c r="BF460" s="1207"/>
      <c r="BG460" s="1207"/>
      <c r="BH460" s="1207"/>
      <c r="BI460" s="1207"/>
      <c r="BJ460" s="1207"/>
      <c r="BK460" s="1207"/>
      <c r="BL460" s="1207"/>
      <c r="BM460" s="1207"/>
      <c r="BN460" s="1207"/>
      <c r="BO460" s="1207"/>
      <c r="BP460" s="1207"/>
      <c r="BQ460" s="1207"/>
      <c r="BR460" s="1207"/>
      <c r="BS460" s="1207"/>
      <c r="BT460" s="1207"/>
      <c r="BU460" s="1207"/>
      <c r="BV460" s="1207"/>
      <c r="BW460" s="1207"/>
      <c r="BX460" s="1207"/>
      <c r="BY460" s="1207"/>
      <c r="BZ460" s="1207"/>
      <c r="CA460" s="1207"/>
      <c r="CB460" s="1207"/>
      <c r="CC460" s="1207"/>
      <c r="CD460" s="1207"/>
      <c r="CE460" s="1207"/>
      <c r="CF460" s="1207"/>
    </row>
    <row r="461" spans="1:84" ht="105" x14ac:dyDescent="0.2">
      <c r="A461" s="1355">
        <v>2022443</v>
      </c>
      <c r="B461" s="1172">
        <v>7658</v>
      </c>
      <c r="C461" s="1356" t="s">
        <v>681</v>
      </c>
      <c r="D461" s="1190" t="s">
        <v>694</v>
      </c>
      <c r="E461" s="1174">
        <v>80111600</v>
      </c>
      <c r="F461" s="1389" t="s">
        <v>1091</v>
      </c>
      <c r="G461" s="1390">
        <v>44562</v>
      </c>
      <c r="H461" s="1390">
        <v>44592</v>
      </c>
      <c r="I461" s="1176">
        <v>10</v>
      </c>
      <c r="J461" s="1176" t="s">
        <v>675</v>
      </c>
      <c r="K461" s="1177" t="s">
        <v>676</v>
      </c>
      <c r="L461" s="1178" t="s">
        <v>677</v>
      </c>
      <c r="M461" s="1179">
        <v>46350000</v>
      </c>
      <c r="N461" s="1386" t="s">
        <v>770</v>
      </c>
      <c r="O461" s="1174" t="s">
        <v>769</v>
      </c>
      <c r="P461" s="1207" t="s">
        <v>680</v>
      </c>
      <c r="Q461" s="1163"/>
      <c r="R461" s="1357">
        <v>46350000</v>
      </c>
      <c r="S461" s="1357">
        <v>46350000</v>
      </c>
      <c r="T461" s="1357">
        <f>+Tabla16[[#This Row],[CDPS A 31 JULIO 2022]]-Tabla16[[#This Row],[CDP]]</f>
        <v>0</v>
      </c>
      <c r="U461" s="1357">
        <v>46350000</v>
      </c>
      <c r="V461" s="1357">
        <v>19467000</v>
      </c>
      <c r="W461" s="1357"/>
      <c r="X461" s="1207"/>
      <c r="Y461" s="1207"/>
      <c r="Z461" s="1207"/>
      <c r="AA461" s="1207"/>
      <c r="AB461" s="1207"/>
      <c r="AC461" s="1207"/>
      <c r="AD461" s="1207"/>
      <c r="AE461" s="1207"/>
      <c r="AF461" s="1207"/>
      <c r="AG461" s="1207"/>
      <c r="AH461" s="1207"/>
      <c r="AI461" s="1207"/>
      <c r="AJ461" s="1207"/>
      <c r="AK461" s="1207"/>
      <c r="AL461" s="1207"/>
      <c r="AM461" s="1207"/>
      <c r="AN461" s="1207"/>
      <c r="AO461" s="1207"/>
      <c r="AP461" s="1207"/>
      <c r="AQ461" s="1207"/>
      <c r="AR461" s="1207"/>
      <c r="AS461" s="1207"/>
      <c r="AT461" s="1207"/>
      <c r="AU461" s="1207"/>
      <c r="AV461" s="1207"/>
      <c r="AW461" s="1207"/>
      <c r="AX461" s="1207"/>
      <c r="AY461" s="1207"/>
      <c r="AZ461" s="1207"/>
      <c r="BA461" s="1207"/>
      <c r="BB461" s="1207"/>
      <c r="BC461" s="1207"/>
      <c r="BD461" s="1207"/>
      <c r="BE461" s="1207"/>
      <c r="BF461" s="1207"/>
      <c r="BG461" s="1207"/>
      <c r="BH461" s="1207"/>
      <c r="BI461" s="1207"/>
      <c r="BJ461" s="1207"/>
      <c r="BK461" s="1207"/>
      <c r="BL461" s="1207"/>
      <c r="BM461" s="1207"/>
      <c r="BN461" s="1207"/>
      <c r="BO461" s="1207"/>
      <c r="BP461" s="1207"/>
      <c r="BQ461" s="1207"/>
      <c r="BR461" s="1207"/>
      <c r="BS461" s="1207"/>
      <c r="BT461" s="1207"/>
      <c r="BU461" s="1207"/>
      <c r="BV461" s="1207"/>
      <c r="BW461" s="1207"/>
      <c r="BX461" s="1207"/>
      <c r="BY461" s="1207"/>
      <c r="BZ461" s="1207"/>
      <c r="CA461" s="1207"/>
      <c r="CB461" s="1207"/>
      <c r="CC461" s="1207"/>
      <c r="CD461" s="1207"/>
      <c r="CE461" s="1207"/>
      <c r="CF461" s="1207"/>
    </row>
    <row r="462" spans="1:84" ht="105" x14ac:dyDescent="0.2">
      <c r="A462" s="1355">
        <v>2022444</v>
      </c>
      <c r="B462" s="1172">
        <v>7658</v>
      </c>
      <c r="C462" s="1356" t="s">
        <v>681</v>
      </c>
      <c r="D462" s="1190" t="s">
        <v>694</v>
      </c>
      <c r="E462" s="1174">
        <v>80111600</v>
      </c>
      <c r="F462" s="1389" t="s">
        <v>1091</v>
      </c>
      <c r="G462" s="1390">
        <v>44562</v>
      </c>
      <c r="H462" s="1390">
        <v>44592</v>
      </c>
      <c r="I462" s="1176">
        <v>10</v>
      </c>
      <c r="J462" s="1176" t="s">
        <v>675</v>
      </c>
      <c r="K462" s="1177" t="s">
        <v>676</v>
      </c>
      <c r="L462" s="1178" t="s">
        <v>677</v>
      </c>
      <c r="M462" s="1179">
        <v>45000000</v>
      </c>
      <c r="N462" s="1386" t="s">
        <v>770</v>
      </c>
      <c r="O462" s="1174" t="s">
        <v>769</v>
      </c>
      <c r="P462" s="1207" t="s">
        <v>680</v>
      </c>
      <c r="Q462" s="1163"/>
      <c r="R462" s="1357">
        <v>45000000</v>
      </c>
      <c r="S462" s="1357">
        <v>45000000</v>
      </c>
      <c r="T462" s="1357">
        <f>+Tabla16[[#This Row],[CDPS A 31 JULIO 2022]]-Tabla16[[#This Row],[CDP]]</f>
        <v>0</v>
      </c>
      <c r="U462" s="1357">
        <v>45000000</v>
      </c>
      <c r="V462" s="1357">
        <v>19050000</v>
      </c>
      <c r="W462" s="1357"/>
      <c r="X462" s="1207"/>
      <c r="Y462" s="1207"/>
      <c r="Z462" s="1207"/>
      <c r="AA462" s="1207"/>
      <c r="AB462" s="1207"/>
      <c r="AC462" s="1207"/>
      <c r="AD462" s="1207"/>
      <c r="AE462" s="1207"/>
      <c r="AF462" s="1207"/>
      <c r="AG462" s="1207"/>
      <c r="AH462" s="1207"/>
      <c r="AI462" s="1207"/>
      <c r="AJ462" s="1207"/>
      <c r="AK462" s="1207"/>
      <c r="AL462" s="1207"/>
      <c r="AM462" s="1207"/>
      <c r="AN462" s="1207"/>
      <c r="AO462" s="1207"/>
      <c r="AP462" s="1207"/>
      <c r="AQ462" s="1207"/>
      <c r="AR462" s="1207"/>
      <c r="AS462" s="1207"/>
      <c r="AT462" s="1207"/>
      <c r="AU462" s="1207"/>
      <c r="AV462" s="1207"/>
      <c r="AW462" s="1207"/>
      <c r="AX462" s="1207"/>
      <c r="AY462" s="1207"/>
      <c r="AZ462" s="1207"/>
      <c r="BA462" s="1207"/>
      <c r="BB462" s="1207"/>
      <c r="BC462" s="1207"/>
      <c r="BD462" s="1207"/>
      <c r="BE462" s="1207"/>
      <c r="BF462" s="1207"/>
      <c r="BG462" s="1207"/>
      <c r="BH462" s="1207"/>
      <c r="BI462" s="1207"/>
      <c r="BJ462" s="1207"/>
      <c r="BK462" s="1207"/>
      <c r="BL462" s="1207"/>
      <c r="BM462" s="1207"/>
      <c r="BN462" s="1207"/>
      <c r="BO462" s="1207"/>
      <c r="BP462" s="1207"/>
      <c r="BQ462" s="1207"/>
      <c r="BR462" s="1207"/>
      <c r="BS462" s="1207"/>
      <c r="BT462" s="1207"/>
      <c r="BU462" s="1207"/>
      <c r="BV462" s="1207"/>
      <c r="BW462" s="1207"/>
      <c r="BX462" s="1207"/>
      <c r="BY462" s="1207"/>
      <c r="BZ462" s="1207"/>
      <c r="CA462" s="1207"/>
      <c r="CB462" s="1207"/>
      <c r="CC462" s="1207"/>
      <c r="CD462" s="1207"/>
      <c r="CE462" s="1207"/>
      <c r="CF462" s="1207"/>
    </row>
    <row r="463" spans="1:84" ht="105" x14ac:dyDescent="0.2">
      <c r="A463" s="1355">
        <v>2022445</v>
      </c>
      <c r="B463" s="1172">
        <v>7658</v>
      </c>
      <c r="C463" s="1356" t="s">
        <v>681</v>
      </c>
      <c r="D463" s="1190" t="s">
        <v>694</v>
      </c>
      <c r="E463" s="1174">
        <v>80111600</v>
      </c>
      <c r="F463" s="1389" t="s">
        <v>1092</v>
      </c>
      <c r="G463" s="1390">
        <v>44562</v>
      </c>
      <c r="H463" s="1390">
        <v>44592</v>
      </c>
      <c r="I463" s="1176">
        <v>6</v>
      </c>
      <c r="J463" s="1176" t="s">
        <v>675</v>
      </c>
      <c r="K463" s="1177" t="s">
        <v>676</v>
      </c>
      <c r="L463" s="1178" t="s">
        <v>677</v>
      </c>
      <c r="M463" s="1179">
        <v>27810000</v>
      </c>
      <c r="N463" s="1386" t="s">
        <v>770</v>
      </c>
      <c r="O463" s="1174" t="s">
        <v>769</v>
      </c>
      <c r="P463" s="1207" t="s">
        <v>680</v>
      </c>
      <c r="Q463" s="1163"/>
      <c r="R463" s="1357">
        <v>27810000</v>
      </c>
      <c r="S463" s="1357">
        <v>27810000</v>
      </c>
      <c r="T463" s="1357">
        <f>+Tabla16[[#This Row],[CDPS A 31 JULIO 2022]]-Tabla16[[#This Row],[CDP]]</f>
        <v>0</v>
      </c>
      <c r="U463" s="1357">
        <v>27810000</v>
      </c>
      <c r="V463" s="1357">
        <v>19003500</v>
      </c>
      <c r="W463" s="1357"/>
      <c r="X463" s="1207"/>
      <c r="Y463" s="1207"/>
      <c r="Z463" s="1207"/>
      <c r="AA463" s="1207"/>
      <c r="AB463" s="1207"/>
      <c r="AC463" s="1207"/>
      <c r="AD463" s="1207"/>
      <c r="AE463" s="1207"/>
      <c r="AF463" s="1207"/>
      <c r="AG463" s="1207"/>
      <c r="AH463" s="1207"/>
      <c r="AI463" s="1207"/>
      <c r="AJ463" s="1207"/>
      <c r="AK463" s="1207"/>
      <c r="AL463" s="1207"/>
      <c r="AM463" s="1207"/>
      <c r="AN463" s="1207"/>
      <c r="AO463" s="1207"/>
      <c r="AP463" s="1207"/>
      <c r="AQ463" s="1207"/>
      <c r="AR463" s="1207"/>
      <c r="AS463" s="1207"/>
      <c r="AT463" s="1207"/>
      <c r="AU463" s="1207"/>
      <c r="AV463" s="1207"/>
      <c r="AW463" s="1207"/>
      <c r="AX463" s="1207"/>
      <c r="AY463" s="1207"/>
      <c r="AZ463" s="1207"/>
      <c r="BA463" s="1207"/>
      <c r="BB463" s="1207"/>
      <c r="BC463" s="1207"/>
      <c r="BD463" s="1207"/>
      <c r="BE463" s="1207"/>
      <c r="BF463" s="1207"/>
      <c r="BG463" s="1207"/>
      <c r="BH463" s="1207"/>
      <c r="BI463" s="1207"/>
      <c r="BJ463" s="1207"/>
      <c r="BK463" s="1207"/>
      <c r="BL463" s="1207"/>
      <c r="BM463" s="1207"/>
      <c r="BN463" s="1207"/>
      <c r="BO463" s="1207"/>
      <c r="BP463" s="1207"/>
      <c r="BQ463" s="1207"/>
      <c r="BR463" s="1207"/>
      <c r="BS463" s="1207"/>
      <c r="BT463" s="1207"/>
      <c r="BU463" s="1207"/>
      <c r="BV463" s="1207"/>
      <c r="BW463" s="1207"/>
      <c r="BX463" s="1207"/>
      <c r="BY463" s="1207"/>
      <c r="BZ463" s="1207"/>
      <c r="CA463" s="1207"/>
      <c r="CB463" s="1207"/>
      <c r="CC463" s="1207"/>
      <c r="CD463" s="1207"/>
      <c r="CE463" s="1207"/>
      <c r="CF463" s="1207"/>
    </row>
    <row r="464" spans="1:84" ht="105" x14ac:dyDescent="0.2">
      <c r="A464" s="1355">
        <v>2022446</v>
      </c>
      <c r="B464" s="1172">
        <v>7658</v>
      </c>
      <c r="C464" s="1356" t="s">
        <v>681</v>
      </c>
      <c r="D464" s="1190" t="s">
        <v>694</v>
      </c>
      <c r="E464" s="1174">
        <v>80111600</v>
      </c>
      <c r="F464" s="1389" t="s">
        <v>1092</v>
      </c>
      <c r="G464" s="1390">
        <v>44562</v>
      </c>
      <c r="H464" s="1390">
        <v>44592</v>
      </c>
      <c r="I464" s="1176">
        <v>4</v>
      </c>
      <c r="J464" s="1176" t="s">
        <v>675</v>
      </c>
      <c r="K464" s="1177" t="s">
        <v>676</v>
      </c>
      <c r="L464" s="1178" t="s">
        <v>677</v>
      </c>
      <c r="M464" s="1179">
        <v>18540000</v>
      </c>
      <c r="N464" s="1386" t="s">
        <v>770</v>
      </c>
      <c r="O464" s="1174" t="s">
        <v>769</v>
      </c>
      <c r="P464" s="1207" t="s">
        <v>680</v>
      </c>
      <c r="Q464" s="1163"/>
      <c r="R464" s="1357">
        <v>18540000</v>
      </c>
      <c r="S464" s="1357"/>
      <c r="T464" s="1357">
        <f>+Tabla16[[#This Row],[CDPS A 31 JULIO 2022]]-Tabla16[[#This Row],[CDP]]</f>
        <v>18540000</v>
      </c>
      <c r="U464" s="1357"/>
      <c r="V464" s="1357"/>
      <c r="W464" s="1357"/>
      <c r="X464" s="1207"/>
      <c r="Y464" s="1207"/>
      <c r="Z464" s="1207"/>
      <c r="AA464" s="1207"/>
      <c r="AB464" s="1207"/>
      <c r="AC464" s="1207"/>
      <c r="AD464" s="1207"/>
      <c r="AE464" s="1207"/>
      <c r="AF464" s="1207"/>
      <c r="AG464" s="1207"/>
      <c r="AH464" s="1207"/>
      <c r="AI464" s="1207"/>
      <c r="AJ464" s="1207"/>
      <c r="AK464" s="1207"/>
      <c r="AL464" s="1207"/>
      <c r="AM464" s="1207"/>
      <c r="AN464" s="1207"/>
      <c r="AO464" s="1207"/>
      <c r="AP464" s="1207"/>
      <c r="AQ464" s="1207"/>
      <c r="AR464" s="1207"/>
      <c r="AS464" s="1207"/>
      <c r="AT464" s="1207"/>
      <c r="AU464" s="1207"/>
      <c r="AV464" s="1207"/>
      <c r="AW464" s="1207"/>
      <c r="AX464" s="1207"/>
      <c r="AY464" s="1207"/>
      <c r="AZ464" s="1207"/>
      <c r="BA464" s="1207"/>
      <c r="BB464" s="1207"/>
      <c r="BC464" s="1207"/>
      <c r="BD464" s="1207"/>
      <c r="BE464" s="1207"/>
      <c r="BF464" s="1207"/>
      <c r="BG464" s="1207"/>
      <c r="BH464" s="1207"/>
      <c r="BI464" s="1207"/>
      <c r="BJ464" s="1207"/>
      <c r="BK464" s="1207"/>
      <c r="BL464" s="1207"/>
      <c r="BM464" s="1207"/>
      <c r="BN464" s="1207"/>
      <c r="BO464" s="1207"/>
      <c r="BP464" s="1207"/>
      <c r="BQ464" s="1207"/>
      <c r="BR464" s="1207"/>
      <c r="BS464" s="1207"/>
      <c r="BT464" s="1207"/>
      <c r="BU464" s="1207"/>
      <c r="BV464" s="1207"/>
      <c r="BW464" s="1207"/>
      <c r="BX464" s="1207"/>
      <c r="BY464" s="1207"/>
      <c r="BZ464" s="1207"/>
      <c r="CA464" s="1207"/>
      <c r="CB464" s="1207"/>
      <c r="CC464" s="1207"/>
      <c r="CD464" s="1207"/>
      <c r="CE464" s="1207"/>
      <c r="CF464" s="1207"/>
    </row>
    <row r="465" spans="1:84" ht="105" x14ac:dyDescent="0.2">
      <c r="A465" s="1355">
        <v>2022447</v>
      </c>
      <c r="B465" s="1172">
        <v>7658</v>
      </c>
      <c r="C465" s="1356" t="s">
        <v>681</v>
      </c>
      <c r="D465" s="1190" t="s">
        <v>694</v>
      </c>
      <c r="E465" s="1174">
        <v>80111600</v>
      </c>
      <c r="F465" s="1389" t="s">
        <v>1093</v>
      </c>
      <c r="G465" s="1390">
        <v>44562</v>
      </c>
      <c r="H465" s="1390">
        <v>44592</v>
      </c>
      <c r="I465" s="1176">
        <v>10</v>
      </c>
      <c r="J465" s="1176" t="s">
        <v>675</v>
      </c>
      <c r="K465" s="1177" t="s">
        <v>676</v>
      </c>
      <c r="L465" s="1178" t="s">
        <v>677</v>
      </c>
      <c r="M465" s="1179">
        <v>57000000</v>
      </c>
      <c r="N465" s="1386" t="s">
        <v>770</v>
      </c>
      <c r="O465" s="1174" t="s">
        <v>769</v>
      </c>
      <c r="P465" s="1207" t="s">
        <v>680</v>
      </c>
      <c r="Q465" s="1163"/>
      <c r="R465" s="1357">
        <v>57000000</v>
      </c>
      <c r="S465" s="1357">
        <v>57000000</v>
      </c>
      <c r="T465" s="1357">
        <f>+Tabla16[[#This Row],[CDPS A 31 JULIO 2022]]-Tabla16[[#This Row],[CDP]]</f>
        <v>0</v>
      </c>
      <c r="U465" s="1357">
        <v>57000000</v>
      </c>
      <c r="V465" s="1357">
        <v>24130000</v>
      </c>
      <c r="W465" s="1357"/>
      <c r="X465" s="1207"/>
      <c r="Y465" s="1207"/>
      <c r="Z465" s="1207"/>
      <c r="AA465" s="1207"/>
      <c r="AB465" s="1207"/>
      <c r="AC465" s="1207"/>
      <c r="AD465" s="1207"/>
      <c r="AE465" s="1207"/>
      <c r="AF465" s="1207"/>
      <c r="AG465" s="1207"/>
      <c r="AH465" s="1207"/>
      <c r="AI465" s="1207"/>
      <c r="AJ465" s="1207"/>
      <c r="AK465" s="1207"/>
      <c r="AL465" s="1207"/>
      <c r="AM465" s="1207"/>
      <c r="AN465" s="1207"/>
      <c r="AO465" s="1207"/>
      <c r="AP465" s="1207"/>
      <c r="AQ465" s="1207"/>
      <c r="AR465" s="1207"/>
      <c r="AS465" s="1207"/>
      <c r="AT465" s="1207"/>
      <c r="AU465" s="1207"/>
      <c r="AV465" s="1207"/>
      <c r="AW465" s="1207"/>
      <c r="AX465" s="1207"/>
      <c r="AY465" s="1207"/>
      <c r="AZ465" s="1207"/>
      <c r="BA465" s="1207"/>
      <c r="BB465" s="1207"/>
      <c r="BC465" s="1207"/>
      <c r="BD465" s="1207"/>
      <c r="BE465" s="1207"/>
      <c r="BF465" s="1207"/>
      <c r="BG465" s="1207"/>
      <c r="BH465" s="1207"/>
      <c r="BI465" s="1207"/>
      <c r="BJ465" s="1207"/>
      <c r="BK465" s="1207"/>
      <c r="BL465" s="1207"/>
      <c r="BM465" s="1207"/>
      <c r="BN465" s="1207"/>
      <c r="BO465" s="1207"/>
      <c r="BP465" s="1207"/>
      <c r="BQ465" s="1207"/>
      <c r="BR465" s="1207"/>
      <c r="BS465" s="1207"/>
      <c r="BT465" s="1207"/>
      <c r="BU465" s="1207"/>
      <c r="BV465" s="1207"/>
      <c r="BW465" s="1207"/>
      <c r="BX465" s="1207"/>
      <c r="BY465" s="1207"/>
      <c r="BZ465" s="1207"/>
      <c r="CA465" s="1207"/>
      <c r="CB465" s="1207"/>
      <c r="CC465" s="1207"/>
      <c r="CD465" s="1207"/>
      <c r="CE465" s="1207"/>
      <c r="CF465" s="1207"/>
    </row>
    <row r="466" spans="1:84" ht="105" x14ac:dyDescent="0.2">
      <c r="A466" s="1355">
        <v>2022448</v>
      </c>
      <c r="B466" s="1172">
        <v>7658</v>
      </c>
      <c r="C466" s="1356" t="s">
        <v>681</v>
      </c>
      <c r="D466" s="1190" t="s">
        <v>694</v>
      </c>
      <c r="E466" s="1174">
        <v>80111600</v>
      </c>
      <c r="F466" s="1389" t="s">
        <v>1093</v>
      </c>
      <c r="G466" s="1390">
        <v>44562</v>
      </c>
      <c r="H466" s="1390">
        <v>44592</v>
      </c>
      <c r="I466" s="1176">
        <v>10</v>
      </c>
      <c r="J466" s="1176" t="s">
        <v>675</v>
      </c>
      <c r="K466" s="1177" t="s">
        <v>676</v>
      </c>
      <c r="L466" s="1178" t="s">
        <v>677</v>
      </c>
      <c r="M466" s="1179">
        <v>48500000</v>
      </c>
      <c r="N466" s="1386" t="s">
        <v>770</v>
      </c>
      <c r="O466" s="1174" t="s">
        <v>769</v>
      </c>
      <c r="P466" s="1207" t="s">
        <v>680</v>
      </c>
      <c r="Q466" s="1163"/>
      <c r="R466" s="1357">
        <v>48500000</v>
      </c>
      <c r="S466" s="1357">
        <v>48500000</v>
      </c>
      <c r="T466" s="1357">
        <f>+Tabla16[[#This Row],[CDPS A 31 JULIO 2022]]-Tabla16[[#This Row],[CDP]]</f>
        <v>0</v>
      </c>
      <c r="U466" s="1357">
        <v>48500000</v>
      </c>
      <c r="V466" s="1357">
        <v>21016667</v>
      </c>
      <c r="W466" s="1357"/>
      <c r="X466" s="1207"/>
      <c r="Y466" s="1207"/>
      <c r="Z466" s="1207"/>
      <c r="AA466" s="1207"/>
      <c r="AB466" s="1207"/>
      <c r="AC466" s="1207"/>
      <c r="AD466" s="1207"/>
      <c r="AE466" s="1207"/>
      <c r="AF466" s="1207"/>
      <c r="AG466" s="1207"/>
      <c r="AH466" s="1207"/>
      <c r="AI466" s="1207"/>
      <c r="AJ466" s="1207"/>
      <c r="AK466" s="1207"/>
      <c r="AL466" s="1207"/>
      <c r="AM466" s="1207"/>
      <c r="AN466" s="1207"/>
      <c r="AO466" s="1207"/>
      <c r="AP466" s="1207"/>
      <c r="AQ466" s="1207"/>
      <c r="AR466" s="1207"/>
      <c r="AS466" s="1207"/>
      <c r="AT466" s="1207"/>
      <c r="AU466" s="1207"/>
      <c r="AV466" s="1207"/>
      <c r="AW466" s="1207"/>
      <c r="AX466" s="1207"/>
      <c r="AY466" s="1207"/>
      <c r="AZ466" s="1207"/>
      <c r="BA466" s="1207"/>
      <c r="BB466" s="1207"/>
      <c r="BC466" s="1207"/>
      <c r="BD466" s="1207"/>
      <c r="BE466" s="1207"/>
      <c r="BF466" s="1207"/>
      <c r="BG466" s="1207"/>
      <c r="BH466" s="1207"/>
      <c r="BI466" s="1207"/>
      <c r="BJ466" s="1207"/>
      <c r="BK466" s="1207"/>
      <c r="BL466" s="1207"/>
      <c r="BM466" s="1207"/>
      <c r="BN466" s="1207"/>
      <c r="BO466" s="1207"/>
      <c r="BP466" s="1207"/>
      <c r="BQ466" s="1207"/>
      <c r="BR466" s="1207"/>
      <c r="BS466" s="1207"/>
      <c r="BT466" s="1207"/>
      <c r="BU466" s="1207"/>
      <c r="BV466" s="1207"/>
      <c r="BW466" s="1207"/>
      <c r="BX466" s="1207"/>
      <c r="BY466" s="1207"/>
      <c r="BZ466" s="1207"/>
      <c r="CA466" s="1207"/>
      <c r="CB466" s="1207"/>
      <c r="CC466" s="1207"/>
      <c r="CD466" s="1207"/>
      <c r="CE466" s="1207"/>
      <c r="CF466" s="1207"/>
    </row>
    <row r="467" spans="1:84" ht="105" x14ac:dyDescent="0.2">
      <c r="A467" s="1355">
        <v>2022449</v>
      </c>
      <c r="B467" s="1172">
        <v>7658</v>
      </c>
      <c r="C467" s="1356" t="s">
        <v>681</v>
      </c>
      <c r="D467" s="1190" t="s">
        <v>694</v>
      </c>
      <c r="E467" s="1174">
        <v>80111600</v>
      </c>
      <c r="F467" s="1389" t="s">
        <v>1093</v>
      </c>
      <c r="G467" s="1390">
        <v>44562</v>
      </c>
      <c r="H467" s="1390">
        <v>44592</v>
      </c>
      <c r="I467" s="1176">
        <v>10</v>
      </c>
      <c r="J467" s="1176" t="s">
        <v>675</v>
      </c>
      <c r="K467" s="1177" t="s">
        <v>676</v>
      </c>
      <c r="L467" s="1178" t="s">
        <v>677</v>
      </c>
      <c r="M467" s="1179">
        <v>48500000</v>
      </c>
      <c r="N467" s="1386" t="s">
        <v>770</v>
      </c>
      <c r="O467" s="1174" t="s">
        <v>769</v>
      </c>
      <c r="P467" s="1207" t="s">
        <v>680</v>
      </c>
      <c r="Q467" s="1163"/>
      <c r="R467" s="1357">
        <v>48500000</v>
      </c>
      <c r="S467" s="1357">
        <v>48500000</v>
      </c>
      <c r="T467" s="1357">
        <f>+Tabla16[[#This Row],[CDPS A 31 JULIO 2022]]-Tabla16[[#This Row],[CDP]]</f>
        <v>0</v>
      </c>
      <c r="U467" s="1357">
        <v>48500000</v>
      </c>
      <c r="V467" s="1357">
        <v>20531667</v>
      </c>
      <c r="W467" s="1357"/>
      <c r="X467" s="1207"/>
      <c r="Y467" s="1207"/>
      <c r="Z467" s="1207"/>
      <c r="AA467" s="1207"/>
      <c r="AB467" s="1207"/>
      <c r="AC467" s="1207"/>
      <c r="AD467" s="1207"/>
      <c r="AE467" s="1207"/>
      <c r="AF467" s="1207"/>
      <c r="AG467" s="1207"/>
      <c r="AH467" s="1207"/>
      <c r="AI467" s="1207"/>
      <c r="AJ467" s="1207"/>
      <c r="AK467" s="1207"/>
      <c r="AL467" s="1207"/>
      <c r="AM467" s="1207"/>
      <c r="AN467" s="1207"/>
      <c r="AO467" s="1207"/>
      <c r="AP467" s="1207"/>
      <c r="AQ467" s="1207"/>
      <c r="AR467" s="1207"/>
      <c r="AS467" s="1207"/>
      <c r="AT467" s="1207"/>
      <c r="AU467" s="1207"/>
      <c r="AV467" s="1207"/>
      <c r="AW467" s="1207"/>
      <c r="AX467" s="1207"/>
      <c r="AY467" s="1207"/>
      <c r="AZ467" s="1207"/>
      <c r="BA467" s="1207"/>
      <c r="BB467" s="1207"/>
      <c r="BC467" s="1207"/>
      <c r="BD467" s="1207"/>
      <c r="BE467" s="1207"/>
      <c r="BF467" s="1207"/>
      <c r="BG467" s="1207"/>
      <c r="BH467" s="1207"/>
      <c r="BI467" s="1207"/>
      <c r="BJ467" s="1207"/>
      <c r="BK467" s="1207"/>
      <c r="BL467" s="1207"/>
      <c r="BM467" s="1207"/>
      <c r="BN467" s="1207"/>
      <c r="BO467" s="1207"/>
      <c r="BP467" s="1207"/>
      <c r="BQ467" s="1207"/>
      <c r="BR467" s="1207"/>
      <c r="BS467" s="1207"/>
      <c r="BT467" s="1207"/>
      <c r="BU467" s="1207"/>
      <c r="BV467" s="1207"/>
      <c r="BW467" s="1207"/>
      <c r="BX467" s="1207"/>
      <c r="BY467" s="1207"/>
      <c r="BZ467" s="1207"/>
      <c r="CA467" s="1207"/>
      <c r="CB467" s="1207"/>
      <c r="CC467" s="1207"/>
      <c r="CD467" s="1207"/>
      <c r="CE467" s="1207"/>
      <c r="CF467" s="1207"/>
    </row>
    <row r="468" spans="1:84" ht="105" x14ac:dyDescent="0.2">
      <c r="A468" s="1355">
        <v>2022450</v>
      </c>
      <c r="B468" s="1172">
        <v>7658</v>
      </c>
      <c r="C468" s="1356" t="s">
        <v>681</v>
      </c>
      <c r="D468" s="1190" t="s">
        <v>694</v>
      </c>
      <c r="E468" s="1174">
        <v>80111600</v>
      </c>
      <c r="F468" s="1389" t="s">
        <v>1094</v>
      </c>
      <c r="G468" s="1390">
        <v>44562</v>
      </c>
      <c r="H468" s="1390">
        <v>44592</v>
      </c>
      <c r="I468" s="1176">
        <v>10</v>
      </c>
      <c r="J468" s="1176" t="s">
        <v>675</v>
      </c>
      <c r="K468" s="1177" t="s">
        <v>676</v>
      </c>
      <c r="L468" s="1178" t="s">
        <v>677</v>
      </c>
      <c r="M468" s="1179">
        <f>48500000-19400000</f>
        <v>29100000</v>
      </c>
      <c r="N468" s="1386" t="s">
        <v>770</v>
      </c>
      <c r="O468" s="1174" t="s">
        <v>769</v>
      </c>
      <c r="P468" s="1207" t="s">
        <v>680</v>
      </c>
      <c r="Q468" s="1163"/>
      <c r="R468" s="1357">
        <v>29100000</v>
      </c>
      <c r="S468" s="1357">
        <v>29100000</v>
      </c>
      <c r="T468" s="1357">
        <f>+Tabla16[[#This Row],[CDPS A 31 JULIO 2022]]-Tabla16[[#This Row],[CDP]]</f>
        <v>0</v>
      </c>
      <c r="U468" s="1357">
        <v>29100000</v>
      </c>
      <c r="V468" s="1357">
        <v>19400000</v>
      </c>
      <c r="W468" s="1357"/>
      <c r="X468" s="1207"/>
      <c r="Y468" s="1207"/>
      <c r="Z468" s="1207"/>
      <c r="AA468" s="1207"/>
      <c r="AB468" s="1207"/>
      <c r="AC468" s="1207"/>
      <c r="AD468" s="1207"/>
      <c r="AE468" s="1207"/>
      <c r="AF468" s="1207"/>
      <c r="AG468" s="1207"/>
      <c r="AH468" s="1207"/>
      <c r="AI468" s="1207"/>
      <c r="AJ468" s="1207"/>
      <c r="AK468" s="1207"/>
      <c r="AL468" s="1207"/>
      <c r="AM468" s="1207"/>
      <c r="AN468" s="1207"/>
      <c r="AO468" s="1207"/>
      <c r="AP468" s="1207"/>
      <c r="AQ468" s="1207"/>
      <c r="AR468" s="1207"/>
      <c r="AS468" s="1207"/>
      <c r="AT468" s="1207"/>
      <c r="AU468" s="1207"/>
      <c r="AV468" s="1207"/>
      <c r="AW468" s="1207"/>
      <c r="AX468" s="1207"/>
      <c r="AY468" s="1207"/>
      <c r="AZ468" s="1207"/>
      <c r="BA468" s="1207"/>
      <c r="BB468" s="1207"/>
      <c r="BC468" s="1207"/>
      <c r="BD468" s="1207"/>
      <c r="BE468" s="1207"/>
      <c r="BF468" s="1207"/>
      <c r="BG468" s="1207"/>
      <c r="BH468" s="1207"/>
      <c r="BI468" s="1207"/>
      <c r="BJ468" s="1207"/>
      <c r="BK468" s="1207"/>
      <c r="BL468" s="1207"/>
      <c r="BM468" s="1207"/>
      <c r="BN468" s="1207"/>
      <c r="BO468" s="1207"/>
      <c r="BP468" s="1207"/>
      <c r="BQ468" s="1207"/>
      <c r="BR468" s="1207"/>
      <c r="BS468" s="1207"/>
      <c r="BT468" s="1207"/>
      <c r="BU468" s="1207"/>
      <c r="BV468" s="1207"/>
      <c r="BW468" s="1207"/>
      <c r="BX468" s="1207"/>
      <c r="BY468" s="1207"/>
      <c r="BZ468" s="1207"/>
      <c r="CA468" s="1207"/>
      <c r="CB468" s="1207"/>
      <c r="CC468" s="1207"/>
      <c r="CD468" s="1207"/>
      <c r="CE468" s="1207"/>
      <c r="CF468" s="1207"/>
    </row>
    <row r="469" spans="1:84" ht="105" x14ac:dyDescent="0.2">
      <c r="A469" s="1355">
        <v>2022451</v>
      </c>
      <c r="B469" s="1172">
        <v>7658</v>
      </c>
      <c r="C469" s="1356" t="s">
        <v>681</v>
      </c>
      <c r="D469" s="1190" t="s">
        <v>694</v>
      </c>
      <c r="E469" s="1174">
        <v>80111600</v>
      </c>
      <c r="F469" s="1389" t="s">
        <v>1094</v>
      </c>
      <c r="G469" s="1390">
        <v>44562</v>
      </c>
      <c r="H469" s="1390">
        <v>44592</v>
      </c>
      <c r="I469" s="1176">
        <v>10</v>
      </c>
      <c r="J469" s="1176" t="s">
        <v>675</v>
      </c>
      <c r="K469" s="1177" t="s">
        <v>676</v>
      </c>
      <c r="L469" s="1178" t="s">
        <v>677</v>
      </c>
      <c r="M469" s="1179">
        <f>35000000-14000000</f>
        <v>21000000</v>
      </c>
      <c r="N469" s="1386" t="s">
        <v>770</v>
      </c>
      <c r="O469" s="1174" t="s">
        <v>769</v>
      </c>
      <c r="P469" s="1207" t="s">
        <v>680</v>
      </c>
      <c r="Q469" s="1163"/>
      <c r="R469" s="1357">
        <v>21000000</v>
      </c>
      <c r="S469" s="1357">
        <v>21000000</v>
      </c>
      <c r="T469" s="1357">
        <f>+Tabla16[[#This Row],[CDPS A 31 JULIO 2022]]-Tabla16[[#This Row],[CDP]]</f>
        <v>0</v>
      </c>
      <c r="U469" s="1357">
        <v>21000000</v>
      </c>
      <c r="V469" s="1357">
        <v>14466667</v>
      </c>
      <c r="W469" s="1357"/>
      <c r="X469" s="1207"/>
      <c r="Y469" s="1207"/>
      <c r="Z469" s="1207"/>
      <c r="AA469" s="1207"/>
      <c r="AB469" s="1207"/>
      <c r="AC469" s="1207"/>
      <c r="AD469" s="1207"/>
      <c r="AE469" s="1207"/>
      <c r="AF469" s="1207"/>
      <c r="AG469" s="1207"/>
      <c r="AH469" s="1207"/>
      <c r="AI469" s="1207"/>
      <c r="AJ469" s="1207"/>
      <c r="AK469" s="1207"/>
      <c r="AL469" s="1207"/>
      <c r="AM469" s="1207"/>
      <c r="AN469" s="1207"/>
      <c r="AO469" s="1207"/>
      <c r="AP469" s="1207"/>
      <c r="AQ469" s="1207"/>
      <c r="AR469" s="1207"/>
      <c r="AS469" s="1207"/>
      <c r="AT469" s="1207"/>
      <c r="AU469" s="1207"/>
      <c r="AV469" s="1207"/>
      <c r="AW469" s="1207"/>
      <c r="AX469" s="1207"/>
      <c r="AY469" s="1207"/>
      <c r="AZ469" s="1207"/>
      <c r="BA469" s="1207"/>
      <c r="BB469" s="1207"/>
      <c r="BC469" s="1207"/>
      <c r="BD469" s="1207"/>
      <c r="BE469" s="1207"/>
      <c r="BF469" s="1207"/>
      <c r="BG469" s="1207"/>
      <c r="BH469" s="1207"/>
      <c r="BI469" s="1207"/>
      <c r="BJ469" s="1207"/>
      <c r="BK469" s="1207"/>
      <c r="BL469" s="1207"/>
      <c r="BM469" s="1207"/>
      <c r="BN469" s="1207"/>
      <c r="BO469" s="1207"/>
      <c r="BP469" s="1207"/>
      <c r="BQ469" s="1207"/>
      <c r="BR469" s="1207"/>
      <c r="BS469" s="1207"/>
      <c r="BT469" s="1207"/>
      <c r="BU469" s="1207"/>
      <c r="BV469" s="1207"/>
      <c r="BW469" s="1207"/>
      <c r="BX469" s="1207"/>
      <c r="BY469" s="1207"/>
      <c r="BZ469" s="1207"/>
      <c r="CA469" s="1207"/>
      <c r="CB469" s="1207"/>
      <c r="CC469" s="1207"/>
      <c r="CD469" s="1207"/>
      <c r="CE469" s="1207"/>
      <c r="CF469" s="1207"/>
    </row>
    <row r="470" spans="1:84" s="1398" customFormat="1" ht="105" x14ac:dyDescent="0.2">
      <c r="A470" s="1355">
        <v>2022452</v>
      </c>
      <c r="B470" s="1172">
        <v>7658</v>
      </c>
      <c r="C470" s="1356" t="s">
        <v>681</v>
      </c>
      <c r="D470" s="1190" t="s">
        <v>694</v>
      </c>
      <c r="E470" s="1174">
        <v>80111600</v>
      </c>
      <c r="F470" s="1389" t="s">
        <v>1093</v>
      </c>
      <c r="G470" s="1390">
        <v>44562</v>
      </c>
      <c r="H470" s="1390">
        <v>44592</v>
      </c>
      <c r="I470" s="1176">
        <v>6</v>
      </c>
      <c r="J470" s="1176" t="s">
        <v>675</v>
      </c>
      <c r="K470" s="1177" t="s">
        <v>676</v>
      </c>
      <c r="L470" s="1178" t="s">
        <v>677</v>
      </c>
      <c r="M470" s="1179">
        <v>29100000</v>
      </c>
      <c r="N470" s="1386" t="s">
        <v>770</v>
      </c>
      <c r="O470" s="1174" t="s">
        <v>769</v>
      </c>
      <c r="P470" s="1207" t="s">
        <v>680</v>
      </c>
      <c r="Q470" s="1163"/>
      <c r="R470" s="1357">
        <v>29100000</v>
      </c>
      <c r="S470" s="1357">
        <v>29100000</v>
      </c>
      <c r="T470" s="1357">
        <f>+Tabla16[[#This Row],[CDPS A 31 JULIO 2022]]-Tabla16[[#This Row],[CDP]]</f>
        <v>0</v>
      </c>
      <c r="U470" s="1357">
        <v>29100000</v>
      </c>
      <c r="V470" s="1357">
        <v>20370000</v>
      </c>
      <c r="W470" s="1357"/>
    </row>
    <row r="471" spans="1:84" ht="105" x14ac:dyDescent="0.2">
      <c r="A471" s="1355">
        <v>2022453</v>
      </c>
      <c r="B471" s="1172">
        <v>7658</v>
      </c>
      <c r="C471" s="1356" t="s">
        <v>681</v>
      </c>
      <c r="D471" s="1190" t="s">
        <v>694</v>
      </c>
      <c r="E471" s="1174">
        <v>80111600</v>
      </c>
      <c r="F471" s="1389" t="s">
        <v>1093</v>
      </c>
      <c r="G471" s="1390">
        <v>44562</v>
      </c>
      <c r="H471" s="1390">
        <v>44592</v>
      </c>
      <c r="I471" s="1176">
        <v>4</v>
      </c>
      <c r="J471" s="1176" t="s">
        <v>675</v>
      </c>
      <c r="K471" s="1177" t="s">
        <v>676</v>
      </c>
      <c r="L471" s="1178" t="s">
        <v>677</v>
      </c>
      <c r="M471" s="1179">
        <v>19400000</v>
      </c>
      <c r="N471" s="1386" t="s">
        <v>770</v>
      </c>
      <c r="O471" s="1174" t="s">
        <v>769</v>
      </c>
      <c r="P471" s="1207" t="s">
        <v>680</v>
      </c>
      <c r="Q471" s="1163"/>
      <c r="R471" s="1357">
        <v>19400000</v>
      </c>
      <c r="S471" s="1357"/>
      <c r="T471" s="1357">
        <f>+Tabla16[[#This Row],[CDPS A 31 JULIO 2022]]-Tabla16[[#This Row],[CDP]]</f>
        <v>19400000</v>
      </c>
      <c r="U471" s="1357"/>
      <c r="V471" s="1357"/>
      <c r="W471" s="1357" t="s">
        <v>1075</v>
      </c>
      <c r="X471" s="1207"/>
      <c r="Y471" s="1207"/>
      <c r="Z471" s="1207"/>
      <c r="AA471" s="1207"/>
      <c r="AB471" s="1207"/>
      <c r="AC471" s="1207"/>
      <c r="AD471" s="1207"/>
      <c r="AE471" s="1207"/>
      <c r="AF471" s="1207"/>
      <c r="AG471" s="1207"/>
      <c r="AH471" s="1207"/>
      <c r="AI471" s="1207"/>
      <c r="AJ471" s="1207"/>
      <c r="AK471" s="1207"/>
      <c r="AL471" s="1207"/>
      <c r="AM471" s="1207"/>
      <c r="AN471" s="1207"/>
      <c r="AO471" s="1207"/>
      <c r="AP471" s="1207"/>
      <c r="AQ471" s="1207"/>
      <c r="AR471" s="1207"/>
      <c r="AS471" s="1207"/>
      <c r="AT471" s="1207"/>
      <c r="AU471" s="1207"/>
      <c r="AV471" s="1207"/>
      <c r="AW471" s="1207"/>
      <c r="AX471" s="1207"/>
      <c r="AY471" s="1207"/>
      <c r="AZ471" s="1207"/>
      <c r="BA471" s="1207"/>
      <c r="BB471" s="1207"/>
      <c r="BC471" s="1207"/>
      <c r="BD471" s="1207"/>
      <c r="BE471" s="1207"/>
      <c r="BF471" s="1207"/>
      <c r="BG471" s="1207"/>
      <c r="BH471" s="1207"/>
      <c r="BI471" s="1207"/>
      <c r="BJ471" s="1207"/>
      <c r="BK471" s="1207"/>
      <c r="BL471" s="1207"/>
      <c r="BM471" s="1207"/>
      <c r="BN471" s="1207"/>
      <c r="BO471" s="1207"/>
      <c r="BP471" s="1207"/>
      <c r="BQ471" s="1207"/>
      <c r="BR471" s="1207"/>
      <c r="BS471" s="1207"/>
      <c r="BT471" s="1207"/>
      <c r="BU471" s="1207"/>
      <c r="BV471" s="1207"/>
      <c r="BW471" s="1207"/>
      <c r="BX471" s="1207"/>
      <c r="BY471" s="1207"/>
      <c r="BZ471" s="1207"/>
      <c r="CA471" s="1207"/>
      <c r="CB471" s="1207"/>
      <c r="CC471" s="1207"/>
      <c r="CD471" s="1207"/>
      <c r="CE471" s="1207"/>
      <c r="CF471" s="1207"/>
    </row>
    <row r="472" spans="1:84" ht="105" x14ac:dyDescent="0.2">
      <c r="A472" s="1355">
        <v>2022454</v>
      </c>
      <c r="B472" s="1172">
        <v>7658</v>
      </c>
      <c r="C472" s="1356" t="s">
        <v>681</v>
      </c>
      <c r="D472" s="1190" t="s">
        <v>694</v>
      </c>
      <c r="E472" s="1174">
        <v>80111600</v>
      </c>
      <c r="F472" s="1389" t="s">
        <v>1095</v>
      </c>
      <c r="G472" s="1390">
        <v>44562</v>
      </c>
      <c r="H472" s="1390">
        <v>44592</v>
      </c>
      <c r="I472" s="1176">
        <v>10</v>
      </c>
      <c r="J472" s="1176" t="s">
        <v>675</v>
      </c>
      <c r="K472" s="1177" t="s">
        <v>676</v>
      </c>
      <c r="L472" s="1178" t="s">
        <v>677</v>
      </c>
      <c r="M472" s="1179">
        <v>55000000</v>
      </c>
      <c r="N472" s="1386" t="s">
        <v>770</v>
      </c>
      <c r="O472" s="1174" t="s">
        <v>769</v>
      </c>
      <c r="P472" s="1207" t="s">
        <v>680</v>
      </c>
      <c r="Q472" s="1163"/>
      <c r="R472" s="1357">
        <v>55000000</v>
      </c>
      <c r="S472" s="1357">
        <v>55000000</v>
      </c>
      <c r="T472" s="1357">
        <f>+Tabla16[[#This Row],[CDPS A 31 JULIO 2022]]-Tabla16[[#This Row],[CDP]]</f>
        <v>0</v>
      </c>
      <c r="U472" s="1357">
        <v>55000000</v>
      </c>
      <c r="V472" s="1357">
        <v>23100000</v>
      </c>
      <c r="W472" s="1357"/>
      <c r="X472" s="1207"/>
      <c r="Y472" s="1207"/>
      <c r="Z472" s="1207"/>
      <c r="AA472" s="1207"/>
      <c r="AB472" s="1207"/>
      <c r="AC472" s="1207"/>
      <c r="AD472" s="1207"/>
      <c r="AE472" s="1207"/>
      <c r="AF472" s="1207"/>
      <c r="AG472" s="1207"/>
      <c r="AH472" s="1207"/>
      <c r="AI472" s="1207"/>
      <c r="AJ472" s="1207"/>
      <c r="AK472" s="1207"/>
      <c r="AL472" s="1207"/>
      <c r="AM472" s="1207"/>
      <c r="AN472" s="1207"/>
      <c r="AO472" s="1207"/>
      <c r="AP472" s="1207"/>
      <c r="AQ472" s="1207"/>
      <c r="AR472" s="1207"/>
      <c r="AS472" s="1207"/>
      <c r="AT472" s="1207"/>
      <c r="AU472" s="1207"/>
      <c r="AV472" s="1207"/>
      <c r="AW472" s="1207"/>
      <c r="AX472" s="1207"/>
      <c r="AY472" s="1207"/>
      <c r="AZ472" s="1207"/>
      <c r="BA472" s="1207"/>
      <c r="BB472" s="1207"/>
      <c r="BC472" s="1207"/>
      <c r="BD472" s="1207"/>
      <c r="BE472" s="1207"/>
      <c r="BF472" s="1207"/>
      <c r="BG472" s="1207"/>
      <c r="BH472" s="1207"/>
      <c r="BI472" s="1207"/>
      <c r="BJ472" s="1207"/>
      <c r="BK472" s="1207"/>
      <c r="BL472" s="1207"/>
      <c r="BM472" s="1207"/>
      <c r="BN472" s="1207"/>
      <c r="BO472" s="1207"/>
      <c r="BP472" s="1207"/>
      <c r="BQ472" s="1207"/>
      <c r="BR472" s="1207"/>
      <c r="BS472" s="1207"/>
      <c r="BT472" s="1207"/>
      <c r="BU472" s="1207"/>
      <c r="BV472" s="1207"/>
      <c r="BW472" s="1207"/>
      <c r="BX472" s="1207"/>
      <c r="BY472" s="1207"/>
      <c r="BZ472" s="1207"/>
      <c r="CA472" s="1207"/>
      <c r="CB472" s="1207"/>
      <c r="CC472" s="1207"/>
      <c r="CD472" s="1207"/>
      <c r="CE472" s="1207"/>
      <c r="CF472" s="1207"/>
    </row>
    <row r="473" spans="1:84" ht="105" x14ac:dyDescent="0.2">
      <c r="A473" s="1355">
        <v>2022455</v>
      </c>
      <c r="B473" s="1172">
        <v>7658</v>
      </c>
      <c r="C473" s="1356" t="s">
        <v>681</v>
      </c>
      <c r="D473" s="1190" t="s">
        <v>694</v>
      </c>
      <c r="E473" s="1174">
        <v>80111600</v>
      </c>
      <c r="F473" s="1389" t="s">
        <v>1095</v>
      </c>
      <c r="G473" s="1390">
        <v>44562</v>
      </c>
      <c r="H473" s="1390">
        <v>44592</v>
      </c>
      <c r="I473" s="1176">
        <v>10</v>
      </c>
      <c r="J473" s="1176" t="s">
        <v>675</v>
      </c>
      <c r="K473" s="1177" t="s">
        <v>676</v>
      </c>
      <c r="L473" s="1178" t="s">
        <v>677</v>
      </c>
      <c r="M473" s="1179">
        <v>55000000</v>
      </c>
      <c r="N473" s="1386" t="s">
        <v>770</v>
      </c>
      <c r="O473" s="1174" t="s">
        <v>769</v>
      </c>
      <c r="P473" s="1207" t="s">
        <v>680</v>
      </c>
      <c r="Q473" s="1163"/>
      <c r="R473" s="1357">
        <v>55000000</v>
      </c>
      <c r="S473" s="1357">
        <v>55000000</v>
      </c>
      <c r="T473" s="1357">
        <f>+Tabla16[[#This Row],[CDPS A 31 JULIO 2022]]-Tabla16[[#This Row],[CDP]]</f>
        <v>0</v>
      </c>
      <c r="U473" s="1357">
        <v>55000000</v>
      </c>
      <c r="V473" s="1357">
        <v>23100000</v>
      </c>
      <c r="W473" s="1357"/>
      <c r="X473" s="1207"/>
      <c r="Y473" s="1207"/>
      <c r="Z473" s="1207"/>
      <c r="AA473" s="1207"/>
      <c r="AB473" s="1207"/>
      <c r="AC473" s="1207"/>
      <c r="AD473" s="1207"/>
      <c r="AE473" s="1207"/>
      <c r="AF473" s="1207"/>
      <c r="AG473" s="1207"/>
      <c r="AH473" s="1207"/>
      <c r="AI473" s="1207"/>
      <c r="AJ473" s="1207"/>
      <c r="AK473" s="1207"/>
      <c r="AL473" s="1207"/>
      <c r="AM473" s="1207"/>
      <c r="AN473" s="1207"/>
      <c r="AO473" s="1207"/>
      <c r="AP473" s="1207"/>
      <c r="AQ473" s="1207"/>
      <c r="AR473" s="1207"/>
      <c r="AS473" s="1207"/>
      <c r="AT473" s="1207"/>
      <c r="AU473" s="1207"/>
      <c r="AV473" s="1207"/>
      <c r="AW473" s="1207"/>
      <c r="AX473" s="1207"/>
      <c r="AY473" s="1207"/>
      <c r="AZ473" s="1207"/>
      <c r="BA473" s="1207"/>
      <c r="BB473" s="1207"/>
      <c r="BC473" s="1207"/>
      <c r="BD473" s="1207"/>
      <c r="BE473" s="1207"/>
      <c r="BF473" s="1207"/>
      <c r="BG473" s="1207"/>
      <c r="BH473" s="1207"/>
      <c r="BI473" s="1207"/>
      <c r="BJ473" s="1207"/>
      <c r="BK473" s="1207"/>
      <c r="BL473" s="1207"/>
      <c r="BM473" s="1207"/>
      <c r="BN473" s="1207"/>
      <c r="BO473" s="1207"/>
      <c r="BP473" s="1207"/>
      <c r="BQ473" s="1207"/>
      <c r="BR473" s="1207"/>
      <c r="BS473" s="1207"/>
      <c r="BT473" s="1207"/>
      <c r="BU473" s="1207"/>
      <c r="BV473" s="1207"/>
      <c r="BW473" s="1207"/>
      <c r="BX473" s="1207"/>
      <c r="BY473" s="1207"/>
      <c r="BZ473" s="1207"/>
      <c r="CA473" s="1207"/>
      <c r="CB473" s="1207"/>
      <c r="CC473" s="1207"/>
      <c r="CD473" s="1207"/>
      <c r="CE473" s="1207"/>
      <c r="CF473" s="1207"/>
    </row>
    <row r="474" spans="1:84" ht="105" x14ac:dyDescent="0.2">
      <c r="A474" s="1355">
        <v>2022456</v>
      </c>
      <c r="B474" s="1172">
        <v>7658</v>
      </c>
      <c r="C474" s="1356" t="s">
        <v>681</v>
      </c>
      <c r="D474" s="1190" t="s">
        <v>694</v>
      </c>
      <c r="E474" s="1174">
        <v>80111600</v>
      </c>
      <c r="F474" s="1389" t="s">
        <v>1095</v>
      </c>
      <c r="G474" s="1390">
        <v>44562</v>
      </c>
      <c r="H474" s="1390">
        <v>44592</v>
      </c>
      <c r="I474" s="1176">
        <v>6</v>
      </c>
      <c r="J474" s="1176" t="s">
        <v>675</v>
      </c>
      <c r="K474" s="1177" t="s">
        <v>676</v>
      </c>
      <c r="L474" s="1178" t="s">
        <v>677</v>
      </c>
      <c r="M474" s="1179">
        <v>29100000</v>
      </c>
      <c r="N474" s="1386" t="s">
        <v>770</v>
      </c>
      <c r="O474" s="1174" t="s">
        <v>769</v>
      </c>
      <c r="P474" s="1207" t="s">
        <v>680</v>
      </c>
      <c r="Q474" s="1163"/>
      <c r="R474" s="1357">
        <v>29100000</v>
      </c>
      <c r="S474" s="1357">
        <v>29100000</v>
      </c>
      <c r="T474" s="1357">
        <f>+Tabla16[[#This Row],[CDPS A 31 JULIO 2022]]-Tabla16[[#This Row],[CDP]]</f>
        <v>0</v>
      </c>
      <c r="U474" s="1357">
        <v>29100000</v>
      </c>
      <c r="V474" s="1357">
        <v>20046667</v>
      </c>
      <c r="W474" s="1357"/>
      <c r="X474" s="1207"/>
      <c r="Y474" s="1207"/>
      <c r="Z474" s="1207"/>
      <c r="AA474" s="1207"/>
      <c r="AB474" s="1207"/>
      <c r="AC474" s="1207"/>
      <c r="AD474" s="1207"/>
      <c r="AE474" s="1207"/>
      <c r="AF474" s="1207"/>
      <c r="AG474" s="1207"/>
      <c r="AH474" s="1207"/>
      <c r="AI474" s="1207"/>
      <c r="AJ474" s="1207"/>
      <c r="AK474" s="1207"/>
      <c r="AL474" s="1207"/>
      <c r="AM474" s="1207"/>
      <c r="AN474" s="1207"/>
      <c r="AO474" s="1207"/>
      <c r="AP474" s="1207"/>
      <c r="AQ474" s="1207"/>
      <c r="AR474" s="1207"/>
      <c r="AS474" s="1207"/>
      <c r="AT474" s="1207"/>
      <c r="AU474" s="1207"/>
      <c r="AV474" s="1207"/>
      <c r="AW474" s="1207"/>
      <c r="AX474" s="1207"/>
      <c r="AY474" s="1207"/>
      <c r="AZ474" s="1207"/>
      <c r="BA474" s="1207"/>
      <c r="BB474" s="1207"/>
      <c r="BC474" s="1207"/>
      <c r="BD474" s="1207"/>
      <c r="BE474" s="1207"/>
      <c r="BF474" s="1207"/>
      <c r="BG474" s="1207"/>
      <c r="BH474" s="1207"/>
      <c r="BI474" s="1207"/>
      <c r="BJ474" s="1207"/>
      <c r="BK474" s="1207"/>
      <c r="BL474" s="1207"/>
      <c r="BM474" s="1207"/>
      <c r="BN474" s="1207"/>
      <c r="BO474" s="1207"/>
      <c r="BP474" s="1207"/>
      <c r="BQ474" s="1207"/>
      <c r="BR474" s="1207"/>
      <c r="BS474" s="1207"/>
      <c r="BT474" s="1207"/>
      <c r="BU474" s="1207"/>
      <c r="BV474" s="1207"/>
      <c r="BW474" s="1207"/>
      <c r="BX474" s="1207"/>
      <c r="BY474" s="1207"/>
      <c r="BZ474" s="1207"/>
      <c r="CA474" s="1207"/>
      <c r="CB474" s="1207"/>
      <c r="CC474" s="1207"/>
      <c r="CD474" s="1207"/>
      <c r="CE474" s="1207"/>
      <c r="CF474" s="1207"/>
    </row>
    <row r="475" spans="1:84" ht="105" x14ac:dyDescent="0.2">
      <c r="A475" s="1355">
        <v>2022457</v>
      </c>
      <c r="B475" s="1172">
        <v>7658</v>
      </c>
      <c r="C475" s="1356" t="s">
        <v>681</v>
      </c>
      <c r="D475" s="1190" t="s">
        <v>694</v>
      </c>
      <c r="E475" s="1174">
        <v>80111600</v>
      </c>
      <c r="F475" s="1389" t="s">
        <v>1095</v>
      </c>
      <c r="G475" s="1390">
        <v>44562</v>
      </c>
      <c r="H475" s="1390">
        <v>44592</v>
      </c>
      <c r="I475" s="1176">
        <v>4</v>
      </c>
      <c r="J475" s="1176" t="s">
        <v>675</v>
      </c>
      <c r="K475" s="1177" t="s">
        <v>676</v>
      </c>
      <c r="L475" s="1178" t="s">
        <v>677</v>
      </c>
      <c r="M475" s="1179">
        <f>19400000+600000</f>
        <v>20000000</v>
      </c>
      <c r="N475" s="1386" t="s">
        <v>770</v>
      </c>
      <c r="O475" s="1174" t="s">
        <v>769</v>
      </c>
      <c r="P475" s="1207" t="s">
        <v>680</v>
      </c>
      <c r="Q475" s="1163"/>
      <c r="R475" s="1357">
        <v>19400000</v>
      </c>
      <c r="S475" s="1357"/>
      <c r="T475" s="1357">
        <f>+Tabla16[[#This Row],[CDPS A 31 JULIO 2022]]-Tabla16[[#This Row],[CDP]]</f>
        <v>19400000</v>
      </c>
      <c r="U475" s="1357"/>
      <c r="V475" s="1357"/>
      <c r="W475" s="1357"/>
      <c r="X475" s="1207"/>
      <c r="Y475" s="1207"/>
      <c r="Z475" s="1207"/>
      <c r="AA475" s="1207"/>
      <c r="AB475" s="1207"/>
      <c r="AC475" s="1207"/>
      <c r="AD475" s="1207"/>
      <c r="AE475" s="1207"/>
      <c r="AF475" s="1207"/>
      <c r="AG475" s="1207"/>
      <c r="AH475" s="1207"/>
      <c r="AI475" s="1207"/>
      <c r="AJ475" s="1207"/>
      <c r="AK475" s="1207"/>
      <c r="AL475" s="1207"/>
      <c r="AM475" s="1207"/>
      <c r="AN475" s="1207"/>
      <c r="AO475" s="1207"/>
      <c r="AP475" s="1207"/>
      <c r="AQ475" s="1207"/>
      <c r="AR475" s="1207"/>
      <c r="AS475" s="1207"/>
      <c r="AT475" s="1207"/>
      <c r="AU475" s="1207"/>
      <c r="AV475" s="1207"/>
      <c r="AW475" s="1207"/>
      <c r="AX475" s="1207"/>
      <c r="AY475" s="1207"/>
      <c r="AZ475" s="1207"/>
      <c r="BA475" s="1207"/>
      <c r="BB475" s="1207"/>
      <c r="BC475" s="1207"/>
      <c r="BD475" s="1207"/>
      <c r="BE475" s="1207"/>
      <c r="BF475" s="1207"/>
      <c r="BG475" s="1207"/>
      <c r="BH475" s="1207"/>
      <c r="BI475" s="1207"/>
      <c r="BJ475" s="1207"/>
      <c r="BK475" s="1207"/>
      <c r="BL475" s="1207"/>
      <c r="BM475" s="1207"/>
      <c r="BN475" s="1207"/>
      <c r="BO475" s="1207"/>
      <c r="BP475" s="1207"/>
      <c r="BQ475" s="1207"/>
      <c r="BR475" s="1207"/>
      <c r="BS475" s="1207"/>
      <c r="BT475" s="1207"/>
      <c r="BU475" s="1207"/>
      <c r="BV475" s="1207"/>
      <c r="BW475" s="1207"/>
      <c r="BX475" s="1207"/>
      <c r="BY475" s="1207"/>
      <c r="BZ475" s="1207"/>
      <c r="CA475" s="1207"/>
      <c r="CB475" s="1207"/>
      <c r="CC475" s="1207"/>
      <c r="CD475" s="1207"/>
      <c r="CE475" s="1207"/>
      <c r="CF475" s="1207"/>
    </row>
    <row r="476" spans="1:84" ht="105" x14ac:dyDescent="0.2">
      <c r="A476" s="1355">
        <v>2022458</v>
      </c>
      <c r="B476" s="1172">
        <v>7658</v>
      </c>
      <c r="C476" s="1356" t="s">
        <v>681</v>
      </c>
      <c r="D476" s="1190" t="s">
        <v>694</v>
      </c>
      <c r="E476" s="1174">
        <v>80111600</v>
      </c>
      <c r="F476" s="1389" t="s">
        <v>1095</v>
      </c>
      <c r="G476" s="1390">
        <v>44562</v>
      </c>
      <c r="H476" s="1390">
        <v>44592</v>
      </c>
      <c r="I476" s="1176">
        <v>10</v>
      </c>
      <c r="J476" s="1176" t="s">
        <v>675</v>
      </c>
      <c r="K476" s="1177" t="s">
        <v>676</v>
      </c>
      <c r="L476" s="1178" t="s">
        <v>677</v>
      </c>
      <c r="M476" s="1179">
        <v>48500000</v>
      </c>
      <c r="N476" s="1386" t="s">
        <v>770</v>
      </c>
      <c r="O476" s="1174" t="s">
        <v>769</v>
      </c>
      <c r="P476" s="1207" t="s">
        <v>680</v>
      </c>
      <c r="Q476" s="1163"/>
      <c r="R476" s="1357">
        <v>48500000</v>
      </c>
      <c r="S476" s="1357">
        <v>48500000</v>
      </c>
      <c r="T476" s="1357">
        <f>+Tabla16[[#This Row],[CDPS A 31 JULIO 2022]]-Tabla16[[#This Row],[CDP]]</f>
        <v>0</v>
      </c>
      <c r="U476" s="1357">
        <v>48500000</v>
      </c>
      <c r="V476" s="1357">
        <v>20208333</v>
      </c>
      <c r="W476" s="1357"/>
      <c r="X476" s="1207"/>
      <c r="Y476" s="1207"/>
      <c r="Z476" s="1207"/>
      <c r="AA476" s="1207"/>
      <c r="AB476" s="1207"/>
      <c r="AC476" s="1207"/>
      <c r="AD476" s="1207"/>
      <c r="AE476" s="1207"/>
      <c r="AF476" s="1207"/>
      <c r="AG476" s="1207"/>
      <c r="AH476" s="1207"/>
      <c r="AI476" s="1207"/>
      <c r="AJ476" s="1207"/>
      <c r="AK476" s="1207"/>
      <c r="AL476" s="1207"/>
      <c r="AM476" s="1207"/>
      <c r="AN476" s="1207"/>
      <c r="AO476" s="1207"/>
      <c r="AP476" s="1207"/>
      <c r="AQ476" s="1207"/>
      <c r="AR476" s="1207"/>
      <c r="AS476" s="1207"/>
      <c r="AT476" s="1207"/>
      <c r="AU476" s="1207"/>
      <c r="AV476" s="1207"/>
      <c r="AW476" s="1207"/>
      <c r="AX476" s="1207"/>
      <c r="AY476" s="1207"/>
      <c r="AZ476" s="1207"/>
      <c r="BA476" s="1207"/>
      <c r="BB476" s="1207"/>
      <c r="BC476" s="1207"/>
      <c r="BD476" s="1207"/>
      <c r="BE476" s="1207"/>
      <c r="BF476" s="1207"/>
      <c r="BG476" s="1207"/>
      <c r="BH476" s="1207"/>
      <c r="BI476" s="1207"/>
      <c r="BJ476" s="1207"/>
      <c r="BK476" s="1207"/>
      <c r="BL476" s="1207"/>
      <c r="BM476" s="1207"/>
      <c r="BN476" s="1207"/>
      <c r="BO476" s="1207"/>
      <c r="BP476" s="1207"/>
      <c r="BQ476" s="1207"/>
      <c r="BR476" s="1207"/>
      <c r="BS476" s="1207"/>
      <c r="BT476" s="1207"/>
      <c r="BU476" s="1207"/>
      <c r="BV476" s="1207"/>
      <c r="BW476" s="1207"/>
      <c r="BX476" s="1207"/>
      <c r="BY476" s="1207"/>
      <c r="BZ476" s="1207"/>
      <c r="CA476" s="1207"/>
      <c r="CB476" s="1207"/>
      <c r="CC476" s="1207"/>
      <c r="CD476" s="1207"/>
      <c r="CE476" s="1207"/>
      <c r="CF476" s="1207"/>
    </row>
    <row r="477" spans="1:84" s="1398" customFormat="1" ht="105" x14ac:dyDescent="0.2">
      <c r="A477" s="1355">
        <v>2022459</v>
      </c>
      <c r="B477" s="1172">
        <v>7658</v>
      </c>
      <c r="C477" s="1356" t="s">
        <v>681</v>
      </c>
      <c r="D477" s="1190" t="s">
        <v>694</v>
      </c>
      <c r="E477" s="1174">
        <v>80111600</v>
      </c>
      <c r="F477" s="1389" t="s">
        <v>1095</v>
      </c>
      <c r="G477" s="1390">
        <v>44562</v>
      </c>
      <c r="H477" s="1390">
        <v>44592</v>
      </c>
      <c r="I477" s="1176">
        <v>6</v>
      </c>
      <c r="J477" s="1176" t="s">
        <v>675</v>
      </c>
      <c r="K477" s="1177" t="s">
        <v>676</v>
      </c>
      <c r="L477" s="1178" t="s">
        <v>677</v>
      </c>
      <c r="M477" s="1179">
        <v>29100000</v>
      </c>
      <c r="N477" s="1386" t="s">
        <v>770</v>
      </c>
      <c r="O477" s="1174" t="s">
        <v>769</v>
      </c>
      <c r="P477" s="1207" t="s">
        <v>680</v>
      </c>
      <c r="Q477" s="1163"/>
      <c r="R477" s="1357">
        <v>29100000</v>
      </c>
      <c r="S477" s="1357">
        <v>29100000</v>
      </c>
      <c r="T477" s="1357">
        <f>+Tabla16[[#This Row],[CDPS A 31 JULIO 2022]]-Tabla16[[#This Row],[CDP]]</f>
        <v>0</v>
      </c>
      <c r="U477" s="1357">
        <v>29100000</v>
      </c>
      <c r="V477" s="1357">
        <v>19400000</v>
      </c>
      <c r="W477" s="1357"/>
    </row>
    <row r="478" spans="1:84" s="1398" customFormat="1" ht="105" x14ac:dyDescent="0.2">
      <c r="A478" s="1355">
        <v>2022460</v>
      </c>
      <c r="B478" s="1172">
        <v>7658</v>
      </c>
      <c r="C478" s="1356" t="s">
        <v>681</v>
      </c>
      <c r="D478" s="1190" t="s">
        <v>694</v>
      </c>
      <c r="E478" s="1174">
        <v>80111600</v>
      </c>
      <c r="F478" s="1389" t="s">
        <v>1095</v>
      </c>
      <c r="G478" s="1390">
        <v>44562</v>
      </c>
      <c r="H478" s="1390">
        <v>44592</v>
      </c>
      <c r="I478" s="1176">
        <v>4</v>
      </c>
      <c r="J478" s="1176" t="s">
        <v>675</v>
      </c>
      <c r="K478" s="1177" t="s">
        <v>676</v>
      </c>
      <c r="L478" s="1178" t="s">
        <v>677</v>
      </c>
      <c r="M478" s="1179">
        <v>19400000</v>
      </c>
      <c r="N478" s="1386" t="s">
        <v>770</v>
      </c>
      <c r="O478" s="1174" t="s">
        <v>769</v>
      </c>
      <c r="P478" s="1207" t="s">
        <v>680</v>
      </c>
      <c r="Q478" s="1163"/>
      <c r="R478" s="1269">
        <v>0</v>
      </c>
      <c r="S478" s="1357"/>
      <c r="T478" s="1357">
        <f>+Tabla16[[#This Row],[CDPS A 31 JULIO 2022]]-Tabla16[[#This Row],[CDP]]</f>
        <v>0</v>
      </c>
      <c r="U478" s="1357"/>
      <c r="V478" s="1357"/>
      <c r="W478" s="1357"/>
    </row>
    <row r="479" spans="1:84" s="1398" customFormat="1" ht="105" x14ac:dyDescent="0.2">
      <c r="A479" s="1355">
        <v>2022461</v>
      </c>
      <c r="B479" s="1172">
        <v>7658</v>
      </c>
      <c r="C479" s="1356" t="s">
        <v>681</v>
      </c>
      <c r="D479" s="1190" t="s">
        <v>694</v>
      </c>
      <c r="E479" s="1174">
        <v>80111600</v>
      </c>
      <c r="F479" s="1389" t="s">
        <v>1095</v>
      </c>
      <c r="G479" s="1390">
        <v>44562</v>
      </c>
      <c r="H479" s="1390">
        <v>44592</v>
      </c>
      <c r="I479" s="1176">
        <v>10</v>
      </c>
      <c r="J479" s="1176" t="s">
        <v>675</v>
      </c>
      <c r="K479" s="1177" t="s">
        <v>676</v>
      </c>
      <c r="L479" s="1178" t="s">
        <v>677</v>
      </c>
      <c r="M479" s="1179">
        <v>45000000</v>
      </c>
      <c r="N479" s="1386" t="s">
        <v>770</v>
      </c>
      <c r="O479" s="1174" t="s">
        <v>769</v>
      </c>
      <c r="P479" s="1207" t="s">
        <v>680</v>
      </c>
      <c r="Q479" s="1163"/>
      <c r="R479" s="1357">
        <v>45000000</v>
      </c>
      <c r="S479" s="1357">
        <v>45000000</v>
      </c>
      <c r="T479" s="1357">
        <f>+Tabla16[[#This Row],[CDPS A 31 JULIO 2022]]-Tabla16[[#This Row],[CDP]]</f>
        <v>0</v>
      </c>
      <c r="U479" s="1357">
        <v>45000000</v>
      </c>
      <c r="V479" s="1357">
        <v>18000000</v>
      </c>
      <c r="W479" s="1357"/>
    </row>
    <row r="480" spans="1:84" s="1398" customFormat="1" ht="105" x14ac:dyDescent="0.2">
      <c r="A480" s="1355">
        <v>2022462</v>
      </c>
      <c r="B480" s="1172">
        <v>7658</v>
      </c>
      <c r="C480" s="1356" t="s">
        <v>681</v>
      </c>
      <c r="D480" s="1190" t="s">
        <v>694</v>
      </c>
      <c r="E480" s="1174">
        <v>80111600</v>
      </c>
      <c r="F480" s="1389" t="s">
        <v>1096</v>
      </c>
      <c r="G480" s="1390">
        <v>44562</v>
      </c>
      <c r="H480" s="1390">
        <v>44592</v>
      </c>
      <c r="I480" s="1176">
        <v>6</v>
      </c>
      <c r="J480" s="1176" t="s">
        <v>675</v>
      </c>
      <c r="K480" s="1177" t="s">
        <v>676</v>
      </c>
      <c r="L480" s="1178" t="s">
        <v>677</v>
      </c>
      <c r="M480" s="1179">
        <f>16500000-1800000</f>
        <v>14700000</v>
      </c>
      <c r="N480" s="1386" t="s">
        <v>770</v>
      </c>
      <c r="O480" s="1174" t="s">
        <v>769</v>
      </c>
      <c r="P480" s="1207" t="s">
        <v>680</v>
      </c>
      <c r="Q480" s="1163"/>
      <c r="R480" s="1357">
        <v>14700000</v>
      </c>
      <c r="S480" s="1357">
        <v>14700000</v>
      </c>
      <c r="T480" s="1357">
        <f>+Tabla16[[#This Row],[CDPS A 31 JULIO 2022]]-Tabla16[[#This Row],[CDP]]</f>
        <v>0</v>
      </c>
      <c r="U480" s="1357">
        <v>14700000</v>
      </c>
      <c r="V480" s="1357">
        <v>9800000</v>
      </c>
      <c r="W480" s="1357"/>
    </row>
    <row r="481" spans="1:84" s="1398" customFormat="1" ht="105" x14ac:dyDescent="0.2">
      <c r="A481" s="1355">
        <v>2022463</v>
      </c>
      <c r="B481" s="1172">
        <v>7658</v>
      </c>
      <c r="C481" s="1356" t="s">
        <v>681</v>
      </c>
      <c r="D481" s="1190" t="s">
        <v>694</v>
      </c>
      <c r="E481" s="1174">
        <v>80111600</v>
      </c>
      <c r="F481" s="1389" t="s">
        <v>1096</v>
      </c>
      <c r="G481" s="1390">
        <v>44562</v>
      </c>
      <c r="H481" s="1390">
        <v>44592</v>
      </c>
      <c r="I481" s="1176">
        <v>4</v>
      </c>
      <c r="J481" s="1176" t="s">
        <v>675</v>
      </c>
      <c r="K481" s="1177" t="s">
        <v>676</v>
      </c>
      <c r="L481" s="1178" t="s">
        <v>677</v>
      </c>
      <c r="M481" s="1179">
        <f>11000000-1200000</f>
        <v>9800000</v>
      </c>
      <c r="N481" s="1386" t="s">
        <v>770</v>
      </c>
      <c r="O481" s="1174" t="s">
        <v>769</v>
      </c>
      <c r="P481" s="1207" t="s">
        <v>680</v>
      </c>
      <c r="Q481" s="1163"/>
      <c r="R481" s="1357">
        <v>11000000</v>
      </c>
      <c r="S481" s="1357"/>
      <c r="T481" s="1357">
        <f>+Tabla16[[#This Row],[CDPS A 31 JULIO 2022]]-Tabla16[[#This Row],[CDP]]</f>
        <v>11000000</v>
      </c>
      <c r="U481" s="1357"/>
      <c r="V481" s="1357"/>
      <c r="W481" s="1357"/>
    </row>
    <row r="482" spans="1:84" ht="105" x14ac:dyDescent="0.2">
      <c r="A482" s="1355">
        <v>2022464</v>
      </c>
      <c r="B482" s="1172">
        <v>7658</v>
      </c>
      <c r="C482" s="1356" t="s">
        <v>681</v>
      </c>
      <c r="D482" s="1190" t="s">
        <v>694</v>
      </c>
      <c r="E482" s="1174">
        <v>80111600</v>
      </c>
      <c r="F482" s="1389" t="s">
        <v>1097</v>
      </c>
      <c r="G482" s="1390">
        <v>44562</v>
      </c>
      <c r="H482" s="1390">
        <v>44592</v>
      </c>
      <c r="I482" s="1176">
        <v>10</v>
      </c>
      <c r="J482" s="1176" t="s">
        <v>675</v>
      </c>
      <c r="K482" s="1177" t="s">
        <v>676</v>
      </c>
      <c r="L482" s="1178" t="s">
        <v>677</v>
      </c>
      <c r="M482" s="1179">
        <f>50000000-20000000</f>
        <v>30000000</v>
      </c>
      <c r="N482" s="1386" t="s">
        <v>770</v>
      </c>
      <c r="O482" s="1174" t="s">
        <v>769</v>
      </c>
      <c r="P482" s="1207" t="s">
        <v>680</v>
      </c>
      <c r="Q482" s="1163"/>
      <c r="R482" s="1357">
        <v>30000000</v>
      </c>
      <c r="S482" s="1357">
        <v>30000000</v>
      </c>
      <c r="T482" s="1357">
        <f>+Tabla16[[#This Row],[CDPS A 31 JULIO 2022]]-Tabla16[[#This Row],[CDP]]</f>
        <v>0</v>
      </c>
      <c r="U482" s="1357">
        <v>30000000</v>
      </c>
      <c r="V482" s="1357">
        <v>25666667</v>
      </c>
      <c r="W482" s="1357"/>
      <c r="X482" s="1207"/>
      <c r="Y482" s="1207"/>
      <c r="Z482" s="1207"/>
      <c r="AA482" s="1207"/>
      <c r="AB482" s="1207"/>
      <c r="AC482" s="1207"/>
      <c r="AD482" s="1207"/>
      <c r="AE482" s="1207"/>
      <c r="AF482" s="1207"/>
      <c r="AG482" s="1207"/>
      <c r="AH482" s="1207"/>
      <c r="AI482" s="1207"/>
      <c r="AJ482" s="1207"/>
      <c r="AK482" s="1207"/>
      <c r="AL482" s="1207"/>
      <c r="AM482" s="1207"/>
      <c r="AN482" s="1207"/>
      <c r="AO482" s="1207"/>
      <c r="AP482" s="1207"/>
      <c r="AQ482" s="1207"/>
      <c r="AR482" s="1207"/>
      <c r="AS482" s="1207"/>
      <c r="AT482" s="1207"/>
      <c r="AU482" s="1207"/>
      <c r="AV482" s="1207"/>
      <c r="AW482" s="1207"/>
      <c r="AX482" s="1207"/>
      <c r="AY482" s="1207"/>
      <c r="AZ482" s="1207"/>
      <c r="BA482" s="1207"/>
      <c r="BB482" s="1207"/>
      <c r="BC482" s="1207"/>
      <c r="BD482" s="1207"/>
      <c r="BE482" s="1207"/>
      <c r="BF482" s="1207"/>
      <c r="BG482" s="1207"/>
      <c r="BH482" s="1207"/>
      <c r="BI482" s="1207"/>
      <c r="BJ482" s="1207"/>
      <c r="BK482" s="1207"/>
      <c r="BL482" s="1207"/>
      <c r="BM482" s="1207"/>
      <c r="BN482" s="1207"/>
      <c r="BO482" s="1207"/>
      <c r="BP482" s="1207"/>
      <c r="BQ482" s="1207"/>
      <c r="BR482" s="1207"/>
      <c r="BS482" s="1207"/>
      <c r="BT482" s="1207"/>
      <c r="BU482" s="1207"/>
      <c r="BV482" s="1207"/>
      <c r="BW482" s="1207"/>
      <c r="BX482" s="1207"/>
      <c r="BY482" s="1207"/>
      <c r="BZ482" s="1207"/>
      <c r="CA482" s="1207"/>
      <c r="CB482" s="1207"/>
      <c r="CC482" s="1207"/>
      <c r="CD482" s="1207"/>
      <c r="CE482" s="1207"/>
      <c r="CF482" s="1207"/>
    </row>
    <row r="483" spans="1:84" ht="105" x14ac:dyDescent="0.2">
      <c r="A483" s="1355">
        <v>2022465</v>
      </c>
      <c r="B483" s="1172">
        <v>7658</v>
      </c>
      <c r="C483" s="1356" t="s">
        <v>681</v>
      </c>
      <c r="D483" s="1190" t="s">
        <v>694</v>
      </c>
      <c r="E483" s="1174">
        <v>80111600</v>
      </c>
      <c r="F483" s="1389" t="s">
        <v>1098</v>
      </c>
      <c r="G483" s="1390">
        <v>44562</v>
      </c>
      <c r="H483" s="1390">
        <v>44592</v>
      </c>
      <c r="I483" s="1176">
        <v>10</v>
      </c>
      <c r="J483" s="1176" t="s">
        <v>675</v>
      </c>
      <c r="K483" s="1177" t="s">
        <v>676</v>
      </c>
      <c r="L483" s="1178" t="s">
        <v>677</v>
      </c>
      <c r="M483" s="1179">
        <v>48500000</v>
      </c>
      <c r="N483" s="1386" t="s">
        <v>770</v>
      </c>
      <c r="O483" s="1174" t="s">
        <v>769</v>
      </c>
      <c r="P483" s="1207" t="s">
        <v>680</v>
      </c>
      <c r="Q483" s="1163"/>
      <c r="R483" s="1357">
        <v>48500000</v>
      </c>
      <c r="S483" s="1357">
        <v>48500000</v>
      </c>
      <c r="T483" s="1357">
        <f>+Tabla16[[#This Row],[CDPS A 31 JULIO 2022]]-Tabla16[[#This Row],[CDP]]</f>
        <v>0</v>
      </c>
      <c r="U483" s="1357">
        <v>48500000</v>
      </c>
      <c r="V483" s="1357">
        <v>21340000</v>
      </c>
      <c r="W483" s="1357"/>
      <c r="X483" s="1207"/>
      <c r="Y483" s="1207"/>
      <c r="Z483" s="1207"/>
      <c r="AA483" s="1207"/>
      <c r="AB483" s="1207"/>
      <c r="AC483" s="1207"/>
      <c r="AD483" s="1207"/>
      <c r="AE483" s="1207"/>
      <c r="AF483" s="1207"/>
      <c r="AG483" s="1207"/>
      <c r="AH483" s="1207"/>
      <c r="AI483" s="1207"/>
      <c r="AJ483" s="1207"/>
      <c r="AK483" s="1207"/>
      <c r="AL483" s="1207"/>
      <c r="AM483" s="1207"/>
      <c r="AN483" s="1207"/>
      <c r="AO483" s="1207"/>
      <c r="AP483" s="1207"/>
      <c r="AQ483" s="1207"/>
      <c r="AR483" s="1207"/>
      <c r="AS483" s="1207"/>
      <c r="AT483" s="1207"/>
      <c r="AU483" s="1207"/>
      <c r="AV483" s="1207"/>
      <c r="AW483" s="1207"/>
      <c r="AX483" s="1207"/>
      <c r="AY483" s="1207"/>
      <c r="AZ483" s="1207"/>
      <c r="BA483" s="1207"/>
      <c r="BB483" s="1207"/>
      <c r="BC483" s="1207"/>
      <c r="BD483" s="1207"/>
      <c r="BE483" s="1207"/>
      <c r="BF483" s="1207"/>
      <c r="BG483" s="1207"/>
      <c r="BH483" s="1207"/>
      <c r="BI483" s="1207"/>
      <c r="BJ483" s="1207"/>
      <c r="BK483" s="1207"/>
      <c r="BL483" s="1207"/>
      <c r="BM483" s="1207"/>
      <c r="BN483" s="1207"/>
      <c r="BO483" s="1207"/>
      <c r="BP483" s="1207"/>
      <c r="BQ483" s="1207"/>
      <c r="BR483" s="1207"/>
      <c r="BS483" s="1207"/>
      <c r="BT483" s="1207"/>
      <c r="BU483" s="1207"/>
      <c r="BV483" s="1207"/>
      <c r="BW483" s="1207"/>
      <c r="BX483" s="1207"/>
      <c r="BY483" s="1207"/>
      <c r="BZ483" s="1207"/>
      <c r="CA483" s="1207"/>
      <c r="CB483" s="1207"/>
      <c r="CC483" s="1207"/>
      <c r="CD483" s="1207"/>
      <c r="CE483" s="1207"/>
      <c r="CF483" s="1207"/>
    </row>
    <row r="484" spans="1:84" ht="105" x14ac:dyDescent="0.2">
      <c r="A484" s="1355">
        <v>2022466</v>
      </c>
      <c r="B484" s="1172">
        <v>7658</v>
      </c>
      <c r="C484" s="1356" t="s">
        <v>681</v>
      </c>
      <c r="D484" s="1190" t="s">
        <v>694</v>
      </c>
      <c r="E484" s="1174">
        <v>80111600</v>
      </c>
      <c r="F484" s="1389" t="s">
        <v>1099</v>
      </c>
      <c r="G484" s="1390">
        <v>44562</v>
      </c>
      <c r="H484" s="1390">
        <v>44592</v>
      </c>
      <c r="I484" s="1176">
        <v>10</v>
      </c>
      <c r="J484" s="1176" t="s">
        <v>675</v>
      </c>
      <c r="K484" s="1177" t="s">
        <v>676</v>
      </c>
      <c r="L484" s="1178" t="s">
        <v>677</v>
      </c>
      <c r="M484" s="1179">
        <v>33500000</v>
      </c>
      <c r="N484" s="1386" t="s">
        <v>770</v>
      </c>
      <c r="O484" s="1174" t="s">
        <v>769</v>
      </c>
      <c r="P484" s="1207" t="s">
        <v>680</v>
      </c>
      <c r="Q484" s="1163"/>
      <c r="R484" s="1357">
        <v>33500000</v>
      </c>
      <c r="S484" s="1357">
        <v>33500000</v>
      </c>
      <c r="T484" s="1357">
        <f>+Tabla16[[#This Row],[CDPS A 31 JULIO 2022]]-Tabla16[[#This Row],[CDP]]</f>
        <v>0</v>
      </c>
      <c r="U484" s="1357">
        <v>33500000</v>
      </c>
      <c r="V484" s="1357">
        <v>14628333</v>
      </c>
      <c r="W484" s="1357"/>
      <c r="X484" s="1207"/>
      <c r="Y484" s="1207"/>
      <c r="Z484" s="1207"/>
      <c r="AA484" s="1207"/>
      <c r="AB484" s="1207"/>
      <c r="AC484" s="1207"/>
      <c r="AD484" s="1207"/>
      <c r="AE484" s="1207"/>
      <c r="AF484" s="1207"/>
      <c r="AG484" s="1207"/>
      <c r="AH484" s="1207"/>
      <c r="AI484" s="1207"/>
      <c r="AJ484" s="1207"/>
      <c r="AK484" s="1207"/>
      <c r="AL484" s="1207"/>
      <c r="AM484" s="1207"/>
      <c r="AN484" s="1207"/>
      <c r="AO484" s="1207"/>
      <c r="AP484" s="1207"/>
      <c r="AQ484" s="1207"/>
      <c r="AR484" s="1207"/>
      <c r="AS484" s="1207"/>
      <c r="AT484" s="1207"/>
      <c r="AU484" s="1207"/>
      <c r="AV484" s="1207"/>
      <c r="AW484" s="1207"/>
      <c r="AX484" s="1207"/>
      <c r="AY484" s="1207"/>
      <c r="AZ484" s="1207"/>
      <c r="BA484" s="1207"/>
      <c r="BB484" s="1207"/>
      <c r="BC484" s="1207"/>
      <c r="BD484" s="1207"/>
      <c r="BE484" s="1207"/>
      <c r="BF484" s="1207"/>
      <c r="BG484" s="1207"/>
      <c r="BH484" s="1207"/>
      <c r="BI484" s="1207"/>
      <c r="BJ484" s="1207"/>
      <c r="BK484" s="1207"/>
      <c r="BL484" s="1207"/>
      <c r="BM484" s="1207"/>
      <c r="BN484" s="1207"/>
      <c r="BO484" s="1207"/>
      <c r="BP484" s="1207"/>
      <c r="BQ484" s="1207"/>
      <c r="BR484" s="1207"/>
      <c r="BS484" s="1207"/>
      <c r="BT484" s="1207"/>
      <c r="BU484" s="1207"/>
      <c r="BV484" s="1207"/>
      <c r="BW484" s="1207"/>
      <c r="BX484" s="1207"/>
      <c r="BY484" s="1207"/>
      <c r="BZ484" s="1207"/>
      <c r="CA484" s="1207"/>
      <c r="CB484" s="1207"/>
      <c r="CC484" s="1207"/>
      <c r="CD484" s="1207"/>
      <c r="CE484" s="1207"/>
      <c r="CF484" s="1207"/>
    </row>
    <row r="485" spans="1:84" ht="105" x14ac:dyDescent="0.2">
      <c r="A485" s="1355">
        <v>2022467</v>
      </c>
      <c r="B485" s="1172">
        <v>7658</v>
      </c>
      <c r="C485" s="1356" t="s">
        <v>681</v>
      </c>
      <c r="D485" s="1190" t="s">
        <v>694</v>
      </c>
      <c r="E485" s="1174">
        <v>80111600</v>
      </c>
      <c r="F485" s="1389" t="s">
        <v>1100</v>
      </c>
      <c r="G485" s="1390">
        <v>44562</v>
      </c>
      <c r="H485" s="1390">
        <v>44592</v>
      </c>
      <c r="I485" s="1176">
        <v>10</v>
      </c>
      <c r="J485" s="1176" t="s">
        <v>675</v>
      </c>
      <c r="K485" s="1177" t="s">
        <v>676</v>
      </c>
      <c r="L485" s="1178" t="s">
        <v>677</v>
      </c>
      <c r="M485" s="1179">
        <f>48500000-29100000</f>
        <v>19400000</v>
      </c>
      <c r="N485" s="1386" t="s">
        <v>770</v>
      </c>
      <c r="O485" s="1174" t="s">
        <v>769</v>
      </c>
      <c r="P485" s="1207" t="s">
        <v>680</v>
      </c>
      <c r="Q485" s="1163"/>
      <c r="R485" s="1357">
        <v>19400000</v>
      </c>
      <c r="S485" s="1357">
        <v>19400000</v>
      </c>
      <c r="T485" s="1357">
        <f>+Tabla16[[#This Row],[CDPS A 31 JULIO 2022]]-Tabla16[[#This Row],[CDP]]</f>
        <v>0</v>
      </c>
      <c r="U485" s="1357">
        <v>19400000</v>
      </c>
      <c r="V485" s="1357">
        <v>19400000</v>
      </c>
      <c r="W485" s="1357"/>
      <c r="X485" s="1207"/>
      <c r="Y485" s="1207"/>
      <c r="Z485" s="1207"/>
      <c r="AA485" s="1207"/>
      <c r="AB485" s="1207"/>
      <c r="AC485" s="1207"/>
      <c r="AD485" s="1207"/>
      <c r="AE485" s="1207"/>
      <c r="AF485" s="1207"/>
      <c r="AG485" s="1207"/>
      <c r="AH485" s="1207"/>
      <c r="AI485" s="1207"/>
      <c r="AJ485" s="1207"/>
      <c r="AK485" s="1207"/>
      <c r="AL485" s="1207"/>
      <c r="AM485" s="1207"/>
      <c r="AN485" s="1207"/>
      <c r="AO485" s="1207"/>
      <c r="AP485" s="1207"/>
      <c r="AQ485" s="1207"/>
      <c r="AR485" s="1207"/>
      <c r="AS485" s="1207"/>
      <c r="AT485" s="1207"/>
      <c r="AU485" s="1207"/>
      <c r="AV485" s="1207"/>
      <c r="AW485" s="1207"/>
      <c r="AX485" s="1207"/>
      <c r="AY485" s="1207"/>
      <c r="AZ485" s="1207"/>
      <c r="BA485" s="1207"/>
      <c r="BB485" s="1207"/>
      <c r="BC485" s="1207"/>
      <c r="BD485" s="1207"/>
      <c r="BE485" s="1207"/>
      <c r="BF485" s="1207"/>
      <c r="BG485" s="1207"/>
      <c r="BH485" s="1207"/>
      <c r="BI485" s="1207"/>
      <c r="BJ485" s="1207"/>
      <c r="BK485" s="1207"/>
      <c r="BL485" s="1207"/>
      <c r="BM485" s="1207"/>
      <c r="BN485" s="1207"/>
      <c r="BO485" s="1207"/>
      <c r="BP485" s="1207"/>
      <c r="BQ485" s="1207"/>
      <c r="BR485" s="1207"/>
      <c r="BS485" s="1207"/>
      <c r="BT485" s="1207"/>
      <c r="BU485" s="1207"/>
      <c r="BV485" s="1207"/>
      <c r="BW485" s="1207"/>
      <c r="BX485" s="1207"/>
      <c r="BY485" s="1207"/>
      <c r="BZ485" s="1207"/>
      <c r="CA485" s="1207"/>
      <c r="CB485" s="1207"/>
      <c r="CC485" s="1207"/>
      <c r="CD485" s="1207"/>
      <c r="CE485" s="1207"/>
      <c r="CF485" s="1207"/>
    </row>
    <row r="486" spans="1:84" ht="105" x14ac:dyDescent="0.2">
      <c r="A486" s="1355">
        <v>2022468</v>
      </c>
      <c r="B486" s="1172">
        <v>7658</v>
      </c>
      <c r="C486" s="1356" t="s">
        <v>681</v>
      </c>
      <c r="D486" s="1190" t="s">
        <v>694</v>
      </c>
      <c r="E486" s="1174">
        <v>80111600</v>
      </c>
      <c r="F486" s="1389" t="s">
        <v>1101</v>
      </c>
      <c r="G486" s="1390">
        <v>44562</v>
      </c>
      <c r="H486" s="1390">
        <v>44592</v>
      </c>
      <c r="I486" s="1176">
        <v>4</v>
      </c>
      <c r="J486" s="1176" t="s">
        <v>675</v>
      </c>
      <c r="K486" s="1177" t="s">
        <v>676</v>
      </c>
      <c r="L486" s="1178" t="s">
        <v>677</v>
      </c>
      <c r="M486" s="1179">
        <f>19400000-150000</f>
        <v>19250000</v>
      </c>
      <c r="N486" s="1386" t="s">
        <v>770</v>
      </c>
      <c r="O486" s="1174" t="s">
        <v>769</v>
      </c>
      <c r="P486" s="1207" t="s">
        <v>680</v>
      </c>
      <c r="Q486" s="1163"/>
      <c r="R486" s="1269">
        <v>0</v>
      </c>
      <c r="S486" s="1357"/>
      <c r="T486" s="1357">
        <f>+Tabla16[[#This Row],[CDPS A 31 JULIO 2022]]-Tabla16[[#This Row],[CDP]]</f>
        <v>0</v>
      </c>
      <c r="U486" s="1357"/>
      <c r="V486" s="1357"/>
      <c r="W486" s="1357"/>
      <c r="X486" s="1207"/>
      <c r="Y486" s="1207"/>
      <c r="Z486" s="1207"/>
      <c r="AA486" s="1207"/>
      <c r="AB486" s="1207"/>
      <c r="AC486" s="1207"/>
      <c r="AD486" s="1207"/>
      <c r="AE486" s="1207"/>
      <c r="AF486" s="1207"/>
      <c r="AG486" s="1207"/>
      <c r="AH486" s="1207"/>
      <c r="AI486" s="1207"/>
      <c r="AJ486" s="1207"/>
      <c r="AK486" s="1207"/>
      <c r="AL486" s="1207"/>
      <c r="AM486" s="1207"/>
      <c r="AN486" s="1207"/>
      <c r="AO486" s="1207"/>
      <c r="AP486" s="1207"/>
      <c r="AQ486" s="1207"/>
      <c r="AR486" s="1207"/>
      <c r="AS486" s="1207"/>
      <c r="AT486" s="1207"/>
      <c r="AU486" s="1207"/>
      <c r="AV486" s="1207"/>
      <c r="AW486" s="1207"/>
      <c r="AX486" s="1207"/>
      <c r="AY486" s="1207"/>
      <c r="AZ486" s="1207"/>
      <c r="BA486" s="1207"/>
      <c r="BB486" s="1207"/>
      <c r="BC486" s="1207"/>
      <c r="BD486" s="1207"/>
      <c r="BE486" s="1207"/>
      <c r="BF486" s="1207"/>
      <c r="BG486" s="1207"/>
      <c r="BH486" s="1207"/>
      <c r="BI486" s="1207"/>
      <c r="BJ486" s="1207"/>
      <c r="BK486" s="1207"/>
      <c r="BL486" s="1207"/>
      <c r="BM486" s="1207"/>
      <c r="BN486" s="1207"/>
      <c r="BO486" s="1207"/>
      <c r="BP486" s="1207"/>
      <c r="BQ486" s="1207"/>
      <c r="BR486" s="1207"/>
      <c r="BS486" s="1207"/>
      <c r="BT486" s="1207"/>
      <c r="BU486" s="1207"/>
      <c r="BV486" s="1207"/>
      <c r="BW486" s="1207"/>
      <c r="BX486" s="1207"/>
      <c r="BY486" s="1207"/>
      <c r="BZ486" s="1207"/>
      <c r="CA486" s="1207"/>
      <c r="CB486" s="1207"/>
      <c r="CC486" s="1207"/>
      <c r="CD486" s="1207"/>
      <c r="CE486" s="1207"/>
      <c r="CF486" s="1207"/>
    </row>
    <row r="487" spans="1:84" ht="105" x14ac:dyDescent="0.2">
      <c r="A487" s="1355">
        <v>2022469</v>
      </c>
      <c r="B487" s="1172">
        <v>7658</v>
      </c>
      <c r="C487" s="1356" t="s">
        <v>681</v>
      </c>
      <c r="D487" s="1190" t="s">
        <v>694</v>
      </c>
      <c r="E487" s="1174">
        <v>80111600</v>
      </c>
      <c r="F487" s="1389" t="s">
        <v>1101</v>
      </c>
      <c r="G487" s="1390">
        <v>44562</v>
      </c>
      <c r="H487" s="1390">
        <v>44592</v>
      </c>
      <c r="I487" s="1176">
        <v>6</v>
      </c>
      <c r="J487" s="1176" t="s">
        <v>675</v>
      </c>
      <c r="K487" s="1177" t="s">
        <v>676</v>
      </c>
      <c r="L487" s="1178" t="s">
        <v>677</v>
      </c>
      <c r="M487" s="1179">
        <v>29100000</v>
      </c>
      <c r="N487" s="1386" t="s">
        <v>770</v>
      </c>
      <c r="O487" s="1174" t="s">
        <v>769</v>
      </c>
      <c r="P487" s="1207" t="s">
        <v>680</v>
      </c>
      <c r="Q487" s="1163"/>
      <c r="R487" s="1357">
        <v>29100000</v>
      </c>
      <c r="S487" s="1357">
        <v>29100000</v>
      </c>
      <c r="T487" s="1357">
        <f>+Tabla16[[#This Row],[CDPS A 31 JULIO 2022]]-Tabla16[[#This Row],[CDP]]</f>
        <v>0</v>
      </c>
      <c r="U487" s="1357">
        <v>29100000</v>
      </c>
      <c r="V487" s="1357">
        <v>19400000</v>
      </c>
      <c r="W487" s="1357"/>
      <c r="X487" s="1207"/>
      <c r="Y487" s="1207"/>
      <c r="Z487" s="1207"/>
      <c r="AA487" s="1207"/>
      <c r="AB487" s="1207"/>
      <c r="AC487" s="1207"/>
      <c r="AD487" s="1207"/>
      <c r="AE487" s="1207"/>
      <c r="AF487" s="1207"/>
      <c r="AG487" s="1207"/>
      <c r="AH487" s="1207"/>
      <c r="AI487" s="1207"/>
      <c r="AJ487" s="1207"/>
      <c r="AK487" s="1207"/>
      <c r="AL487" s="1207"/>
      <c r="AM487" s="1207"/>
      <c r="AN487" s="1207"/>
      <c r="AO487" s="1207"/>
      <c r="AP487" s="1207"/>
      <c r="AQ487" s="1207"/>
      <c r="AR487" s="1207"/>
      <c r="AS487" s="1207"/>
      <c r="AT487" s="1207"/>
      <c r="AU487" s="1207"/>
      <c r="AV487" s="1207"/>
      <c r="AW487" s="1207"/>
      <c r="AX487" s="1207"/>
      <c r="AY487" s="1207"/>
      <c r="AZ487" s="1207"/>
      <c r="BA487" s="1207"/>
      <c r="BB487" s="1207"/>
      <c r="BC487" s="1207"/>
      <c r="BD487" s="1207"/>
      <c r="BE487" s="1207"/>
      <c r="BF487" s="1207"/>
      <c r="BG487" s="1207"/>
      <c r="BH487" s="1207"/>
      <c r="BI487" s="1207"/>
      <c r="BJ487" s="1207"/>
      <c r="BK487" s="1207"/>
      <c r="BL487" s="1207"/>
      <c r="BM487" s="1207"/>
      <c r="BN487" s="1207"/>
      <c r="BO487" s="1207"/>
      <c r="BP487" s="1207"/>
      <c r="BQ487" s="1207"/>
      <c r="BR487" s="1207"/>
      <c r="BS487" s="1207"/>
      <c r="BT487" s="1207"/>
      <c r="BU487" s="1207"/>
      <c r="BV487" s="1207"/>
      <c r="BW487" s="1207"/>
      <c r="BX487" s="1207"/>
      <c r="BY487" s="1207"/>
      <c r="BZ487" s="1207"/>
      <c r="CA487" s="1207"/>
      <c r="CB487" s="1207"/>
      <c r="CC487" s="1207"/>
      <c r="CD487" s="1207"/>
      <c r="CE487" s="1207"/>
      <c r="CF487" s="1207"/>
    </row>
    <row r="488" spans="1:84" ht="105" x14ac:dyDescent="0.2">
      <c r="A488" s="1355">
        <v>2022470</v>
      </c>
      <c r="B488" s="1172">
        <v>7658</v>
      </c>
      <c r="C488" s="1356" t="s">
        <v>681</v>
      </c>
      <c r="D488" s="1190" t="s">
        <v>694</v>
      </c>
      <c r="E488" s="1174">
        <v>80111600</v>
      </c>
      <c r="F488" s="1389" t="s">
        <v>1101</v>
      </c>
      <c r="G488" s="1390">
        <v>44562</v>
      </c>
      <c r="H488" s="1390">
        <v>44592</v>
      </c>
      <c r="I488" s="1176">
        <v>4</v>
      </c>
      <c r="J488" s="1176" t="s">
        <v>675</v>
      </c>
      <c r="K488" s="1177" t="s">
        <v>676</v>
      </c>
      <c r="L488" s="1178" t="s">
        <v>677</v>
      </c>
      <c r="M488" s="1179">
        <v>16000000</v>
      </c>
      <c r="N488" s="1386" t="s">
        <v>770</v>
      </c>
      <c r="O488" s="1174" t="s">
        <v>769</v>
      </c>
      <c r="P488" s="1207" t="s">
        <v>680</v>
      </c>
      <c r="Q488" s="1163"/>
      <c r="R488" s="1269">
        <v>0</v>
      </c>
      <c r="S488" s="1357"/>
      <c r="T488" s="1357">
        <f>+Tabla16[[#This Row],[CDPS A 31 JULIO 2022]]-Tabla16[[#This Row],[CDP]]</f>
        <v>0</v>
      </c>
      <c r="U488" s="1357"/>
      <c r="V488" s="1357"/>
      <c r="W488" s="1357"/>
      <c r="X488" s="1207"/>
      <c r="Y488" s="1207"/>
      <c r="Z488" s="1207"/>
      <c r="AA488" s="1207"/>
      <c r="AB488" s="1207"/>
      <c r="AC488" s="1207"/>
      <c r="AD488" s="1207"/>
      <c r="AE488" s="1207"/>
      <c r="AF488" s="1207"/>
      <c r="AG488" s="1207"/>
      <c r="AH488" s="1207"/>
      <c r="AI488" s="1207"/>
      <c r="AJ488" s="1207"/>
      <c r="AK488" s="1207"/>
      <c r="AL488" s="1207"/>
      <c r="AM488" s="1207"/>
      <c r="AN488" s="1207"/>
      <c r="AO488" s="1207"/>
      <c r="AP488" s="1207"/>
      <c r="AQ488" s="1207"/>
      <c r="AR488" s="1207"/>
      <c r="AS488" s="1207"/>
      <c r="AT488" s="1207"/>
      <c r="AU488" s="1207"/>
      <c r="AV488" s="1207"/>
      <c r="AW488" s="1207"/>
      <c r="AX488" s="1207"/>
      <c r="AY488" s="1207"/>
      <c r="AZ488" s="1207"/>
      <c r="BA488" s="1207"/>
      <c r="BB488" s="1207"/>
      <c r="BC488" s="1207"/>
      <c r="BD488" s="1207"/>
      <c r="BE488" s="1207"/>
      <c r="BF488" s="1207"/>
      <c r="BG488" s="1207"/>
      <c r="BH488" s="1207"/>
      <c r="BI488" s="1207"/>
      <c r="BJ488" s="1207"/>
      <c r="BK488" s="1207"/>
      <c r="BL488" s="1207"/>
      <c r="BM488" s="1207"/>
      <c r="BN488" s="1207"/>
      <c r="BO488" s="1207"/>
      <c r="BP488" s="1207"/>
      <c r="BQ488" s="1207"/>
      <c r="BR488" s="1207"/>
      <c r="BS488" s="1207"/>
      <c r="BT488" s="1207"/>
      <c r="BU488" s="1207"/>
      <c r="BV488" s="1207"/>
      <c r="BW488" s="1207"/>
      <c r="BX488" s="1207"/>
      <c r="BY488" s="1207"/>
      <c r="BZ488" s="1207"/>
      <c r="CA488" s="1207"/>
      <c r="CB488" s="1207"/>
      <c r="CC488" s="1207"/>
      <c r="CD488" s="1207"/>
      <c r="CE488" s="1207"/>
      <c r="CF488" s="1207"/>
    </row>
    <row r="489" spans="1:84" ht="105" x14ac:dyDescent="0.2">
      <c r="A489" s="1355">
        <v>2022471</v>
      </c>
      <c r="B489" s="1172">
        <v>7658</v>
      </c>
      <c r="C489" s="1356" t="s">
        <v>681</v>
      </c>
      <c r="D489" s="1190" t="s">
        <v>694</v>
      </c>
      <c r="E489" s="1174">
        <v>80111600</v>
      </c>
      <c r="F489" s="1389" t="s">
        <v>1101</v>
      </c>
      <c r="G489" s="1390">
        <v>44562</v>
      </c>
      <c r="H489" s="1390">
        <v>44592</v>
      </c>
      <c r="I489" s="1176">
        <v>6</v>
      </c>
      <c r="J489" s="1176" t="s">
        <v>675</v>
      </c>
      <c r="K489" s="1177" t="s">
        <v>676</v>
      </c>
      <c r="L489" s="1178" t="s">
        <v>677</v>
      </c>
      <c r="M489" s="1179">
        <v>24000000</v>
      </c>
      <c r="N489" s="1386" t="s">
        <v>770</v>
      </c>
      <c r="O489" s="1174" t="s">
        <v>769</v>
      </c>
      <c r="P489" s="1207" t="s">
        <v>680</v>
      </c>
      <c r="Q489" s="1163"/>
      <c r="R489" s="1357">
        <v>24000000</v>
      </c>
      <c r="S489" s="1357">
        <v>24000000</v>
      </c>
      <c r="T489" s="1357">
        <f>+Tabla16[[#This Row],[CDPS A 31 JULIO 2022]]-Tabla16[[#This Row],[CDP]]</f>
        <v>0</v>
      </c>
      <c r="U489" s="1357">
        <v>24000000</v>
      </c>
      <c r="V489" s="1357">
        <v>16000000</v>
      </c>
      <c r="W489" s="1357"/>
      <c r="X489" s="1207"/>
      <c r="Y489" s="1207"/>
      <c r="Z489" s="1207"/>
      <c r="AA489" s="1207"/>
      <c r="AB489" s="1207"/>
      <c r="AC489" s="1207"/>
      <c r="AD489" s="1207"/>
      <c r="AE489" s="1207"/>
      <c r="AF489" s="1207"/>
      <c r="AG489" s="1207"/>
      <c r="AH489" s="1207"/>
      <c r="AI489" s="1207"/>
      <c r="AJ489" s="1207"/>
      <c r="AK489" s="1207"/>
      <c r="AL489" s="1207"/>
      <c r="AM489" s="1207"/>
      <c r="AN489" s="1207"/>
      <c r="AO489" s="1207"/>
      <c r="AP489" s="1207"/>
      <c r="AQ489" s="1207"/>
      <c r="AR489" s="1207"/>
      <c r="AS489" s="1207"/>
      <c r="AT489" s="1207"/>
      <c r="AU489" s="1207"/>
      <c r="AV489" s="1207"/>
      <c r="AW489" s="1207"/>
      <c r="AX489" s="1207"/>
      <c r="AY489" s="1207"/>
      <c r="AZ489" s="1207"/>
      <c r="BA489" s="1207"/>
      <c r="BB489" s="1207"/>
      <c r="BC489" s="1207"/>
      <c r="BD489" s="1207"/>
      <c r="BE489" s="1207"/>
      <c r="BF489" s="1207"/>
      <c r="BG489" s="1207"/>
      <c r="BH489" s="1207"/>
      <c r="BI489" s="1207"/>
      <c r="BJ489" s="1207"/>
      <c r="BK489" s="1207"/>
      <c r="BL489" s="1207"/>
      <c r="BM489" s="1207"/>
      <c r="BN489" s="1207"/>
      <c r="BO489" s="1207"/>
      <c r="BP489" s="1207"/>
      <c r="BQ489" s="1207"/>
      <c r="BR489" s="1207"/>
      <c r="BS489" s="1207"/>
      <c r="BT489" s="1207"/>
      <c r="BU489" s="1207"/>
      <c r="BV489" s="1207"/>
      <c r="BW489" s="1207"/>
      <c r="BX489" s="1207"/>
      <c r="BY489" s="1207"/>
      <c r="BZ489" s="1207"/>
      <c r="CA489" s="1207"/>
      <c r="CB489" s="1207"/>
      <c r="CC489" s="1207"/>
      <c r="CD489" s="1207"/>
      <c r="CE489" s="1207"/>
      <c r="CF489" s="1207"/>
    </row>
    <row r="490" spans="1:84" ht="105" x14ac:dyDescent="0.2">
      <c r="A490" s="1355">
        <v>2022472</v>
      </c>
      <c r="B490" s="1172">
        <v>7658</v>
      </c>
      <c r="C490" s="1356" t="s">
        <v>681</v>
      </c>
      <c r="D490" s="1190" t="s">
        <v>694</v>
      </c>
      <c r="E490" s="1174">
        <v>80111600</v>
      </c>
      <c r="F490" s="1389" t="s">
        <v>1101</v>
      </c>
      <c r="G490" s="1390">
        <v>44562</v>
      </c>
      <c r="H490" s="1390">
        <v>44592</v>
      </c>
      <c r="I490" s="1176">
        <v>4</v>
      </c>
      <c r="J490" s="1176" t="s">
        <v>675</v>
      </c>
      <c r="K490" s="1177" t="s">
        <v>676</v>
      </c>
      <c r="L490" s="1178" t="s">
        <v>677</v>
      </c>
      <c r="M490" s="1179">
        <f>15400000-1900000</f>
        <v>13500000</v>
      </c>
      <c r="N490" s="1386" t="s">
        <v>770</v>
      </c>
      <c r="O490" s="1174" t="s">
        <v>769</v>
      </c>
      <c r="P490" s="1207" t="s">
        <v>680</v>
      </c>
      <c r="Q490" s="1163"/>
      <c r="R490" s="1269">
        <v>0</v>
      </c>
      <c r="S490" s="1357"/>
      <c r="T490" s="1357">
        <f>+Tabla16[[#This Row],[CDPS A 31 JULIO 2022]]-Tabla16[[#This Row],[CDP]]</f>
        <v>0</v>
      </c>
      <c r="U490" s="1357"/>
      <c r="V490" s="1357"/>
      <c r="W490" s="1357"/>
      <c r="X490" s="1207"/>
      <c r="Y490" s="1207"/>
      <c r="Z490" s="1207"/>
      <c r="AA490" s="1207"/>
      <c r="AB490" s="1207"/>
      <c r="AC490" s="1207"/>
      <c r="AD490" s="1207"/>
      <c r="AE490" s="1207"/>
      <c r="AF490" s="1207"/>
      <c r="AG490" s="1207"/>
      <c r="AH490" s="1207"/>
      <c r="AI490" s="1207"/>
      <c r="AJ490" s="1207"/>
      <c r="AK490" s="1207"/>
      <c r="AL490" s="1207"/>
      <c r="AM490" s="1207"/>
      <c r="AN490" s="1207"/>
      <c r="AO490" s="1207"/>
      <c r="AP490" s="1207"/>
      <c r="AQ490" s="1207"/>
      <c r="AR490" s="1207"/>
      <c r="AS490" s="1207"/>
      <c r="AT490" s="1207"/>
      <c r="AU490" s="1207"/>
      <c r="AV490" s="1207"/>
      <c r="AW490" s="1207"/>
      <c r="AX490" s="1207"/>
      <c r="AY490" s="1207"/>
      <c r="AZ490" s="1207"/>
      <c r="BA490" s="1207"/>
      <c r="BB490" s="1207"/>
      <c r="BC490" s="1207"/>
      <c r="BD490" s="1207"/>
      <c r="BE490" s="1207"/>
      <c r="BF490" s="1207"/>
      <c r="BG490" s="1207"/>
      <c r="BH490" s="1207"/>
      <c r="BI490" s="1207"/>
      <c r="BJ490" s="1207"/>
      <c r="BK490" s="1207"/>
      <c r="BL490" s="1207"/>
      <c r="BM490" s="1207"/>
      <c r="BN490" s="1207"/>
      <c r="BO490" s="1207"/>
      <c r="BP490" s="1207"/>
      <c r="BQ490" s="1207"/>
      <c r="BR490" s="1207"/>
      <c r="BS490" s="1207"/>
      <c r="BT490" s="1207"/>
      <c r="BU490" s="1207"/>
      <c r="BV490" s="1207"/>
      <c r="BW490" s="1207"/>
      <c r="BX490" s="1207"/>
      <c r="BY490" s="1207"/>
      <c r="BZ490" s="1207"/>
      <c r="CA490" s="1207"/>
      <c r="CB490" s="1207"/>
      <c r="CC490" s="1207"/>
      <c r="CD490" s="1207"/>
      <c r="CE490" s="1207"/>
      <c r="CF490" s="1207"/>
    </row>
    <row r="491" spans="1:84" ht="105" x14ac:dyDescent="0.2">
      <c r="A491" s="1355">
        <v>2022473</v>
      </c>
      <c r="B491" s="1172">
        <v>7658</v>
      </c>
      <c r="C491" s="1356" t="s">
        <v>681</v>
      </c>
      <c r="D491" s="1190" t="s">
        <v>694</v>
      </c>
      <c r="E491" s="1174">
        <v>80111600</v>
      </c>
      <c r="F491" s="1389" t="s">
        <v>1101</v>
      </c>
      <c r="G491" s="1390">
        <v>44562</v>
      </c>
      <c r="H491" s="1390">
        <v>44592</v>
      </c>
      <c r="I491" s="1176">
        <v>6</v>
      </c>
      <c r="J491" s="1176" t="s">
        <v>675</v>
      </c>
      <c r="K491" s="1177" t="s">
        <v>676</v>
      </c>
      <c r="L491" s="1178" t="s">
        <v>677</v>
      </c>
      <c r="M491" s="1179">
        <v>23100000</v>
      </c>
      <c r="N491" s="1386" t="s">
        <v>770</v>
      </c>
      <c r="O491" s="1174" t="s">
        <v>769</v>
      </c>
      <c r="P491" s="1207" t="s">
        <v>680</v>
      </c>
      <c r="Q491" s="1163"/>
      <c r="R491" s="1357">
        <v>23100000</v>
      </c>
      <c r="S491" s="1357">
        <v>23100000</v>
      </c>
      <c r="T491" s="1357">
        <f>+Tabla16[[#This Row],[CDPS A 31 JULIO 2022]]-Tabla16[[#This Row],[CDP]]</f>
        <v>0</v>
      </c>
      <c r="U491" s="1357">
        <v>23100000</v>
      </c>
      <c r="V491" s="1357">
        <v>15400000</v>
      </c>
      <c r="W491" s="1357"/>
      <c r="X491" s="1207"/>
      <c r="Y491" s="1207"/>
      <c r="Z491" s="1207"/>
      <c r="AA491" s="1207"/>
      <c r="AB491" s="1207"/>
      <c r="AC491" s="1207"/>
      <c r="AD491" s="1207"/>
      <c r="AE491" s="1207"/>
      <c r="AF491" s="1207"/>
      <c r="AG491" s="1207"/>
      <c r="AH491" s="1207"/>
      <c r="AI491" s="1207"/>
      <c r="AJ491" s="1207"/>
      <c r="AK491" s="1207"/>
      <c r="AL491" s="1207"/>
      <c r="AM491" s="1207"/>
      <c r="AN491" s="1207"/>
      <c r="AO491" s="1207"/>
      <c r="AP491" s="1207"/>
      <c r="AQ491" s="1207"/>
      <c r="AR491" s="1207"/>
      <c r="AS491" s="1207"/>
      <c r="AT491" s="1207"/>
      <c r="AU491" s="1207"/>
      <c r="AV491" s="1207"/>
      <c r="AW491" s="1207"/>
      <c r="AX491" s="1207"/>
      <c r="AY491" s="1207"/>
      <c r="AZ491" s="1207"/>
      <c r="BA491" s="1207"/>
      <c r="BB491" s="1207"/>
      <c r="BC491" s="1207"/>
      <c r="BD491" s="1207"/>
      <c r="BE491" s="1207"/>
      <c r="BF491" s="1207"/>
      <c r="BG491" s="1207"/>
      <c r="BH491" s="1207"/>
      <c r="BI491" s="1207"/>
      <c r="BJ491" s="1207"/>
      <c r="BK491" s="1207"/>
      <c r="BL491" s="1207"/>
      <c r="BM491" s="1207"/>
      <c r="BN491" s="1207"/>
      <c r="BO491" s="1207"/>
      <c r="BP491" s="1207"/>
      <c r="BQ491" s="1207"/>
      <c r="BR491" s="1207"/>
      <c r="BS491" s="1207"/>
      <c r="BT491" s="1207"/>
      <c r="BU491" s="1207"/>
      <c r="BV491" s="1207"/>
      <c r="BW491" s="1207"/>
      <c r="BX491" s="1207"/>
      <c r="BY491" s="1207"/>
      <c r="BZ491" s="1207"/>
      <c r="CA491" s="1207"/>
      <c r="CB491" s="1207"/>
      <c r="CC491" s="1207"/>
      <c r="CD491" s="1207"/>
      <c r="CE491" s="1207"/>
      <c r="CF491" s="1207"/>
    </row>
    <row r="492" spans="1:84" ht="105" x14ac:dyDescent="0.2">
      <c r="A492" s="1355">
        <v>2022474</v>
      </c>
      <c r="B492" s="1172">
        <v>7658</v>
      </c>
      <c r="C492" s="1356" t="s">
        <v>681</v>
      </c>
      <c r="D492" s="1190" t="s">
        <v>694</v>
      </c>
      <c r="E492" s="1174">
        <v>80111600</v>
      </c>
      <c r="F492" s="1389" t="s">
        <v>1101</v>
      </c>
      <c r="G492" s="1390">
        <v>44562</v>
      </c>
      <c r="H492" s="1390">
        <v>44592</v>
      </c>
      <c r="I492" s="1176">
        <v>4</v>
      </c>
      <c r="J492" s="1176" t="s">
        <v>675</v>
      </c>
      <c r="K492" s="1177" t="s">
        <v>676</v>
      </c>
      <c r="L492" s="1178" t="s">
        <v>677</v>
      </c>
      <c r="M492" s="1179">
        <v>15400000</v>
      </c>
      <c r="N492" s="1386" t="s">
        <v>770</v>
      </c>
      <c r="O492" s="1174" t="s">
        <v>769</v>
      </c>
      <c r="P492" s="1207" t="s">
        <v>680</v>
      </c>
      <c r="Q492" s="1163"/>
      <c r="R492" s="1269">
        <v>0</v>
      </c>
      <c r="S492" s="1357"/>
      <c r="T492" s="1357">
        <f>+Tabla16[[#This Row],[CDPS A 31 JULIO 2022]]-Tabla16[[#This Row],[CDP]]</f>
        <v>0</v>
      </c>
      <c r="U492" s="1357"/>
      <c r="V492" s="1357"/>
      <c r="W492" s="1357"/>
      <c r="X492" s="1207"/>
      <c r="Y492" s="1207"/>
      <c r="Z492" s="1207"/>
      <c r="AA492" s="1207"/>
      <c r="AB492" s="1207"/>
      <c r="AC492" s="1207"/>
      <c r="AD492" s="1207"/>
      <c r="AE492" s="1207"/>
      <c r="AF492" s="1207"/>
      <c r="AG492" s="1207"/>
      <c r="AH492" s="1207"/>
      <c r="AI492" s="1207"/>
      <c r="AJ492" s="1207"/>
      <c r="AK492" s="1207"/>
      <c r="AL492" s="1207"/>
      <c r="AM492" s="1207"/>
      <c r="AN492" s="1207"/>
      <c r="AO492" s="1207"/>
      <c r="AP492" s="1207"/>
      <c r="AQ492" s="1207"/>
      <c r="AR492" s="1207"/>
      <c r="AS492" s="1207"/>
      <c r="AT492" s="1207"/>
      <c r="AU492" s="1207"/>
      <c r="AV492" s="1207"/>
      <c r="AW492" s="1207"/>
      <c r="AX492" s="1207"/>
      <c r="AY492" s="1207"/>
      <c r="AZ492" s="1207"/>
      <c r="BA492" s="1207"/>
      <c r="BB492" s="1207"/>
      <c r="BC492" s="1207"/>
      <c r="BD492" s="1207"/>
      <c r="BE492" s="1207"/>
      <c r="BF492" s="1207"/>
      <c r="BG492" s="1207"/>
      <c r="BH492" s="1207"/>
      <c r="BI492" s="1207"/>
      <c r="BJ492" s="1207"/>
      <c r="BK492" s="1207"/>
      <c r="BL492" s="1207"/>
      <c r="BM492" s="1207"/>
      <c r="BN492" s="1207"/>
      <c r="BO492" s="1207"/>
      <c r="BP492" s="1207"/>
      <c r="BQ492" s="1207"/>
      <c r="BR492" s="1207"/>
      <c r="BS492" s="1207"/>
      <c r="BT492" s="1207"/>
      <c r="BU492" s="1207"/>
      <c r="BV492" s="1207"/>
      <c r="BW492" s="1207"/>
      <c r="BX492" s="1207"/>
      <c r="BY492" s="1207"/>
      <c r="BZ492" s="1207"/>
      <c r="CA492" s="1207"/>
      <c r="CB492" s="1207"/>
      <c r="CC492" s="1207"/>
      <c r="CD492" s="1207"/>
      <c r="CE492" s="1207"/>
      <c r="CF492" s="1207"/>
    </row>
    <row r="493" spans="1:84" ht="105" x14ac:dyDescent="0.2">
      <c r="A493" s="1355">
        <v>2022475</v>
      </c>
      <c r="B493" s="1172">
        <v>7658</v>
      </c>
      <c r="C493" s="1356" t="s">
        <v>681</v>
      </c>
      <c r="D493" s="1190" t="s">
        <v>694</v>
      </c>
      <c r="E493" s="1174">
        <v>80111600</v>
      </c>
      <c r="F493" s="1389" t="s">
        <v>1101</v>
      </c>
      <c r="G493" s="1390">
        <v>44562</v>
      </c>
      <c r="H493" s="1390">
        <v>44592</v>
      </c>
      <c r="I493" s="1176">
        <v>6</v>
      </c>
      <c r="J493" s="1176" t="s">
        <v>675</v>
      </c>
      <c r="K493" s="1177" t="s">
        <v>676</v>
      </c>
      <c r="L493" s="1178" t="s">
        <v>677</v>
      </c>
      <c r="M493" s="1179">
        <v>23100000</v>
      </c>
      <c r="N493" s="1386" t="s">
        <v>770</v>
      </c>
      <c r="O493" s="1174" t="s">
        <v>769</v>
      </c>
      <c r="P493" s="1207" t="s">
        <v>680</v>
      </c>
      <c r="Q493" s="1163"/>
      <c r="R493" s="1357">
        <v>23100000</v>
      </c>
      <c r="S493" s="1357">
        <v>23100000</v>
      </c>
      <c r="T493" s="1357">
        <f>+Tabla16[[#This Row],[CDPS A 31 JULIO 2022]]-Tabla16[[#This Row],[CDP]]</f>
        <v>0</v>
      </c>
      <c r="U493" s="1357">
        <v>23100000</v>
      </c>
      <c r="V493" s="1357">
        <v>15400000</v>
      </c>
      <c r="W493" s="1357"/>
      <c r="X493" s="1207"/>
      <c r="Y493" s="1207"/>
      <c r="Z493" s="1207"/>
      <c r="AA493" s="1207"/>
      <c r="AB493" s="1207"/>
      <c r="AC493" s="1207"/>
      <c r="AD493" s="1207"/>
      <c r="AE493" s="1207"/>
      <c r="AF493" s="1207"/>
      <c r="AG493" s="1207"/>
      <c r="AH493" s="1207"/>
      <c r="AI493" s="1207"/>
      <c r="AJ493" s="1207"/>
      <c r="AK493" s="1207"/>
      <c r="AL493" s="1207"/>
      <c r="AM493" s="1207"/>
      <c r="AN493" s="1207"/>
      <c r="AO493" s="1207"/>
      <c r="AP493" s="1207"/>
      <c r="AQ493" s="1207"/>
      <c r="AR493" s="1207"/>
      <c r="AS493" s="1207"/>
      <c r="AT493" s="1207"/>
      <c r="AU493" s="1207"/>
      <c r="AV493" s="1207"/>
      <c r="AW493" s="1207"/>
      <c r="AX493" s="1207"/>
      <c r="AY493" s="1207"/>
      <c r="AZ493" s="1207"/>
      <c r="BA493" s="1207"/>
      <c r="BB493" s="1207"/>
      <c r="BC493" s="1207"/>
      <c r="BD493" s="1207"/>
      <c r="BE493" s="1207"/>
      <c r="BF493" s="1207"/>
      <c r="BG493" s="1207"/>
      <c r="BH493" s="1207"/>
      <c r="BI493" s="1207"/>
      <c r="BJ493" s="1207"/>
      <c r="BK493" s="1207"/>
      <c r="BL493" s="1207"/>
      <c r="BM493" s="1207"/>
      <c r="BN493" s="1207"/>
      <c r="BO493" s="1207"/>
      <c r="BP493" s="1207"/>
      <c r="BQ493" s="1207"/>
      <c r="BR493" s="1207"/>
      <c r="BS493" s="1207"/>
      <c r="BT493" s="1207"/>
      <c r="BU493" s="1207"/>
      <c r="BV493" s="1207"/>
      <c r="BW493" s="1207"/>
      <c r="BX493" s="1207"/>
      <c r="BY493" s="1207"/>
      <c r="BZ493" s="1207"/>
      <c r="CA493" s="1207"/>
      <c r="CB493" s="1207"/>
      <c r="CC493" s="1207"/>
      <c r="CD493" s="1207"/>
      <c r="CE493" s="1207"/>
      <c r="CF493" s="1207"/>
    </row>
    <row r="494" spans="1:84" ht="105" x14ac:dyDescent="0.2">
      <c r="A494" s="1355">
        <v>2022476</v>
      </c>
      <c r="B494" s="1172">
        <v>7658</v>
      </c>
      <c r="C494" s="1356" t="s">
        <v>681</v>
      </c>
      <c r="D494" s="1190" t="s">
        <v>694</v>
      </c>
      <c r="E494" s="1174">
        <v>80111600</v>
      </c>
      <c r="F494" s="1389" t="s">
        <v>1101</v>
      </c>
      <c r="G494" s="1390">
        <v>44562</v>
      </c>
      <c r="H494" s="1390">
        <v>44592</v>
      </c>
      <c r="I494" s="1176">
        <v>4</v>
      </c>
      <c r="J494" s="1176" t="s">
        <v>675</v>
      </c>
      <c r="K494" s="1177" t="s">
        <v>676</v>
      </c>
      <c r="L494" s="1178" t="s">
        <v>677</v>
      </c>
      <c r="M494" s="1179">
        <f>15400000+2600000</f>
        <v>18000000</v>
      </c>
      <c r="N494" s="1386" t="s">
        <v>770</v>
      </c>
      <c r="O494" s="1174" t="s">
        <v>769</v>
      </c>
      <c r="P494" s="1207" t="s">
        <v>680</v>
      </c>
      <c r="Q494" s="1163"/>
      <c r="R494" s="1269">
        <v>0</v>
      </c>
      <c r="S494" s="1357"/>
      <c r="T494" s="1357">
        <f>+Tabla16[[#This Row],[CDPS A 31 JULIO 2022]]-Tabla16[[#This Row],[CDP]]</f>
        <v>0</v>
      </c>
      <c r="U494" s="1357"/>
      <c r="V494" s="1357"/>
      <c r="W494" s="1357"/>
      <c r="X494" s="1207"/>
      <c r="Y494" s="1207"/>
      <c r="Z494" s="1207"/>
      <c r="AA494" s="1207"/>
      <c r="AB494" s="1207"/>
      <c r="AC494" s="1207"/>
      <c r="AD494" s="1207"/>
      <c r="AE494" s="1207"/>
      <c r="AF494" s="1207"/>
      <c r="AG494" s="1207"/>
      <c r="AH494" s="1207"/>
      <c r="AI494" s="1207"/>
      <c r="AJ494" s="1207"/>
      <c r="AK494" s="1207"/>
      <c r="AL494" s="1207"/>
      <c r="AM494" s="1207"/>
      <c r="AN494" s="1207"/>
      <c r="AO494" s="1207"/>
      <c r="AP494" s="1207"/>
      <c r="AQ494" s="1207"/>
      <c r="AR494" s="1207"/>
      <c r="AS494" s="1207"/>
      <c r="AT494" s="1207"/>
      <c r="AU494" s="1207"/>
      <c r="AV494" s="1207"/>
      <c r="AW494" s="1207"/>
      <c r="AX494" s="1207"/>
      <c r="AY494" s="1207"/>
      <c r="AZ494" s="1207"/>
      <c r="BA494" s="1207"/>
      <c r="BB494" s="1207"/>
      <c r="BC494" s="1207"/>
      <c r="BD494" s="1207"/>
      <c r="BE494" s="1207"/>
      <c r="BF494" s="1207"/>
      <c r="BG494" s="1207"/>
      <c r="BH494" s="1207"/>
      <c r="BI494" s="1207"/>
      <c r="BJ494" s="1207"/>
      <c r="BK494" s="1207"/>
      <c r="BL494" s="1207"/>
      <c r="BM494" s="1207"/>
      <c r="BN494" s="1207"/>
      <c r="BO494" s="1207"/>
      <c r="BP494" s="1207"/>
      <c r="BQ494" s="1207"/>
      <c r="BR494" s="1207"/>
      <c r="BS494" s="1207"/>
      <c r="BT494" s="1207"/>
      <c r="BU494" s="1207"/>
      <c r="BV494" s="1207"/>
      <c r="BW494" s="1207"/>
      <c r="BX494" s="1207"/>
      <c r="BY494" s="1207"/>
      <c r="BZ494" s="1207"/>
      <c r="CA494" s="1207"/>
      <c r="CB494" s="1207"/>
      <c r="CC494" s="1207"/>
      <c r="CD494" s="1207"/>
      <c r="CE494" s="1207"/>
      <c r="CF494" s="1207"/>
    </row>
    <row r="495" spans="1:84" ht="105" x14ac:dyDescent="0.2">
      <c r="A495" s="1355">
        <v>2022477</v>
      </c>
      <c r="B495" s="1172">
        <v>7658</v>
      </c>
      <c r="C495" s="1356" t="s">
        <v>681</v>
      </c>
      <c r="D495" s="1190" t="s">
        <v>694</v>
      </c>
      <c r="E495" s="1174">
        <v>80111600</v>
      </c>
      <c r="F495" s="1389" t="s">
        <v>1101</v>
      </c>
      <c r="G495" s="1390">
        <v>44562</v>
      </c>
      <c r="H495" s="1390">
        <v>44592</v>
      </c>
      <c r="I495" s="1176">
        <v>6</v>
      </c>
      <c r="J495" s="1176" t="s">
        <v>675</v>
      </c>
      <c r="K495" s="1177" t="s">
        <v>676</v>
      </c>
      <c r="L495" s="1178" t="s">
        <v>677</v>
      </c>
      <c r="M495" s="1179">
        <v>23100000</v>
      </c>
      <c r="N495" s="1386" t="s">
        <v>770</v>
      </c>
      <c r="O495" s="1174" t="s">
        <v>769</v>
      </c>
      <c r="P495" s="1207" t="s">
        <v>680</v>
      </c>
      <c r="Q495" s="1163"/>
      <c r="R495" s="1357">
        <v>23100000</v>
      </c>
      <c r="S495" s="1357">
        <v>23100000</v>
      </c>
      <c r="T495" s="1357">
        <f>+Tabla16[[#This Row],[CDPS A 31 JULIO 2022]]-Tabla16[[#This Row],[CDP]]</f>
        <v>0</v>
      </c>
      <c r="U495" s="1357">
        <v>23100000</v>
      </c>
      <c r="V495" s="1357">
        <v>15400000</v>
      </c>
      <c r="W495" s="1357"/>
      <c r="X495" s="1207"/>
      <c r="Y495" s="1207"/>
      <c r="Z495" s="1207"/>
      <c r="AA495" s="1207"/>
      <c r="AB495" s="1207"/>
      <c r="AC495" s="1207"/>
      <c r="AD495" s="1207"/>
      <c r="AE495" s="1207"/>
      <c r="AF495" s="1207"/>
      <c r="AG495" s="1207"/>
      <c r="AH495" s="1207"/>
      <c r="AI495" s="1207"/>
      <c r="AJ495" s="1207"/>
      <c r="AK495" s="1207"/>
      <c r="AL495" s="1207"/>
      <c r="AM495" s="1207"/>
      <c r="AN495" s="1207"/>
      <c r="AO495" s="1207"/>
      <c r="AP495" s="1207"/>
      <c r="AQ495" s="1207"/>
      <c r="AR495" s="1207"/>
      <c r="AS495" s="1207"/>
      <c r="AT495" s="1207"/>
      <c r="AU495" s="1207"/>
      <c r="AV495" s="1207"/>
      <c r="AW495" s="1207"/>
      <c r="AX495" s="1207"/>
      <c r="AY495" s="1207"/>
      <c r="AZ495" s="1207"/>
      <c r="BA495" s="1207"/>
      <c r="BB495" s="1207"/>
      <c r="BC495" s="1207"/>
      <c r="BD495" s="1207"/>
      <c r="BE495" s="1207"/>
      <c r="BF495" s="1207"/>
      <c r="BG495" s="1207"/>
      <c r="BH495" s="1207"/>
      <c r="BI495" s="1207"/>
      <c r="BJ495" s="1207"/>
      <c r="BK495" s="1207"/>
      <c r="BL495" s="1207"/>
      <c r="BM495" s="1207"/>
      <c r="BN495" s="1207"/>
      <c r="BO495" s="1207"/>
      <c r="BP495" s="1207"/>
      <c r="BQ495" s="1207"/>
      <c r="BR495" s="1207"/>
      <c r="BS495" s="1207"/>
      <c r="BT495" s="1207"/>
      <c r="BU495" s="1207"/>
      <c r="BV495" s="1207"/>
      <c r="BW495" s="1207"/>
      <c r="BX495" s="1207"/>
      <c r="BY495" s="1207"/>
      <c r="BZ495" s="1207"/>
      <c r="CA495" s="1207"/>
      <c r="CB495" s="1207"/>
      <c r="CC495" s="1207"/>
      <c r="CD495" s="1207"/>
      <c r="CE495" s="1207"/>
      <c r="CF495" s="1207"/>
    </row>
    <row r="496" spans="1:84" ht="105" x14ac:dyDescent="0.2">
      <c r="A496" s="1355">
        <v>2022478</v>
      </c>
      <c r="B496" s="1172">
        <v>7658</v>
      </c>
      <c r="C496" s="1356" t="s">
        <v>681</v>
      </c>
      <c r="D496" s="1190" t="s">
        <v>694</v>
      </c>
      <c r="E496" s="1174">
        <v>80111600</v>
      </c>
      <c r="F496" s="1389" t="s">
        <v>1102</v>
      </c>
      <c r="G496" s="1390">
        <v>44562</v>
      </c>
      <c r="H496" s="1390">
        <v>44592</v>
      </c>
      <c r="I496" s="1176">
        <v>10</v>
      </c>
      <c r="J496" s="1176" t="s">
        <v>675</v>
      </c>
      <c r="K496" s="1177" t="s">
        <v>676</v>
      </c>
      <c r="L496" s="1178" t="s">
        <v>677</v>
      </c>
      <c r="M496" s="1179">
        <v>72100000</v>
      </c>
      <c r="N496" s="1386" t="s">
        <v>770</v>
      </c>
      <c r="O496" s="1174" t="s">
        <v>769</v>
      </c>
      <c r="P496" s="1207" t="s">
        <v>680</v>
      </c>
      <c r="Q496" s="1163"/>
      <c r="R496" s="1357">
        <v>72100000</v>
      </c>
      <c r="S496" s="1357">
        <v>72100000</v>
      </c>
      <c r="T496" s="1357">
        <f>+Tabla16[[#This Row],[CDPS A 31 JULIO 2022]]-Tabla16[[#This Row],[CDP]]</f>
        <v>0</v>
      </c>
      <c r="U496" s="1357">
        <v>72100000</v>
      </c>
      <c r="V496" s="1357">
        <v>31483667</v>
      </c>
      <c r="W496" s="1357"/>
      <c r="X496" s="1207"/>
      <c r="Y496" s="1207"/>
      <c r="Z496" s="1207"/>
      <c r="AA496" s="1207"/>
      <c r="AB496" s="1207"/>
      <c r="AC496" s="1207"/>
      <c r="AD496" s="1207"/>
      <c r="AE496" s="1207"/>
      <c r="AF496" s="1207"/>
      <c r="AG496" s="1207"/>
      <c r="AH496" s="1207"/>
      <c r="AI496" s="1207"/>
      <c r="AJ496" s="1207"/>
      <c r="AK496" s="1207"/>
      <c r="AL496" s="1207"/>
      <c r="AM496" s="1207"/>
      <c r="AN496" s="1207"/>
      <c r="AO496" s="1207"/>
      <c r="AP496" s="1207"/>
      <c r="AQ496" s="1207"/>
      <c r="AR496" s="1207"/>
      <c r="AS496" s="1207"/>
      <c r="AT496" s="1207"/>
      <c r="AU496" s="1207"/>
      <c r="AV496" s="1207"/>
      <c r="AW496" s="1207"/>
      <c r="AX496" s="1207"/>
      <c r="AY496" s="1207"/>
      <c r="AZ496" s="1207"/>
      <c r="BA496" s="1207"/>
      <c r="BB496" s="1207"/>
      <c r="BC496" s="1207"/>
      <c r="BD496" s="1207"/>
      <c r="BE496" s="1207"/>
      <c r="BF496" s="1207"/>
      <c r="BG496" s="1207"/>
      <c r="BH496" s="1207"/>
      <c r="BI496" s="1207"/>
      <c r="BJ496" s="1207"/>
      <c r="BK496" s="1207"/>
      <c r="BL496" s="1207"/>
      <c r="BM496" s="1207"/>
      <c r="BN496" s="1207"/>
      <c r="BO496" s="1207"/>
      <c r="BP496" s="1207"/>
      <c r="BQ496" s="1207"/>
      <c r="BR496" s="1207"/>
      <c r="BS496" s="1207"/>
      <c r="BT496" s="1207"/>
      <c r="BU496" s="1207"/>
      <c r="BV496" s="1207"/>
      <c r="BW496" s="1207"/>
      <c r="BX496" s="1207"/>
      <c r="BY496" s="1207"/>
      <c r="BZ496" s="1207"/>
      <c r="CA496" s="1207"/>
      <c r="CB496" s="1207"/>
      <c r="CC496" s="1207"/>
      <c r="CD496" s="1207"/>
      <c r="CE496" s="1207"/>
      <c r="CF496" s="1207"/>
    </row>
    <row r="497" spans="1:84" ht="105" x14ac:dyDescent="0.2">
      <c r="A497" s="1355">
        <v>2022479</v>
      </c>
      <c r="B497" s="1172">
        <v>7658</v>
      </c>
      <c r="C497" s="1356" t="s">
        <v>681</v>
      </c>
      <c r="D497" s="1190" t="s">
        <v>694</v>
      </c>
      <c r="E497" s="1174">
        <v>80111600</v>
      </c>
      <c r="F497" s="1389" t="s">
        <v>1102</v>
      </c>
      <c r="G497" s="1390">
        <v>44562</v>
      </c>
      <c r="H497" s="1390">
        <v>44592</v>
      </c>
      <c r="I497" s="1176">
        <v>10</v>
      </c>
      <c r="J497" s="1176" t="s">
        <v>675</v>
      </c>
      <c r="K497" s="1177" t="s">
        <v>676</v>
      </c>
      <c r="L497" s="1178" t="s">
        <v>677</v>
      </c>
      <c r="M497" s="1179">
        <v>48500000</v>
      </c>
      <c r="N497" s="1386" t="s">
        <v>770</v>
      </c>
      <c r="O497" s="1174" t="s">
        <v>769</v>
      </c>
      <c r="P497" s="1207" t="s">
        <v>680</v>
      </c>
      <c r="Q497" s="1163"/>
      <c r="R497" s="1357">
        <v>48500000</v>
      </c>
      <c r="S497" s="1357">
        <v>48500000</v>
      </c>
      <c r="T497" s="1357">
        <f>+Tabla16[[#This Row],[CDPS A 31 JULIO 2022]]-Tabla16[[#This Row],[CDP]]</f>
        <v>0</v>
      </c>
      <c r="U497" s="1357">
        <v>48500000</v>
      </c>
      <c r="V497" s="1357">
        <v>21178333</v>
      </c>
      <c r="W497" s="1357"/>
      <c r="X497" s="1207"/>
      <c r="Y497" s="1207"/>
      <c r="Z497" s="1207"/>
      <c r="AA497" s="1207"/>
      <c r="AB497" s="1207"/>
      <c r="AC497" s="1207"/>
      <c r="AD497" s="1207"/>
      <c r="AE497" s="1207"/>
      <c r="AF497" s="1207"/>
      <c r="AG497" s="1207"/>
      <c r="AH497" s="1207"/>
      <c r="AI497" s="1207"/>
      <c r="AJ497" s="1207"/>
      <c r="AK497" s="1207"/>
      <c r="AL497" s="1207"/>
      <c r="AM497" s="1207"/>
      <c r="AN497" s="1207"/>
      <c r="AO497" s="1207"/>
      <c r="AP497" s="1207"/>
      <c r="AQ497" s="1207"/>
      <c r="AR497" s="1207"/>
      <c r="AS497" s="1207"/>
      <c r="AT497" s="1207"/>
      <c r="AU497" s="1207"/>
      <c r="AV497" s="1207"/>
      <c r="AW497" s="1207"/>
      <c r="AX497" s="1207"/>
      <c r="AY497" s="1207"/>
      <c r="AZ497" s="1207"/>
      <c r="BA497" s="1207"/>
      <c r="BB497" s="1207"/>
      <c r="BC497" s="1207"/>
      <c r="BD497" s="1207"/>
      <c r="BE497" s="1207"/>
      <c r="BF497" s="1207"/>
      <c r="BG497" s="1207"/>
      <c r="BH497" s="1207"/>
      <c r="BI497" s="1207"/>
      <c r="BJ497" s="1207"/>
      <c r="BK497" s="1207"/>
      <c r="BL497" s="1207"/>
      <c r="BM497" s="1207"/>
      <c r="BN497" s="1207"/>
      <c r="BO497" s="1207"/>
      <c r="BP497" s="1207"/>
      <c r="BQ497" s="1207"/>
      <c r="BR497" s="1207"/>
      <c r="BS497" s="1207"/>
      <c r="BT497" s="1207"/>
      <c r="BU497" s="1207"/>
      <c r="BV497" s="1207"/>
      <c r="BW497" s="1207"/>
      <c r="BX497" s="1207"/>
      <c r="BY497" s="1207"/>
      <c r="BZ497" s="1207"/>
      <c r="CA497" s="1207"/>
      <c r="CB497" s="1207"/>
      <c r="CC497" s="1207"/>
      <c r="CD497" s="1207"/>
      <c r="CE497" s="1207"/>
      <c r="CF497" s="1207"/>
    </row>
    <row r="498" spans="1:84" ht="105" x14ac:dyDescent="0.2">
      <c r="A498" s="1355">
        <v>2022480</v>
      </c>
      <c r="B498" s="1172">
        <v>7658</v>
      </c>
      <c r="C498" s="1356" t="s">
        <v>681</v>
      </c>
      <c r="D498" s="1190" t="s">
        <v>694</v>
      </c>
      <c r="E498" s="1174">
        <v>80111600</v>
      </c>
      <c r="F498" s="1389" t="s">
        <v>1102</v>
      </c>
      <c r="G498" s="1390">
        <v>44562</v>
      </c>
      <c r="H498" s="1390">
        <v>44592</v>
      </c>
      <c r="I498" s="1176">
        <v>10</v>
      </c>
      <c r="J498" s="1176" t="s">
        <v>675</v>
      </c>
      <c r="K498" s="1177" t="s">
        <v>676</v>
      </c>
      <c r="L498" s="1178" t="s">
        <v>677</v>
      </c>
      <c r="M498" s="1179">
        <v>38500000</v>
      </c>
      <c r="N498" s="1386" t="s">
        <v>770</v>
      </c>
      <c r="O498" s="1174" t="s">
        <v>769</v>
      </c>
      <c r="P498" s="1207" t="s">
        <v>680</v>
      </c>
      <c r="Q498" s="1163"/>
      <c r="R498" s="1357">
        <v>38500000</v>
      </c>
      <c r="S498" s="1357">
        <v>38500000</v>
      </c>
      <c r="T498" s="1357">
        <f>+Tabla16[[#This Row],[CDPS A 31 JULIO 2022]]-Tabla16[[#This Row],[CDP]]</f>
        <v>0</v>
      </c>
      <c r="U498" s="1357">
        <v>38500000</v>
      </c>
      <c r="V498" s="1357">
        <v>17068333</v>
      </c>
      <c r="W498" s="1357"/>
      <c r="X498" s="1207"/>
      <c r="Y498" s="1207"/>
      <c r="Z498" s="1207"/>
      <c r="AA498" s="1207"/>
      <c r="AB498" s="1207"/>
      <c r="AC498" s="1207"/>
      <c r="AD498" s="1207"/>
      <c r="AE498" s="1207"/>
      <c r="AF498" s="1207"/>
      <c r="AG498" s="1207"/>
      <c r="AH498" s="1207"/>
      <c r="AI498" s="1207"/>
      <c r="AJ498" s="1207"/>
      <c r="AK498" s="1207"/>
      <c r="AL498" s="1207"/>
      <c r="AM498" s="1207"/>
      <c r="AN498" s="1207"/>
      <c r="AO498" s="1207"/>
      <c r="AP498" s="1207"/>
      <c r="AQ498" s="1207"/>
      <c r="AR498" s="1207"/>
      <c r="AS498" s="1207"/>
      <c r="AT498" s="1207"/>
      <c r="AU498" s="1207"/>
      <c r="AV498" s="1207"/>
      <c r="AW498" s="1207"/>
      <c r="AX498" s="1207"/>
      <c r="AY498" s="1207"/>
      <c r="AZ498" s="1207"/>
      <c r="BA498" s="1207"/>
      <c r="BB498" s="1207"/>
      <c r="BC498" s="1207"/>
      <c r="BD498" s="1207"/>
      <c r="BE498" s="1207"/>
      <c r="BF498" s="1207"/>
      <c r="BG498" s="1207"/>
      <c r="BH498" s="1207"/>
      <c r="BI498" s="1207"/>
      <c r="BJ498" s="1207"/>
      <c r="BK498" s="1207"/>
      <c r="BL498" s="1207"/>
      <c r="BM498" s="1207"/>
      <c r="BN498" s="1207"/>
      <c r="BO498" s="1207"/>
      <c r="BP498" s="1207"/>
      <c r="BQ498" s="1207"/>
      <c r="BR498" s="1207"/>
      <c r="BS498" s="1207"/>
      <c r="BT498" s="1207"/>
      <c r="BU498" s="1207"/>
      <c r="BV498" s="1207"/>
      <c r="BW498" s="1207"/>
      <c r="BX498" s="1207"/>
      <c r="BY498" s="1207"/>
      <c r="BZ498" s="1207"/>
      <c r="CA498" s="1207"/>
      <c r="CB498" s="1207"/>
      <c r="CC498" s="1207"/>
      <c r="CD498" s="1207"/>
      <c r="CE498" s="1207"/>
      <c r="CF498" s="1207"/>
    </row>
    <row r="499" spans="1:84" ht="105" x14ac:dyDescent="0.2">
      <c r="A499" s="1355">
        <v>2022481</v>
      </c>
      <c r="B499" s="1172">
        <v>7658</v>
      </c>
      <c r="C499" s="1356" t="s">
        <v>681</v>
      </c>
      <c r="D499" s="1190" t="s">
        <v>694</v>
      </c>
      <c r="E499" s="1174">
        <v>80111600</v>
      </c>
      <c r="F499" s="1389" t="s">
        <v>1103</v>
      </c>
      <c r="G499" s="1390">
        <v>44562</v>
      </c>
      <c r="H499" s="1390">
        <v>44592</v>
      </c>
      <c r="I499" s="1176">
        <v>6</v>
      </c>
      <c r="J499" s="1176" t="s">
        <v>675</v>
      </c>
      <c r="K499" s="1177" t="s">
        <v>676</v>
      </c>
      <c r="L499" s="1178" t="s">
        <v>677</v>
      </c>
      <c r="M499" s="1179">
        <v>48000000</v>
      </c>
      <c r="N499" s="1386" t="s">
        <v>770</v>
      </c>
      <c r="O499" s="1174" t="s">
        <v>769</v>
      </c>
      <c r="P499" s="1207" t="s">
        <v>680</v>
      </c>
      <c r="Q499" s="1163"/>
      <c r="R499" s="1357">
        <v>48000000</v>
      </c>
      <c r="S499" s="1357">
        <v>48000000</v>
      </c>
      <c r="T499" s="1357">
        <f>+Tabla16[[#This Row],[CDPS A 31 JULIO 2022]]-Tabla16[[#This Row],[CDP]]</f>
        <v>0</v>
      </c>
      <c r="U499" s="1357">
        <v>48000000</v>
      </c>
      <c r="V499" s="1357">
        <v>34933333</v>
      </c>
      <c r="W499" s="1357"/>
      <c r="X499" s="1207"/>
      <c r="Y499" s="1207"/>
      <c r="Z499" s="1207"/>
      <c r="AA499" s="1207"/>
      <c r="AB499" s="1207"/>
      <c r="AC499" s="1207"/>
      <c r="AD499" s="1207"/>
      <c r="AE499" s="1207"/>
      <c r="AF499" s="1207"/>
      <c r="AG499" s="1207"/>
      <c r="AH499" s="1207"/>
      <c r="AI499" s="1207"/>
      <c r="AJ499" s="1207"/>
      <c r="AK499" s="1207"/>
      <c r="AL499" s="1207"/>
      <c r="AM499" s="1207"/>
      <c r="AN499" s="1207"/>
      <c r="AO499" s="1207"/>
      <c r="AP499" s="1207"/>
      <c r="AQ499" s="1207"/>
      <c r="AR499" s="1207"/>
      <c r="AS499" s="1207"/>
      <c r="AT499" s="1207"/>
      <c r="AU499" s="1207"/>
      <c r="AV499" s="1207"/>
      <c r="AW499" s="1207"/>
      <c r="AX499" s="1207"/>
      <c r="AY499" s="1207"/>
      <c r="AZ499" s="1207"/>
      <c r="BA499" s="1207"/>
      <c r="BB499" s="1207"/>
      <c r="BC499" s="1207"/>
      <c r="BD499" s="1207"/>
      <c r="BE499" s="1207"/>
      <c r="BF499" s="1207"/>
      <c r="BG499" s="1207"/>
      <c r="BH499" s="1207"/>
      <c r="BI499" s="1207"/>
      <c r="BJ499" s="1207"/>
      <c r="BK499" s="1207"/>
      <c r="BL499" s="1207"/>
      <c r="BM499" s="1207"/>
      <c r="BN499" s="1207"/>
      <c r="BO499" s="1207"/>
      <c r="BP499" s="1207"/>
      <c r="BQ499" s="1207"/>
      <c r="BR499" s="1207"/>
      <c r="BS499" s="1207"/>
      <c r="BT499" s="1207"/>
      <c r="BU499" s="1207"/>
      <c r="BV499" s="1207"/>
      <c r="BW499" s="1207"/>
      <c r="BX499" s="1207"/>
      <c r="BY499" s="1207"/>
      <c r="BZ499" s="1207"/>
      <c r="CA499" s="1207"/>
      <c r="CB499" s="1207"/>
      <c r="CC499" s="1207"/>
      <c r="CD499" s="1207"/>
      <c r="CE499" s="1207"/>
      <c r="CF499" s="1207"/>
    </row>
    <row r="500" spans="1:84" ht="105" x14ac:dyDescent="0.2">
      <c r="A500" s="1355">
        <v>2022482</v>
      </c>
      <c r="B500" s="1172">
        <v>7658</v>
      </c>
      <c r="C500" s="1356" t="s">
        <v>681</v>
      </c>
      <c r="D500" s="1190" t="s">
        <v>694</v>
      </c>
      <c r="E500" s="1174">
        <v>80111600</v>
      </c>
      <c r="F500" s="1389" t="s">
        <v>1104</v>
      </c>
      <c r="G500" s="1390">
        <v>44562</v>
      </c>
      <c r="H500" s="1390">
        <v>44592</v>
      </c>
      <c r="I500" s="1176">
        <v>6</v>
      </c>
      <c r="J500" s="1176" t="s">
        <v>675</v>
      </c>
      <c r="K500" s="1177" t="s">
        <v>676</v>
      </c>
      <c r="L500" s="1178" t="s">
        <v>677</v>
      </c>
      <c r="M500" s="1179">
        <v>28200000</v>
      </c>
      <c r="N500" s="1386" t="s">
        <v>770</v>
      </c>
      <c r="O500" s="1174" t="s">
        <v>769</v>
      </c>
      <c r="P500" s="1207" t="s">
        <v>680</v>
      </c>
      <c r="Q500" s="1163"/>
      <c r="R500" s="1357">
        <v>28200000</v>
      </c>
      <c r="S500" s="1357">
        <v>28200000</v>
      </c>
      <c r="T500" s="1357">
        <f>+Tabla16[[#This Row],[CDPS A 31 JULIO 2022]]-Tabla16[[#This Row],[CDP]]</f>
        <v>0</v>
      </c>
      <c r="U500" s="1357">
        <v>28200000</v>
      </c>
      <c r="V500" s="1357">
        <v>20836667</v>
      </c>
      <c r="W500" s="1357"/>
      <c r="X500" s="1207"/>
      <c r="Y500" s="1207"/>
      <c r="Z500" s="1207"/>
      <c r="AA500" s="1207"/>
      <c r="AB500" s="1207"/>
      <c r="AC500" s="1207"/>
      <c r="AD500" s="1207"/>
      <c r="AE500" s="1207"/>
      <c r="AF500" s="1207"/>
      <c r="AG500" s="1207"/>
      <c r="AH500" s="1207"/>
      <c r="AI500" s="1207"/>
      <c r="AJ500" s="1207"/>
      <c r="AK500" s="1207"/>
      <c r="AL500" s="1207"/>
      <c r="AM500" s="1207"/>
      <c r="AN500" s="1207"/>
      <c r="AO500" s="1207"/>
      <c r="AP500" s="1207"/>
      <c r="AQ500" s="1207"/>
      <c r="AR500" s="1207"/>
      <c r="AS500" s="1207"/>
      <c r="AT500" s="1207"/>
      <c r="AU500" s="1207"/>
      <c r="AV500" s="1207"/>
      <c r="AW500" s="1207"/>
      <c r="AX500" s="1207"/>
      <c r="AY500" s="1207"/>
      <c r="AZ500" s="1207"/>
      <c r="BA500" s="1207"/>
      <c r="BB500" s="1207"/>
      <c r="BC500" s="1207"/>
      <c r="BD500" s="1207"/>
      <c r="BE500" s="1207"/>
      <c r="BF500" s="1207"/>
      <c r="BG500" s="1207"/>
      <c r="BH500" s="1207"/>
      <c r="BI500" s="1207"/>
      <c r="BJ500" s="1207"/>
      <c r="BK500" s="1207"/>
      <c r="BL500" s="1207"/>
      <c r="BM500" s="1207"/>
      <c r="BN500" s="1207"/>
      <c r="BO500" s="1207"/>
      <c r="BP500" s="1207"/>
      <c r="BQ500" s="1207"/>
      <c r="BR500" s="1207"/>
      <c r="BS500" s="1207"/>
      <c r="BT500" s="1207"/>
      <c r="BU500" s="1207"/>
      <c r="BV500" s="1207"/>
      <c r="BW500" s="1207"/>
      <c r="BX500" s="1207"/>
      <c r="BY500" s="1207"/>
      <c r="BZ500" s="1207"/>
      <c r="CA500" s="1207"/>
      <c r="CB500" s="1207"/>
      <c r="CC500" s="1207"/>
      <c r="CD500" s="1207"/>
      <c r="CE500" s="1207"/>
      <c r="CF500" s="1207"/>
    </row>
    <row r="501" spans="1:84" ht="135" x14ac:dyDescent="0.2">
      <c r="A501" s="1355">
        <v>2022483</v>
      </c>
      <c r="B501" s="1172">
        <v>7658</v>
      </c>
      <c r="C501" s="1356" t="s">
        <v>681</v>
      </c>
      <c r="D501" s="1190" t="s">
        <v>700</v>
      </c>
      <c r="E501" s="1174" t="s">
        <v>1105</v>
      </c>
      <c r="F501" s="1389" t="s">
        <v>1106</v>
      </c>
      <c r="G501" s="1390">
        <v>44562</v>
      </c>
      <c r="H501" s="1390">
        <v>44620</v>
      </c>
      <c r="I501" s="1176">
        <v>10.5</v>
      </c>
      <c r="J501" s="1176" t="s">
        <v>701</v>
      </c>
      <c r="K501" s="1177" t="s">
        <v>676</v>
      </c>
      <c r="L501" s="1178" t="s">
        <v>1107</v>
      </c>
      <c r="M501" s="1179">
        <f>30000000+10000000+5000000-10000000</f>
        <v>35000000</v>
      </c>
      <c r="N501" s="1386" t="s">
        <v>781</v>
      </c>
      <c r="O501" s="1174" t="s">
        <v>773</v>
      </c>
      <c r="P501" s="1163" t="s">
        <v>680</v>
      </c>
      <c r="Q501" s="1163"/>
      <c r="R501" s="1357">
        <v>35000000</v>
      </c>
      <c r="S501" s="1357">
        <v>35000000</v>
      </c>
      <c r="T501" s="1357">
        <f>+Tabla16[[#This Row],[CDPS A 31 JULIO 2022]]-Tabla16[[#This Row],[CDP]]</f>
        <v>0</v>
      </c>
      <c r="U501" s="1357">
        <v>35000000</v>
      </c>
      <c r="V501" s="1357">
        <v>11762300</v>
      </c>
      <c r="W501" s="1357"/>
      <c r="X501" s="1207"/>
      <c r="Y501" s="1207"/>
      <c r="Z501" s="1207"/>
      <c r="AA501" s="1207"/>
      <c r="AB501" s="1207"/>
      <c r="AC501" s="1207"/>
      <c r="AD501" s="1207"/>
      <c r="AE501" s="1207"/>
      <c r="AF501" s="1207"/>
      <c r="AG501" s="1207"/>
      <c r="AH501" s="1207"/>
      <c r="AI501" s="1207"/>
      <c r="AJ501" s="1207"/>
      <c r="AK501" s="1207"/>
      <c r="AL501" s="1207"/>
      <c r="AM501" s="1207"/>
      <c r="AN501" s="1207"/>
      <c r="AO501" s="1207"/>
      <c r="AP501" s="1207"/>
      <c r="AQ501" s="1207"/>
      <c r="AR501" s="1207"/>
      <c r="AS501" s="1207"/>
      <c r="AT501" s="1207"/>
      <c r="AU501" s="1207"/>
      <c r="AV501" s="1207"/>
      <c r="AW501" s="1207"/>
      <c r="AX501" s="1207"/>
      <c r="AY501" s="1207"/>
      <c r="AZ501" s="1207"/>
      <c r="BA501" s="1207"/>
      <c r="BB501" s="1207"/>
      <c r="BC501" s="1207"/>
      <c r="BD501" s="1207"/>
      <c r="BE501" s="1207"/>
      <c r="BF501" s="1207"/>
      <c r="BG501" s="1207"/>
      <c r="BH501" s="1207"/>
      <c r="BI501" s="1207"/>
      <c r="BJ501" s="1207"/>
      <c r="BK501" s="1207"/>
      <c r="BL501" s="1207"/>
      <c r="BM501" s="1207"/>
      <c r="BN501" s="1207"/>
      <c r="BO501" s="1207"/>
      <c r="BP501" s="1207"/>
      <c r="BQ501" s="1207"/>
      <c r="BR501" s="1207"/>
      <c r="BS501" s="1207"/>
      <c r="BT501" s="1207"/>
      <c r="BU501" s="1207"/>
      <c r="BV501" s="1207"/>
      <c r="BW501" s="1207"/>
      <c r="BX501" s="1207"/>
      <c r="BY501" s="1207"/>
      <c r="BZ501" s="1207"/>
      <c r="CA501" s="1207"/>
      <c r="CB501" s="1207"/>
      <c r="CC501" s="1207"/>
      <c r="CD501" s="1207"/>
      <c r="CE501" s="1207"/>
      <c r="CF501" s="1207"/>
    </row>
    <row r="502" spans="1:84" ht="135" x14ac:dyDescent="0.2">
      <c r="A502" s="1355">
        <v>2022484</v>
      </c>
      <c r="B502" s="1172">
        <v>7658</v>
      </c>
      <c r="C502" s="1356" t="s">
        <v>681</v>
      </c>
      <c r="D502" s="1190" t="s">
        <v>700</v>
      </c>
      <c r="E502" s="1174" t="s">
        <v>1108</v>
      </c>
      <c r="F502" s="1389" t="s">
        <v>1109</v>
      </c>
      <c r="G502" s="1390">
        <v>44576</v>
      </c>
      <c r="H502" s="1390">
        <v>44593</v>
      </c>
      <c r="I502" s="1176">
        <v>9.5</v>
      </c>
      <c r="J502" s="1176" t="s">
        <v>698</v>
      </c>
      <c r="K502" s="1177" t="s">
        <v>676</v>
      </c>
      <c r="L502" s="1178" t="s">
        <v>1110</v>
      </c>
      <c r="M502" s="1179">
        <f>100000000-29000000</f>
        <v>71000000</v>
      </c>
      <c r="N502" s="1386" t="s">
        <v>781</v>
      </c>
      <c r="O502" s="1174" t="s">
        <v>773</v>
      </c>
      <c r="P502" s="1163" t="s">
        <v>680</v>
      </c>
      <c r="Q502" s="1163"/>
      <c r="R502" s="1357">
        <v>100000000</v>
      </c>
      <c r="S502" s="1357">
        <v>100000000</v>
      </c>
      <c r="T502" s="1357">
        <f>+Tabla16[[#This Row],[CDPS A 31 JULIO 2022]]-Tabla16[[#This Row],[CDP]]</f>
        <v>0</v>
      </c>
      <c r="U502" s="1357">
        <v>71000000</v>
      </c>
      <c r="V502" s="1357"/>
      <c r="W502" s="1357"/>
      <c r="X502" s="1207"/>
      <c r="Y502" s="1207"/>
      <c r="Z502" s="1207"/>
      <c r="AA502" s="1207"/>
      <c r="AB502" s="1207"/>
      <c r="AC502" s="1207"/>
      <c r="AD502" s="1207"/>
      <c r="AE502" s="1207"/>
      <c r="AF502" s="1207"/>
      <c r="AG502" s="1207"/>
      <c r="AH502" s="1207"/>
      <c r="AI502" s="1207"/>
      <c r="AJ502" s="1207"/>
      <c r="AK502" s="1207"/>
      <c r="AL502" s="1207"/>
      <c r="AM502" s="1207"/>
      <c r="AN502" s="1207"/>
      <c r="AO502" s="1207"/>
      <c r="AP502" s="1207"/>
      <c r="AQ502" s="1207"/>
      <c r="AR502" s="1207"/>
      <c r="AS502" s="1207"/>
      <c r="AT502" s="1207"/>
      <c r="AU502" s="1207"/>
      <c r="AV502" s="1207"/>
      <c r="AW502" s="1207"/>
      <c r="AX502" s="1207"/>
      <c r="AY502" s="1207"/>
      <c r="AZ502" s="1207"/>
      <c r="BA502" s="1207"/>
      <c r="BB502" s="1207"/>
      <c r="BC502" s="1207"/>
      <c r="BD502" s="1207"/>
      <c r="BE502" s="1207"/>
      <c r="BF502" s="1207"/>
      <c r="BG502" s="1207"/>
      <c r="BH502" s="1207"/>
      <c r="BI502" s="1207"/>
      <c r="BJ502" s="1207"/>
      <c r="BK502" s="1207"/>
      <c r="BL502" s="1207"/>
      <c r="BM502" s="1207"/>
      <c r="BN502" s="1207"/>
      <c r="BO502" s="1207"/>
      <c r="BP502" s="1207"/>
      <c r="BQ502" s="1207"/>
      <c r="BR502" s="1207"/>
      <c r="BS502" s="1207"/>
      <c r="BT502" s="1207"/>
      <c r="BU502" s="1207"/>
      <c r="BV502" s="1207"/>
      <c r="BW502" s="1207"/>
      <c r="BX502" s="1207"/>
      <c r="BY502" s="1207"/>
      <c r="BZ502" s="1207"/>
      <c r="CA502" s="1207"/>
      <c r="CB502" s="1207"/>
      <c r="CC502" s="1207"/>
      <c r="CD502" s="1207"/>
      <c r="CE502" s="1207"/>
      <c r="CF502" s="1207"/>
    </row>
    <row r="503" spans="1:84" ht="135" x14ac:dyDescent="0.2">
      <c r="A503" s="1355">
        <v>2022485</v>
      </c>
      <c r="B503" s="1172">
        <v>7658</v>
      </c>
      <c r="C503" s="1356" t="s">
        <v>681</v>
      </c>
      <c r="D503" s="1190" t="s">
        <v>700</v>
      </c>
      <c r="E503" s="1174" t="s">
        <v>1111</v>
      </c>
      <c r="F503" s="1389" t="s">
        <v>1112</v>
      </c>
      <c r="G503" s="1390">
        <v>44576</v>
      </c>
      <c r="H503" s="1390">
        <v>44593</v>
      </c>
      <c r="I503" s="1176">
        <v>11</v>
      </c>
      <c r="J503" s="1176" t="s">
        <v>698</v>
      </c>
      <c r="K503" s="1177" t="s">
        <v>676</v>
      </c>
      <c r="L503" s="1178" t="s">
        <v>1113</v>
      </c>
      <c r="M503" s="1179">
        <f>260900000-10900000-10000000</f>
        <v>240000000</v>
      </c>
      <c r="N503" s="1386" t="s">
        <v>781</v>
      </c>
      <c r="O503" s="1174" t="s">
        <v>773</v>
      </c>
      <c r="P503" s="1163" t="s">
        <v>680</v>
      </c>
      <c r="Q503" s="1163"/>
      <c r="R503" s="1357">
        <v>240000000</v>
      </c>
      <c r="S503" s="1357">
        <v>240000000</v>
      </c>
      <c r="T503" s="1357">
        <f>+Tabla16[[#This Row],[CDPS A 31 JULIO 2022]]-Tabla16[[#This Row],[CDP]]</f>
        <v>0</v>
      </c>
      <c r="U503" s="1357">
        <v>240000000</v>
      </c>
      <c r="V503" s="1357">
        <v>26192580</v>
      </c>
      <c r="W503" s="1357"/>
      <c r="X503" s="1207"/>
      <c r="Y503" s="1207"/>
      <c r="Z503" s="1207"/>
      <c r="AA503" s="1207"/>
      <c r="AB503" s="1207"/>
      <c r="AC503" s="1207"/>
      <c r="AD503" s="1207"/>
      <c r="AE503" s="1207"/>
      <c r="AF503" s="1207"/>
      <c r="AG503" s="1207"/>
      <c r="AH503" s="1207"/>
      <c r="AI503" s="1207"/>
      <c r="AJ503" s="1207"/>
      <c r="AK503" s="1207"/>
      <c r="AL503" s="1207"/>
      <c r="AM503" s="1207"/>
      <c r="AN503" s="1207"/>
      <c r="AO503" s="1207"/>
      <c r="AP503" s="1207"/>
      <c r="AQ503" s="1207"/>
      <c r="AR503" s="1207"/>
      <c r="AS503" s="1207"/>
      <c r="AT503" s="1207"/>
      <c r="AU503" s="1207"/>
      <c r="AV503" s="1207"/>
      <c r="AW503" s="1207"/>
      <c r="AX503" s="1207"/>
      <c r="AY503" s="1207"/>
      <c r="AZ503" s="1207"/>
      <c r="BA503" s="1207"/>
      <c r="BB503" s="1207"/>
      <c r="BC503" s="1207"/>
      <c r="BD503" s="1207"/>
      <c r="BE503" s="1207"/>
      <c r="BF503" s="1207"/>
      <c r="BG503" s="1207"/>
      <c r="BH503" s="1207"/>
      <c r="BI503" s="1207"/>
      <c r="BJ503" s="1207"/>
      <c r="BK503" s="1207"/>
      <c r="BL503" s="1207"/>
      <c r="BM503" s="1207"/>
      <c r="BN503" s="1207"/>
      <c r="BO503" s="1207"/>
      <c r="BP503" s="1207"/>
      <c r="BQ503" s="1207"/>
      <c r="BR503" s="1207"/>
      <c r="BS503" s="1207"/>
      <c r="BT503" s="1207"/>
      <c r="BU503" s="1207"/>
      <c r="BV503" s="1207"/>
      <c r="BW503" s="1207"/>
      <c r="BX503" s="1207"/>
      <c r="BY503" s="1207"/>
      <c r="BZ503" s="1207"/>
      <c r="CA503" s="1207"/>
      <c r="CB503" s="1207"/>
      <c r="CC503" s="1207"/>
      <c r="CD503" s="1207"/>
      <c r="CE503" s="1207"/>
      <c r="CF503" s="1207"/>
    </row>
    <row r="504" spans="1:84" ht="135" x14ac:dyDescent="0.2">
      <c r="A504" s="1358">
        <v>2022486</v>
      </c>
      <c r="B504" s="1359">
        <v>7658</v>
      </c>
      <c r="C504" s="1360" t="s">
        <v>681</v>
      </c>
      <c r="D504" s="1393" t="s">
        <v>700</v>
      </c>
      <c r="E504" s="1394" t="s">
        <v>1114</v>
      </c>
      <c r="F504" s="1395" t="s">
        <v>1115</v>
      </c>
      <c r="G504" s="1396">
        <v>44683</v>
      </c>
      <c r="H504" s="1396">
        <v>44728</v>
      </c>
      <c r="I504" s="1268">
        <v>9</v>
      </c>
      <c r="J504" s="1176" t="s">
        <v>698</v>
      </c>
      <c r="K504" s="1177" t="s">
        <v>676</v>
      </c>
      <c r="L504" s="1178" t="s">
        <v>983</v>
      </c>
      <c r="M504" s="1249">
        <v>200000000</v>
      </c>
      <c r="N504" s="1386" t="s">
        <v>781</v>
      </c>
      <c r="O504" s="1394" t="s">
        <v>773</v>
      </c>
      <c r="P504" s="1163" t="s">
        <v>680</v>
      </c>
      <c r="Q504" s="1163"/>
      <c r="R504" s="1377">
        <v>200000000</v>
      </c>
      <c r="S504" s="1377">
        <v>200000000</v>
      </c>
      <c r="T504" s="1357">
        <f>+Tabla16[[#This Row],[CDPS A 31 JULIO 2022]]-Tabla16[[#This Row],[CDP]]</f>
        <v>0</v>
      </c>
      <c r="U504" s="1361"/>
      <c r="V504" s="1361"/>
      <c r="W504" s="1357"/>
      <c r="X504" s="1207"/>
      <c r="Y504" s="1207"/>
      <c r="Z504" s="1207"/>
      <c r="AA504" s="1207"/>
      <c r="AB504" s="1207"/>
      <c r="AC504" s="1207"/>
      <c r="AD504" s="1207"/>
      <c r="AE504" s="1207"/>
      <c r="AF504" s="1207"/>
      <c r="AG504" s="1207"/>
      <c r="AH504" s="1207"/>
      <c r="AI504" s="1207"/>
      <c r="AJ504" s="1207"/>
      <c r="AK504" s="1207"/>
      <c r="AL504" s="1207"/>
      <c r="AM504" s="1207"/>
      <c r="AN504" s="1207"/>
      <c r="AO504" s="1207"/>
      <c r="AP504" s="1207"/>
      <c r="AQ504" s="1207"/>
      <c r="AR504" s="1207"/>
      <c r="AS504" s="1207"/>
      <c r="AT504" s="1207"/>
      <c r="AU504" s="1207"/>
      <c r="AV504" s="1207"/>
      <c r="AW504" s="1207"/>
      <c r="AX504" s="1207"/>
      <c r="AY504" s="1207"/>
      <c r="AZ504" s="1207"/>
      <c r="BA504" s="1207"/>
      <c r="BB504" s="1207"/>
      <c r="BC504" s="1207"/>
      <c r="BD504" s="1207"/>
      <c r="BE504" s="1207"/>
      <c r="BF504" s="1207"/>
      <c r="BG504" s="1207"/>
      <c r="BH504" s="1207"/>
      <c r="BI504" s="1207"/>
      <c r="BJ504" s="1207"/>
      <c r="BK504" s="1207"/>
      <c r="BL504" s="1207"/>
      <c r="BM504" s="1207"/>
      <c r="BN504" s="1207"/>
      <c r="BO504" s="1207"/>
      <c r="BP504" s="1207"/>
      <c r="BQ504" s="1207"/>
      <c r="BR504" s="1207"/>
      <c r="BS504" s="1207"/>
      <c r="BT504" s="1207"/>
      <c r="BU504" s="1207"/>
      <c r="BV504" s="1207"/>
      <c r="BW504" s="1207"/>
      <c r="BX504" s="1207"/>
      <c r="BY504" s="1207"/>
      <c r="BZ504" s="1207"/>
      <c r="CA504" s="1207"/>
      <c r="CB504" s="1207"/>
      <c r="CC504" s="1207"/>
      <c r="CD504" s="1207"/>
      <c r="CE504" s="1207"/>
      <c r="CF504" s="1207"/>
    </row>
    <row r="505" spans="1:84" ht="135" x14ac:dyDescent="0.2">
      <c r="A505" s="1358">
        <v>2022487</v>
      </c>
      <c r="B505" s="1359">
        <v>7658</v>
      </c>
      <c r="C505" s="1360" t="s">
        <v>681</v>
      </c>
      <c r="D505" s="1393" t="s">
        <v>700</v>
      </c>
      <c r="E505" s="1394" t="s">
        <v>1108</v>
      </c>
      <c r="F505" s="1395" t="s">
        <v>1116</v>
      </c>
      <c r="G505" s="1396">
        <v>44683</v>
      </c>
      <c r="H505" s="1396">
        <v>44728</v>
      </c>
      <c r="I505" s="1268">
        <v>1</v>
      </c>
      <c r="J505" s="1268" t="s">
        <v>722</v>
      </c>
      <c r="K505" s="1177" t="s">
        <v>676</v>
      </c>
      <c r="L505" s="1213" t="s">
        <v>1110</v>
      </c>
      <c r="M505" s="1249">
        <f>34000000-10000000-5000000-19000000</f>
        <v>0</v>
      </c>
      <c r="N505" s="1386" t="s">
        <v>781</v>
      </c>
      <c r="O505" s="1394" t="s">
        <v>773</v>
      </c>
      <c r="P505" s="1163" t="s">
        <v>680</v>
      </c>
      <c r="Q505" s="1163"/>
      <c r="R505" s="1269">
        <v>0</v>
      </c>
      <c r="S505" s="1357"/>
      <c r="T505" s="1357">
        <f>+Tabla16[[#This Row],[CDPS A 31 JULIO 2022]]-Tabla16[[#This Row],[CDP]]</f>
        <v>0</v>
      </c>
      <c r="U505" s="1357"/>
      <c r="V505" s="1357"/>
      <c r="W505" s="1357"/>
      <c r="X505" s="1207"/>
      <c r="Y505" s="1207"/>
      <c r="Z505" s="1207"/>
      <c r="AA505" s="1207"/>
      <c r="AB505" s="1207"/>
      <c r="AC505" s="1207"/>
      <c r="AD505" s="1207"/>
      <c r="AE505" s="1207"/>
      <c r="AF505" s="1207"/>
      <c r="AG505" s="1207"/>
      <c r="AH505" s="1207"/>
      <c r="AI505" s="1207"/>
      <c r="AJ505" s="1207"/>
      <c r="AK505" s="1207"/>
      <c r="AL505" s="1207"/>
      <c r="AM505" s="1207"/>
      <c r="AN505" s="1207"/>
      <c r="AO505" s="1207"/>
      <c r="AP505" s="1207"/>
      <c r="AQ505" s="1207"/>
      <c r="AR505" s="1207"/>
      <c r="AS505" s="1207"/>
      <c r="AT505" s="1207"/>
      <c r="AU505" s="1207"/>
      <c r="AV505" s="1207"/>
      <c r="AW505" s="1207"/>
      <c r="AX505" s="1207"/>
      <c r="AY505" s="1207"/>
      <c r="AZ505" s="1207"/>
      <c r="BA505" s="1207"/>
      <c r="BB505" s="1207"/>
      <c r="BC505" s="1207"/>
      <c r="BD505" s="1207"/>
      <c r="BE505" s="1207"/>
      <c r="BF505" s="1207"/>
      <c r="BG505" s="1207"/>
      <c r="BH505" s="1207"/>
      <c r="BI505" s="1207"/>
      <c r="BJ505" s="1207"/>
      <c r="BK505" s="1207"/>
      <c r="BL505" s="1207"/>
      <c r="BM505" s="1207"/>
      <c r="BN505" s="1207"/>
      <c r="BO505" s="1207"/>
      <c r="BP505" s="1207"/>
      <c r="BQ505" s="1207"/>
      <c r="BR505" s="1207"/>
      <c r="BS505" s="1207"/>
      <c r="BT505" s="1207"/>
      <c r="BU505" s="1207"/>
      <c r="BV505" s="1207"/>
      <c r="BW505" s="1207"/>
      <c r="BX505" s="1207"/>
      <c r="BY505" s="1207"/>
      <c r="BZ505" s="1207"/>
      <c r="CA505" s="1207"/>
      <c r="CB505" s="1207"/>
      <c r="CC505" s="1207"/>
      <c r="CD505" s="1207"/>
      <c r="CE505" s="1207"/>
      <c r="CF505" s="1207"/>
    </row>
    <row r="506" spans="1:84" ht="135" x14ac:dyDescent="0.2">
      <c r="A506" s="1355">
        <v>2022488</v>
      </c>
      <c r="B506" s="1172">
        <v>7658</v>
      </c>
      <c r="C506" s="1356" t="s">
        <v>681</v>
      </c>
      <c r="D506" s="1190" t="s">
        <v>700</v>
      </c>
      <c r="E506" s="1174">
        <v>78181500</v>
      </c>
      <c r="F506" s="1389" t="s">
        <v>1117</v>
      </c>
      <c r="G506" s="1390">
        <v>44562</v>
      </c>
      <c r="H506" s="1390">
        <v>44620</v>
      </c>
      <c r="I506" s="1176">
        <v>12</v>
      </c>
      <c r="J506" s="1176" t="s">
        <v>647</v>
      </c>
      <c r="K506" s="1177" t="s">
        <v>676</v>
      </c>
      <c r="L506" s="1178" t="s">
        <v>1118</v>
      </c>
      <c r="M506" s="1179">
        <v>2500000000</v>
      </c>
      <c r="N506" s="1386" t="s">
        <v>786</v>
      </c>
      <c r="O506" s="1174" t="s">
        <v>773</v>
      </c>
      <c r="P506" s="1163" t="s">
        <v>680</v>
      </c>
      <c r="Q506" s="1163"/>
      <c r="R506" s="1357">
        <v>2500000000</v>
      </c>
      <c r="S506" s="1357">
        <v>2500000000</v>
      </c>
      <c r="T506" s="1357">
        <f>+Tabla16[[#This Row],[CDPS A 31 JULIO 2022]]-Tabla16[[#This Row],[CDP]]</f>
        <v>0</v>
      </c>
      <c r="U506" s="1357">
        <v>2500000000</v>
      </c>
      <c r="V506" s="1357"/>
      <c r="W506" s="1357"/>
      <c r="X506" s="1207"/>
      <c r="Y506" s="1207"/>
      <c r="Z506" s="1207"/>
      <c r="AA506" s="1207"/>
      <c r="AB506" s="1207"/>
      <c r="AC506" s="1207"/>
      <c r="AD506" s="1207"/>
      <c r="AE506" s="1207"/>
      <c r="AF506" s="1207"/>
      <c r="AG506" s="1207"/>
      <c r="AH506" s="1207"/>
      <c r="AI506" s="1207"/>
      <c r="AJ506" s="1207"/>
      <c r="AK506" s="1207"/>
      <c r="AL506" s="1207"/>
      <c r="AM506" s="1207"/>
      <c r="AN506" s="1207"/>
      <c r="AO506" s="1207"/>
      <c r="AP506" s="1207"/>
      <c r="AQ506" s="1207"/>
      <c r="AR506" s="1207"/>
      <c r="AS506" s="1207"/>
      <c r="AT506" s="1207"/>
      <c r="AU506" s="1207"/>
      <c r="AV506" s="1207"/>
      <c r="AW506" s="1207"/>
      <c r="AX506" s="1207"/>
      <c r="AY506" s="1207"/>
      <c r="AZ506" s="1207"/>
      <c r="BA506" s="1207"/>
      <c r="BB506" s="1207"/>
      <c r="BC506" s="1207"/>
      <c r="BD506" s="1207"/>
      <c r="BE506" s="1207"/>
      <c r="BF506" s="1207"/>
      <c r="BG506" s="1207"/>
      <c r="BH506" s="1207"/>
      <c r="BI506" s="1207"/>
      <c r="BJ506" s="1207"/>
      <c r="BK506" s="1207"/>
      <c r="BL506" s="1207"/>
      <c r="BM506" s="1207"/>
      <c r="BN506" s="1207"/>
      <c r="BO506" s="1207"/>
      <c r="BP506" s="1207"/>
      <c r="BQ506" s="1207"/>
      <c r="BR506" s="1207"/>
      <c r="BS506" s="1207"/>
      <c r="BT506" s="1207"/>
      <c r="BU506" s="1207"/>
      <c r="BV506" s="1207"/>
      <c r="BW506" s="1207"/>
      <c r="BX506" s="1207"/>
      <c r="BY506" s="1207"/>
      <c r="BZ506" s="1207"/>
      <c r="CA506" s="1207"/>
      <c r="CB506" s="1207"/>
      <c r="CC506" s="1207"/>
      <c r="CD506" s="1207"/>
      <c r="CE506" s="1207"/>
      <c r="CF506" s="1207"/>
    </row>
    <row r="507" spans="1:84" ht="135" x14ac:dyDescent="0.2">
      <c r="A507" s="1355">
        <v>2022489</v>
      </c>
      <c r="B507" s="1172">
        <v>7658</v>
      </c>
      <c r="C507" s="1356" t="s">
        <v>681</v>
      </c>
      <c r="D507" s="1190" t="s">
        <v>700</v>
      </c>
      <c r="E507" s="1174">
        <v>78181500</v>
      </c>
      <c r="F507" s="1389" t="s">
        <v>1119</v>
      </c>
      <c r="G507" s="1390">
        <v>44562</v>
      </c>
      <c r="H507" s="1390">
        <v>44592</v>
      </c>
      <c r="I507" s="1176">
        <v>3</v>
      </c>
      <c r="J507" s="1176" t="s">
        <v>647</v>
      </c>
      <c r="K507" s="1177" t="s">
        <v>676</v>
      </c>
      <c r="L507" s="1178" t="s">
        <v>1118</v>
      </c>
      <c r="M507" s="1179">
        <v>750000000</v>
      </c>
      <c r="N507" s="1386" t="s">
        <v>786</v>
      </c>
      <c r="O507" s="1174" t="s">
        <v>773</v>
      </c>
      <c r="P507" s="1163" t="s">
        <v>750</v>
      </c>
      <c r="Q507" s="1163"/>
      <c r="R507" s="1357">
        <v>750000000</v>
      </c>
      <c r="S507" s="1357">
        <v>750000000</v>
      </c>
      <c r="T507" s="1357">
        <f>+Tabla16[[#This Row],[CDPS A 31 JULIO 2022]]-Tabla16[[#This Row],[CDP]]</f>
        <v>0</v>
      </c>
      <c r="U507" s="1357">
        <v>750000000</v>
      </c>
      <c r="V507" s="1357">
        <v>749963672</v>
      </c>
      <c r="W507" s="1357"/>
      <c r="X507" s="1207"/>
      <c r="Y507" s="1207"/>
      <c r="Z507" s="1207"/>
      <c r="AA507" s="1207"/>
      <c r="AB507" s="1207"/>
      <c r="AC507" s="1207"/>
      <c r="AD507" s="1207"/>
      <c r="AE507" s="1207"/>
      <c r="AF507" s="1207"/>
      <c r="AG507" s="1207"/>
      <c r="AH507" s="1207"/>
      <c r="AI507" s="1207"/>
      <c r="AJ507" s="1207"/>
      <c r="AK507" s="1207"/>
      <c r="AL507" s="1207"/>
      <c r="AM507" s="1207"/>
      <c r="AN507" s="1207"/>
      <c r="AO507" s="1207"/>
      <c r="AP507" s="1207"/>
      <c r="AQ507" s="1207"/>
      <c r="AR507" s="1207"/>
      <c r="AS507" s="1207"/>
      <c r="AT507" s="1207"/>
      <c r="AU507" s="1207"/>
      <c r="AV507" s="1207"/>
      <c r="AW507" s="1207"/>
      <c r="AX507" s="1207"/>
      <c r="AY507" s="1207"/>
      <c r="AZ507" s="1207"/>
      <c r="BA507" s="1207"/>
      <c r="BB507" s="1207"/>
      <c r="BC507" s="1207"/>
      <c r="BD507" s="1207"/>
      <c r="BE507" s="1207"/>
      <c r="BF507" s="1207"/>
      <c r="BG507" s="1207"/>
      <c r="BH507" s="1207"/>
      <c r="BI507" s="1207"/>
      <c r="BJ507" s="1207"/>
      <c r="BK507" s="1207"/>
      <c r="BL507" s="1207"/>
      <c r="BM507" s="1207"/>
      <c r="BN507" s="1207"/>
      <c r="BO507" s="1207"/>
      <c r="BP507" s="1207"/>
      <c r="BQ507" s="1207"/>
      <c r="BR507" s="1207"/>
      <c r="BS507" s="1207"/>
      <c r="BT507" s="1207"/>
      <c r="BU507" s="1207"/>
      <c r="BV507" s="1207"/>
      <c r="BW507" s="1207"/>
      <c r="BX507" s="1207"/>
      <c r="BY507" s="1207"/>
      <c r="BZ507" s="1207"/>
      <c r="CA507" s="1207"/>
      <c r="CB507" s="1207"/>
      <c r="CC507" s="1207"/>
      <c r="CD507" s="1207"/>
      <c r="CE507" s="1207"/>
      <c r="CF507" s="1207"/>
    </row>
    <row r="508" spans="1:84" ht="135" x14ac:dyDescent="0.2">
      <c r="A508" s="1355">
        <v>2022490</v>
      </c>
      <c r="B508" s="1172">
        <v>7658</v>
      </c>
      <c r="C508" s="1356" t="s">
        <v>681</v>
      </c>
      <c r="D508" s="1190" t="s">
        <v>700</v>
      </c>
      <c r="E508" s="1174">
        <v>78181500</v>
      </c>
      <c r="F508" s="1389" t="s">
        <v>1120</v>
      </c>
      <c r="G508" s="1390">
        <v>44562</v>
      </c>
      <c r="H508" s="1390">
        <v>44592</v>
      </c>
      <c r="I508" s="1176">
        <v>2</v>
      </c>
      <c r="J508" s="1176" t="s">
        <v>647</v>
      </c>
      <c r="K508" s="1177" t="s">
        <v>676</v>
      </c>
      <c r="L508" s="1178" t="s">
        <v>1118</v>
      </c>
      <c r="M508" s="1179">
        <v>100000000</v>
      </c>
      <c r="N508" s="1386" t="s">
        <v>786</v>
      </c>
      <c r="O508" s="1174" t="s">
        <v>773</v>
      </c>
      <c r="P508" s="1163" t="s">
        <v>750</v>
      </c>
      <c r="Q508" s="1163"/>
      <c r="R508" s="1357">
        <v>100000000</v>
      </c>
      <c r="S508" s="1357">
        <v>100000000</v>
      </c>
      <c r="T508" s="1357">
        <f>+Tabla16[[#This Row],[CDPS A 31 JULIO 2022]]-Tabla16[[#This Row],[CDP]]</f>
        <v>0</v>
      </c>
      <c r="U508" s="1357">
        <v>100000000</v>
      </c>
      <c r="V508" s="1357">
        <v>99999999</v>
      </c>
      <c r="W508" s="1357"/>
      <c r="X508" s="1207"/>
      <c r="Y508" s="1207"/>
      <c r="Z508" s="1207"/>
      <c r="AA508" s="1207"/>
      <c r="AB508" s="1207"/>
      <c r="AC508" s="1207"/>
      <c r="AD508" s="1207"/>
      <c r="AE508" s="1207"/>
      <c r="AF508" s="1207"/>
      <c r="AG508" s="1207"/>
      <c r="AH508" s="1207"/>
      <c r="AI508" s="1207"/>
      <c r="AJ508" s="1207"/>
      <c r="AK508" s="1207"/>
      <c r="AL508" s="1207"/>
      <c r="AM508" s="1207"/>
      <c r="AN508" s="1207"/>
      <c r="AO508" s="1207"/>
      <c r="AP508" s="1207"/>
      <c r="AQ508" s="1207"/>
      <c r="AR508" s="1207"/>
      <c r="AS508" s="1207"/>
      <c r="AT508" s="1207"/>
      <c r="AU508" s="1207"/>
      <c r="AV508" s="1207"/>
      <c r="AW508" s="1207"/>
      <c r="AX508" s="1207"/>
      <c r="AY508" s="1207"/>
      <c r="AZ508" s="1207"/>
      <c r="BA508" s="1207"/>
      <c r="BB508" s="1207"/>
      <c r="BC508" s="1207"/>
      <c r="BD508" s="1207"/>
      <c r="BE508" s="1207"/>
      <c r="BF508" s="1207"/>
      <c r="BG508" s="1207"/>
      <c r="BH508" s="1207"/>
      <c r="BI508" s="1207"/>
      <c r="BJ508" s="1207"/>
      <c r="BK508" s="1207"/>
      <c r="BL508" s="1207"/>
      <c r="BM508" s="1207"/>
      <c r="BN508" s="1207"/>
      <c r="BO508" s="1207"/>
      <c r="BP508" s="1207"/>
      <c r="BQ508" s="1207"/>
      <c r="BR508" s="1207"/>
      <c r="BS508" s="1207"/>
      <c r="BT508" s="1207"/>
      <c r="BU508" s="1207"/>
      <c r="BV508" s="1207"/>
      <c r="BW508" s="1207"/>
      <c r="BX508" s="1207"/>
      <c r="BY508" s="1207"/>
      <c r="BZ508" s="1207"/>
      <c r="CA508" s="1207"/>
      <c r="CB508" s="1207"/>
      <c r="CC508" s="1207"/>
      <c r="CD508" s="1207"/>
      <c r="CE508" s="1207"/>
      <c r="CF508" s="1207"/>
    </row>
    <row r="509" spans="1:84" ht="135" x14ac:dyDescent="0.2">
      <c r="A509" s="1355">
        <v>2022491</v>
      </c>
      <c r="B509" s="1172">
        <v>7658</v>
      </c>
      <c r="C509" s="1356" t="s">
        <v>681</v>
      </c>
      <c r="D509" s="1190" t="s">
        <v>700</v>
      </c>
      <c r="E509" s="1174">
        <v>25172500</v>
      </c>
      <c r="F509" s="1389" t="s">
        <v>1121</v>
      </c>
      <c r="G509" s="1390">
        <v>44562</v>
      </c>
      <c r="H509" s="1390">
        <v>44620</v>
      </c>
      <c r="I509" s="1176">
        <v>11</v>
      </c>
      <c r="J509" s="1176" t="s">
        <v>698</v>
      </c>
      <c r="K509" s="1177" t="s">
        <v>676</v>
      </c>
      <c r="L509" s="1178" t="s">
        <v>983</v>
      </c>
      <c r="M509" s="1179">
        <v>150000000</v>
      </c>
      <c r="N509" s="1386" t="s">
        <v>786</v>
      </c>
      <c r="O509" s="1174" t="s">
        <v>773</v>
      </c>
      <c r="P509" s="1163" t="s">
        <v>680</v>
      </c>
      <c r="Q509" s="1163"/>
      <c r="R509" s="1357">
        <v>150000000</v>
      </c>
      <c r="S509" s="1357">
        <v>150000000</v>
      </c>
      <c r="T509" s="1357">
        <f>+Tabla16[[#This Row],[CDPS A 31 JULIO 2022]]-Tabla16[[#This Row],[CDP]]</f>
        <v>0</v>
      </c>
      <c r="U509" s="1357">
        <v>150000000</v>
      </c>
      <c r="V509" s="1357">
        <v>32643785</v>
      </c>
      <c r="W509" s="1357"/>
      <c r="X509" s="1207"/>
      <c r="Y509" s="1207"/>
      <c r="Z509" s="1207"/>
      <c r="AA509" s="1207"/>
      <c r="AB509" s="1207"/>
      <c r="AC509" s="1207"/>
      <c r="AD509" s="1207"/>
      <c r="AE509" s="1207"/>
      <c r="AF509" s="1207"/>
      <c r="AG509" s="1207"/>
      <c r="AH509" s="1207"/>
      <c r="AI509" s="1207"/>
      <c r="AJ509" s="1207"/>
      <c r="AK509" s="1207"/>
      <c r="AL509" s="1207"/>
      <c r="AM509" s="1207"/>
      <c r="AN509" s="1207"/>
      <c r="AO509" s="1207"/>
      <c r="AP509" s="1207"/>
      <c r="AQ509" s="1207"/>
      <c r="AR509" s="1207"/>
      <c r="AS509" s="1207"/>
      <c r="AT509" s="1207"/>
      <c r="AU509" s="1207"/>
      <c r="AV509" s="1207"/>
      <c r="AW509" s="1207"/>
      <c r="AX509" s="1207"/>
      <c r="AY509" s="1207"/>
      <c r="AZ509" s="1207"/>
      <c r="BA509" s="1207"/>
      <c r="BB509" s="1207"/>
      <c r="BC509" s="1207"/>
      <c r="BD509" s="1207"/>
      <c r="BE509" s="1207"/>
      <c r="BF509" s="1207"/>
      <c r="BG509" s="1207"/>
      <c r="BH509" s="1207"/>
      <c r="BI509" s="1207"/>
      <c r="BJ509" s="1207"/>
      <c r="BK509" s="1207"/>
      <c r="BL509" s="1207"/>
      <c r="BM509" s="1207"/>
      <c r="BN509" s="1207"/>
      <c r="BO509" s="1207"/>
      <c r="BP509" s="1207"/>
      <c r="BQ509" s="1207"/>
      <c r="BR509" s="1207"/>
      <c r="BS509" s="1207"/>
      <c r="BT509" s="1207"/>
      <c r="BU509" s="1207"/>
      <c r="BV509" s="1207"/>
      <c r="BW509" s="1207"/>
      <c r="BX509" s="1207"/>
      <c r="BY509" s="1207"/>
      <c r="BZ509" s="1207"/>
      <c r="CA509" s="1207"/>
      <c r="CB509" s="1207"/>
      <c r="CC509" s="1207"/>
      <c r="CD509" s="1207"/>
      <c r="CE509" s="1207"/>
      <c r="CF509" s="1207"/>
    </row>
    <row r="510" spans="1:84" ht="135" x14ac:dyDescent="0.2">
      <c r="A510" s="1355">
        <v>2022492</v>
      </c>
      <c r="B510" s="1172">
        <v>7658</v>
      </c>
      <c r="C510" s="1356" t="s">
        <v>681</v>
      </c>
      <c r="D510" s="1190" t="s">
        <v>700</v>
      </c>
      <c r="E510" s="1174">
        <v>15101500</v>
      </c>
      <c r="F510" s="1389" t="s">
        <v>1122</v>
      </c>
      <c r="G510" s="1390">
        <v>44562</v>
      </c>
      <c r="H510" s="1390">
        <v>44620</v>
      </c>
      <c r="I510" s="1176">
        <v>12</v>
      </c>
      <c r="J510" s="1176" t="s">
        <v>722</v>
      </c>
      <c r="K510" s="1177" t="s">
        <v>676</v>
      </c>
      <c r="L510" s="1178" t="s">
        <v>1123</v>
      </c>
      <c r="M510" s="1179">
        <v>1030000000</v>
      </c>
      <c r="N510" s="1386" t="s">
        <v>786</v>
      </c>
      <c r="O510" s="1174" t="s">
        <v>773</v>
      </c>
      <c r="P510" s="1163" t="s">
        <v>680</v>
      </c>
      <c r="Q510" s="1163"/>
      <c r="R510" s="1357">
        <v>1030000000</v>
      </c>
      <c r="S510" s="1357">
        <v>1030000000</v>
      </c>
      <c r="T510" s="1357">
        <f>+Tabla16[[#This Row],[CDPS A 31 JULIO 2022]]-Tabla16[[#This Row],[CDP]]</f>
        <v>0</v>
      </c>
      <c r="U510" s="1357">
        <v>1030000000</v>
      </c>
      <c r="V510" s="1357">
        <v>383409449</v>
      </c>
      <c r="W510" s="1357"/>
      <c r="X510" s="1207"/>
      <c r="Y510" s="1207"/>
      <c r="Z510" s="1207"/>
      <c r="AA510" s="1207"/>
      <c r="AB510" s="1207"/>
      <c r="AC510" s="1207"/>
      <c r="AD510" s="1207"/>
      <c r="AE510" s="1207"/>
      <c r="AF510" s="1207"/>
      <c r="AG510" s="1207"/>
      <c r="AH510" s="1207"/>
      <c r="AI510" s="1207"/>
      <c r="AJ510" s="1207"/>
      <c r="AK510" s="1207"/>
      <c r="AL510" s="1207"/>
      <c r="AM510" s="1207"/>
      <c r="AN510" s="1207"/>
      <c r="AO510" s="1207"/>
      <c r="AP510" s="1207"/>
      <c r="AQ510" s="1207"/>
      <c r="AR510" s="1207"/>
      <c r="AS510" s="1207"/>
      <c r="AT510" s="1207"/>
      <c r="AU510" s="1207"/>
      <c r="AV510" s="1207"/>
      <c r="AW510" s="1207"/>
      <c r="AX510" s="1207"/>
      <c r="AY510" s="1207"/>
      <c r="AZ510" s="1207"/>
      <c r="BA510" s="1207"/>
      <c r="BB510" s="1207"/>
      <c r="BC510" s="1207"/>
      <c r="BD510" s="1207"/>
      <c r="BE510" s="1207"/>
      <c r="BF510" s="1207"/>
      <c r="BG510" s="1207"/>
      <c r="BH510" s="1207"/>
      <c r="BI510" s="1207"/>
      <c r="BJ510" s="1207"/>
      <c r="BK510" s="1207"/>
      <c r="BL510" s="1207"/>
      <c r="BM510" s="1207"/>
      <c r="BN510" s="1207"/>
      <c r="BO510" s="1207"/>
      <c r="BP510" s="1207"/>
      <c r="BQ510" s="1207"/>
      <c r="BR510" s="1207"/>
      <c r="BS510" s="1207"/>
      <c r="BT510" s="1207"/>
      <c r="BU510" s="1207"/>
      <c r="BV510" s="1207"/>
      <c r="BW510" s="1207"/>
      <c r="BX510" s="1207"/>
      <c r="BY510" s="1207"/>
      <c r="BZ510" s="1207"/>
      <c r="CA510" s="1207"/>
      <c r="CB510" s="1207"/>
      <c r="CC510" s="1207"/>
      <c r="CD510" s="1207"/>
      <c r="CE510" s="1207"/>
      <c r="CF510" s="1207"/>
    </row>
    <row r="511" spans="1:84" ht="135" x14ac:dyDescent="0.2">
      <c r="A511" s="1358">
        <v>2022493</v>
      </c>
      <c r="B511" s="1359">
        <v>7658</v>
      </c>
      <c r="C511" s="1360" t="s">
        <v>681</v>
      </c>
      <c r="D511" s="1393" t="s">
        <v>700</v>
      </c>
      <c r="E511" s="1394" t="s">
        <v>1124</v>
      </c>
      <c r="F511" s="1395" t="s">
        <v>1125</v>
      </c>
      <c r="G511" s="1396">
        <v>44683</v>
      </c>
      <c r="H511" s="1396">
        <v>44728</v>
      </c>
      <c r="I511" s="1268">
        <v>12</v>
      </c>
      <c r="J511" s="1176" t="s">
        <v>698</v>
      </c>
      <c r="K511" s="1177" t="s">
        <v>676</v>
      </c>
      <c r="L511" s="1178" t="s">
        <v>983</v>
      </c>
      <c r="M511" s="1249">
        <f>400000000-175000000-8000000+50000000</f>
        <v>267000000</v>
      </c>
      <c r="N511" s="1386" t="s">
        <v>786</v>
      </c>
      <c r="O511" s="1394" t="s">
        <v>773</v>
      </c>
      <c r="P511" s="1159" t="s">
        <v>680</v>
      </c>
      <c r="Q511" s="1159"/>
      <c r="R511" s="1377">
        <v>217000000</v>
      </c>
      <c r="S511" s="1377">
        <v>217000000</v>
      </c>
      <c r="T511" s="1357">
        <f>+Tabla16[[#This Row],[CDPS A 31 JULIO 2022]]-Tabla16[[#This Row],[CDP]]</f>
        <v>0</v>
      </c>
      <c r="U511" s="1361"/>
      <c r="V511" s="1361"/>
      <c r="W511" s="1357"/>
      <c r="X511" s="1207"/>
      <c r="Y511" s="1207"/>
      <c r="Z511" s="1207"/>
      <c r="AA511" s="1207"/>
      <c r="AB511" s="1207"/>
      <c r="AC511" s="1207"/>
      <c r="AD511" s="1207"/>
      <c r="AE511" s="1207"/>
      <c r="AF511" s="1207"/>
      <c r="AG511" s="1207"/>
      <c r="AH511" s="1207"/>
      <c r="AI511" s="1207"/>
      <c r="AJ511" s="1207"/>
      <c r="AK511" s="1207"/>
      <c r="AL511" s="1207"/>
      <c r="AM511" s="1207"/>
      <c r="AN511" s="1207"/>
      <c r="AO511" s="1207"/>
      <c r="AP511" s="1207"/>
      <c r="AQ511" s="1207"/>
      <c r="AR511" s="1207"/>
      <c r="AS511" s="1207"/>
      <c r="AT511" s="1207"/>
      <c r="AU511" s="1207"/>
      <c r="AV511" s="1207"/>
      <c r="AW511" s="1207"/>
      <c r="AX511" s="1207"/>
      <c r="AY511" s="1207"/>
      <c r="AZ511" s="1207"/>
      <c r="BA511" s="1207"/>
      <c r="BB511" s="1207"/>
      <c r="BC511" s="1207"/>
      <c r="BD511" s="1207"/>
      <c r="BE511" s="1207"/>
      <c r="BF511" s="1207"/>
      <c r="BG511" s="1207"/>
      <c r="BH511" s="1207"/>
      <c r="BI511" s="1207"/>
      <c r="BJ511" s="1207"/>
      <c r="BK511" s="1207"/>
      <c r="BL511" s="1207"/>
      <c r="BM511" s="1207"/>
      <c r="BN511" s="1207"/>
      <c r="BO511" s="1207"/>
      <c r="BP511" s="1207"/>
      <c r="BQ511" s="1207"/>
      <c r="BR511" s="1207"/>
      <c r="BS511" s="1207"/>
      <c r="BT511" s="1207"/>
      <c r="BU511" s="1207"/>
      <c r="BV511" s="1207"/>
      <c r="BW511" s="1207"/>
      <c r="BX511" s="1207"/>
      <c r="BY511" s="1207"/>
      <c r="BZ511" s="1207"/>
      <c r="CA511" s="1207"/>
      <c r="CB511" s="1207"/>
      <c r="CC511" s="1207"/>
      <c r="CD511" s="1207"/>
      <c r="CE511" s="1207"/>
      <c r="CF511" s="1207"/>
    </row>
    <row r="512" spans="1:84" ht="135" x14ac:dyDescent="0.2">
      <c r="A512" s="1358">
        <v>2022495</v>
      </c>
      <c r="B512" s="1359">
        <v>7658</v>
      </c>
      <c r="C512" s="1360" t="s">
        <v>681</v>
      </c>
      <c r="D512" s="1393" t="s">
        <v>700</v>
      </c>
      <c r="E512" s="1394">
        <v>78181505</v>
      </c>
      <c r="F512" s="1395" t="s">
        <v>1126</v>
      </c>
      <c r="G512" s="1396">
        <v>44732</v>
      </c>
      <c r="H512" s="1396">
        <v>44752</v>
      </c>
      <c r="I512" s="1268">
        <v>7</v>
      </c>
      <c r="J512" s="1176" t="s">
        <v>675</v>
      </c>
      <c r="K512" s="1177" t="s">
        <v>676</v>
      </c>
      <c r="L512" s="1178" t="s">
        <v>983</v>
      </c>
      <c r="M512" s="1249">
        <v>80000000</v>
      </c>
      <c r="N512" s="1386" t="s">
        <v>786</v>
      </c>
      <c r="O512" s="1394" t="s">
        <v>773</v>
      </c>
      <c r="P512" s="1159" t="s">
        <v>680</v>
      </c>
      <c r="Q512" s="1159"/>
      <c r="R512" s="1377">
        <v>80000000</v>
      </c>
      <c r="S512" s="1377">
        <v>80000000</v>
      </c>
      <c r="T512" s="1357">
        <f>+Tabla16[[#This Row],[CDPS A 31 JULIO 2022]]-Tabla16[[#This Row],[CDP]]</f>
        <v>0</v>
      </c>
      <c r="U512" s="1361"/>
      <c r="V512" s="1361"/>
      <c r="W512" s="1357"/>
      <c r="X512" s="1207"/>
      <c r="Y512" s="1207"/>
      <c r="Z512" s="1207"/>
      <c r="AA512" s="1207"/>
      <c r="AB512" s="1207"/>
      <c r="AC512" s="1207"/>
      <c r="AD512" s="1207"/>
      <c r="AE512" s="1207"/>
      <c r="AF512" s="1207"/>
      <c r="AG512" s="1207"/>
      <c r="AH512" s="1207"/>
      <c r="AI512" s="1207"/>
      <c r="AJ512" s="1207"/>
      <c r="AK512" s="1207"/>
      <c r="AL512" s="1207"/>
      <c r="AM512" s="1207"/>
      <c r="AN512" s="1207"/>
      <c r="AO512" s="1207"/>
      <c r="AP512" s="1207"/>
      <c r="AQ512" s="1207"/>
      <c r="AR512" s="1207"/>
      <c r="AS512" s="1207"/>
      <c r="AT512" s="1207"/>
      <c r="AU512" s="1207"/>
      <c r="AV512" s="1207"/>
      <c r="AW512" s="1207"/>
      <c r="AX512" s="1207"/>
      <c r="AY512" s="1207"/>
      <c r="AZ512" s="1207"/>
      <c r="BA512" s="1207"/>
      <c r="BB512" s="1207"/>
      <c r="BC512" s="1207"/>
      <c r="BD512" s="1207"/>
      <c r="BE512" s="1207"/>
      <c r="BF512" s="1207"/>
      <c r="BG512" s="1207"/>
      <c r="BH512" s="1207"/>
      <c r="BI512" s="1207"/>
      <c r="BJ512" s="1207"/>
      <c r="BK512" s="1207"/>
      <c r="BL512" s="1207"/>
      <c r="BM512" s="1207"/>
      <c r="BN512" s="1207"/>
      <c r="BO512" s="1207"/>
      <c r="BP512" s="1207"/>
      <c r="BQ512" s="1207"/>
      <c r="BR512" s="1207"/>
      <c r="BS512" s="1207"/>
      <c r="BT512" s="1207"/>
      <c r="BU512" s="1207"/>
      <c r="BV512" s="1207"/>
      <c r="BW512" s="1207"/>
      <c r="BX512" s="1207"/>
      <c r="BY512" s="1207"/>
      <c r="BZ512" s="1207"/>
      <c r="CA512" s="1207"/>
      <c r="CB512" s="1207"/>
      <c r="CC512" s="1207"/>
      <c r="CD512" s="1207"/>
      <c r="CE512" s="1207"/>
      <c r="CF512" s="1207"/>
    </row>
    <row r="513" spans="1:84" ht="135" x14ac:dyDescent="0.2">
      <c r="A513" s="1358">
        <v>2022496</v>
      </c>
      <c r="B513" s="1359">
        <v>7658</v>
      </c>
      <c r="C513" s="1360" t="s">
        <v>681</v>
      </c>
      <c r="D513" s="1393" t="s">
        <v>700</v>
      </c>
      <c r="E513" s="1394" t="s">
        <v>1127</v>
      </c>
      <c r="F513" s="1395" t="s">
        <v>1128</v>
      </c>
      <c r="G513" s="1396">
        <v>44732</v>
      </c>
      <c r="H513" s="1396">
        <v>44752</v>
      </c>
      <c r="I513" s="1268">
        <v>7</v>
      </c>
      <c r="J513" s="1176" t="s">
        <v>675</v>
      </c>
      <c r="K513" s="1177" t="s">
        <v>676</v>
      </c>
      <c r="L513" s="1178" t="s">
        <v>983</v>
      </c>
      <c r="M513" s="1249">
        <v>150000000</v>
      </c>
      <c r="N513" s="1386" t="s">
        <v>786</v>
      </c>
      <c r="O513" s="1394" t="s">
        <v>773</v>
      </c>
      <c r="P513" s="1159" t="s">
        <v>680</v>
      </c>
      <c r="Q513" s="1159"/>
      <c r="R513" s="1377">
        <v>150000000</v>
      </c>
      <c r="S513" s="1377">
        <v>150000000</v>
      </c>
      <c r="T513" s="1357">
        <f>+Tabla16[[#This Row],[CDPS A 31 JULIO 2022]]-Tabla16[[#This Row],[CDP]]</f>
        <v>0</v>
      </c>
      <c r="U513" s="1361"/>
      <c r="V513" s="1361"/>
      <c r="W513" s="1357"/>
      <c r="X513" s="1207"/>
      <c r="Y513" s="1207"/>
      <c r="Z513" s="1207"/>
      <c r="AA513" s="1207"/>
      <c r="AB513" s="1207"/>
      <c r="AC513" s="1207"/>
      <c r="AD513" s="1207"/>
      <c r="AE513" s="1207"/>
      <c r="AF513" s="1207"/>
      <c r="AG513" s="1207"/>
      <c r="AH513" s="1207"/>
      <c r="AI513" s="1207"/>
      <c r="AJ513" s="1207"/>
      <c r="AK513" s="1207"/>
      <c r="AL513" s="1207"/>
      <c r="AM513" s="1207"/>
      <c r="AN513" s="1207"/>
      <c r="AO513" s="1207"/>
      <c r="AP513" s="1207"/>
      <c r="AQ513" s="1207"/>
      <c r="AR513" s="1207"/>
      <c r="AS513" s="1207"/>
      <c r="AT513" s="1207"/>
      <c r="AU513" s="1207"/>
      <c r="AV513" s="1207"/>
      <c r="AW513" s="1207"/>
      <c r="AX513" s="1207"/>
      <c r="AY513" s="1207"/>
      <c r="AZ513" s="1207"/>
      <c r="BA513" s="1207"/>
      <c r="BB513" s="1207"/>
      <c r="BC513" s="1207"/>
      <c r="BD513" s="1207"/>
      <c r="BE513" s="1207"/>
      <c r="BF513" s="1207"/>
      <c r="BG513" s="1207"/>
      <c r="BH513" s="1207"/>
      <c r="BI513" s="1207"/>
      <c r="BJ513" s="1207"/>
      <c r="BK513" s="1207"/>
      <c r="BL513" s="1207"/>
      <c r="BM513" s="1207"/>
      <c r="BN513" s="1207"/>
      <c r="BO513" s="1207"/>
      <c r="BP513" s="1207"/>
      <c r="BQ513" s="1207"/>
      <c r="BR513" s="1207"/>
      <c r="BS513" s="1207"/>
      <c r="BT513" s="1207"/>
      <c r="BU513" s="1207"/>
      <c r="BV513" s="1207"/>
      <c r="BW513" s="1207"/>
      <c r="BX513" s="1207"/>
      <c r="BY513" s="1207"/>
      <c r="BZ513" s="1207"/>
      <c r="CA513" s="1207"/>
      <c r="CB513" s="1207"/>
      <c r="CC513" s="1207"/>
      <c r="CD513" s="1207"/>
      <c r="CE513" s="1207"/>
      <c r="CF513" s="1207"/>
    </row>
    <row r="514" spans="1:84" ht="135" x14ac:dyDescent="0.2">
      <c r="A514" s="1358">
        <v>2022497</v>
      </c>
      <c r="B514" s="1359">
        <v>7658</v>
      </c>
      <c r="C514" s="1360" t="s">
        <v>681</v>
      </c>
      <c r="D514" s="1393" t="s">
        <v>700</v>
      </c>
      <c r="E514" s="1394">
        <v>72101509</v>
      </c>
      <c r="F514" s="1395" t="s">
        <v>1129</v>
      </c>
      <c r="G514" s="1396">
        <v>44732</v>
      </c>
      <c r="H514" s="1396">
        <v>44752</v>
      </c>
      <c r="I514" s="1268">
        <v>7</v>
      </c>
      <c r="J514" s="1176" t="s">
        <v>675</v>
      </c>
      <c r="K514" s="1177" t="s">
        <v>676</v>
      </c>
      <c r="L514" s="1178" t="s">
        <v>983</v>
      </c>
      <c r="M514" s="1249">
        <v>350000000</v>
      </c>
      <c r="N514" s="1386" t="s">
        <v>786</v>
      </c>
      <c r="O514" s="1394" t="s">
        <v>773</v>
      </c>
      <c r="P514" s="1159" t="s">
        <v>680</v>
      </c>
      <c r="Q514" s="1159"/>
      <c r="R514" s="1377">
        <v>350000000</v>
      </c>
      <c r="S514" s="1377">
        <v>350000000</v>
      </c>
      <c r="T514" s="1357">
        <f>+Tabla16[[#This Row],[CDPS A 31 JULIO 2022]]-Tabla16[[#This Row],[CDP]]</f>
        <v>0</v>
      </c>
      <c r="U514" s="1361"/>
      <c r="V514" s="1361"/>
      <c r="W514" s="1357"/>
      <c r="X514" s="1207"/>
      <c r="Y514" s="1207"/>
      <c r="Z514" s="1207"/>
      <c r="AA514" s="1207"/>
      <c r="AB514" s="1207"/>
      <c r="AC514" s="1207"/>
      <c r="AD514" s="1207"/>
      <c r="AE514" s="1207"/>
      <c r="AF514" s="1207"/>
      <c r="AG514" s="1207"/>
      <c r="AH514" s="1207"/>
      <c r="AI514" s="1207"/>
      <c r="AJ514" s="1207"/>
      <c r="AK514" s="1207"/>
      <c r="AL514" s="1207"/>
      <c r="AM514" s="1207"/>
      <c r="AN514" s="1207"/>
      <c r="AO514" s="1207"/>
      <c r="AP514" s="1207"/>
      <c r="AQ514" s="1207"/>
      <c r="AR514" s="1207"/>
      <c r="AS514" s="1207"/>
      <c r="AT514" s="1207"/>
      <c r="AU514" s="1207"/>
      <c r="AV514" s="1207"/>
      <c r="AW514" s="1207"/>
      <c r="AX514" s="1207"/>
      <c r="AY514" s="1207"/>
      <c r="AZ514" s="1207"/>
      <c r="BA514" s="1207"/>
      <c r="BB514" s="1207"/>
      <c r="BC514" s="1207"/>
      <c r="BD514" s="1207"/>
      <c r="BE514" s="1207"/>
      <c r="BF514" s="1207"/>
      <c r="BG514" s="1207"/>
      <c r="BH514" s="1207"/>
      <c r="BI514" s="1207"/>
      <c r="BJ514" s="1207"/>
      <c r="BK514" s="1207"/>
      <c r="BL514" s="1207"/>
      <c r="BM514" s="1207"/>
      <c r="BN514" s="1207"/>
      <c r="BO514" s="1207"/>
      <c r="BP514" s="1207"/>
      <c r="BQ514" s="1207"/>
      <c r="BR514" s="1207"/>
      <c r="BS514" s="1207"/>
      <c r="BT514" s="1207"/>
      <c r="BU514" s="1207"/>
      <c r="BV514" s="1207"/>
      <c r="BW514" s="1207"/>
      <c r="BX514" s="1207"/>
      <c r="BY514" s="1207"/>
      <c r="BZ514" s="1207"/>
      <c r="CA514" s="1207"/>
      <c r="CB514" s="1207"/>
      <c r="CC514" s="1207"/>
      <c r="CD514" s="1207"/>
      <c r="CE514" s="1207"/>
      <c r="CF514" s="1207"/>
    </row>
    <row r="515" spans="1:84" ht="135" x14ac:dyDescent="0.2">
      <c r="A515" s="1358">
        <v>2022498</v>
      </c>
      <c r="B515" s="1359">
        <v>7658</v>
      </c>
      <c r="C515" s="1360" t="s">
        <v>681</v>
      </c>
      <c r="D515" s="1393" t="s">
        <v>700</v>
      </c>
      <c r="E515" s="1394">
        <v>72101509</v>
      </c>
      <c r="F515" s="1395" t="s">
        <v>1130</v>
      </c>
      <c r="G515" s="1396">
        <v>44683</v>
      </c>
      <c r="H515" s="1396">
        <v>44728</v>
      </c>
      <c r="I515" s="1268">
        <v>9</v>
      </c>
      <c r="J515" s="1268" t="s">
        <v>698</v>
      </c>
      <c r="K515" s="1177" t="s">
        <v>676</v>
      </c>
      <c r="L515" s="1178" t="s">
        <v>983</v>
      </c>
      <c r="M515" s="1249">
        <v>300000000</v>
      </c>
      <c r="N515" s="1386" t="s">
        <v>786</v>
      </c>
      <c r="O515" s="1394" t="s">
        <v>773</v>
      </c>
      <c r="P515" s="1159" t="s">
        <v>680</v>
      </c>
      <c r="Q515" s="1159"/>
      <c r="R515" s="1377">
        <v>300000000</v>
      </c>
      <c r="S515" s="1377">
        <v>300000000</v>
      </c>
      <c r="T515" s="1357">
        <f>+Tabla16[[#This Row],[CDPS A 31 JULIO 2022]]-Tabla16[[#This Row],[CDP]]</f>
        <v>0</v>
      </c>
      <c r="U515" s="1361"/>
      <c r="V515" s="1361"/>
      <c r="W515" s="1357"/>
      <c r="X515" s="1207"/>
      <c r="Y515" s="1207"/>
      <c r="Z515" s="1207"/>
      <c r="AA515" s="1207"/>
      <c r="AB515" s="1207"/>
      <c r="AC515" s="1207"/>
      <c r="AD515" s="1207"/>
      <c r="AE515" s="1207"/>
      <c r="AF515" s="1207"/>
      <c r="AG515" s="1207"/>
      <c r="AH515" s="1207"/>
      <c r="AI515" s="1207"/>
      <c r="AJ515" s="1207"/>
      <c r="AK515" s="1207"/>
      <c r="AL515" s="1207"/>
      <c r="AM515" s="1207"/>
      <c r="AN515" s="1207"/>
      <c r="AO515" s="1207"/>
      <c r="AP515" s="1207"/>
      <c r="AQ515" s="1207"/>
      <c r="AR515" s="1207"/>
      <c r="AS515" s="1207"/>
      <c r="AT515" s="1207"/>
      <c r="AU515" s="1207"/>
      <c r="AV515" s="1207"/>
      <c r="AW515" s="1207"/>
      <c r="AX515" s="1207"/>
      <c r="AY515" s="1207"/>
      <c r="AZ515" s="1207"/>
      <c r="BA515" s="1207"/>
      <c r="BB515" s="1207"/>
      <c r="BC515" s="1207"/>
      <c r="BD515" s="1207"/>
      <c r="BE515" s="1207"/>
      <c r="BF515" s="1207"/>
      <c r="BG515" s="1207"/>
      <c r="BH515" s="1207"/>
      <c r="BI515" s="1207"/>
      <c r="BJ515" s="1207"/>
      <c r="BK515" s="1207"/>
      <c r="BL515" s="1207"/>
      <c r="BM515" s="1207"/>
      <c r="BN515" s="1207"/>
      <c r="BO515" s="1207"/>
      <c r="BP515" s="1207"/>
      <c r="BQ515" s="1207"/>
      <c r="BR515" s="1207"/>
      <c r="BS515" s="1207"/>
      <c r="BT515" s="1207"/>
      <c r="BU515" s="1207"/>
      <c r="BV515" s="1207"/>
      <c r="BW515" s="1207"/>
      <c r="BX515" s="1207"/>
      <c r="BY515" s="1207"/>
      <c r="BZ515" s="1207"/>
      <c r="CA515" s="1207"/>
      <c r="CB515" s="1207"/>
      <c r="CC515" s="1207"/>
      <c r="CD515" s="1207"/>
      <c r="CE515" s="1207"/>
      <c r="CF515" s="1207"/>
    </row>
    <row r="516" spans="1:84" ht="135" x14ac:dyDescent="0.2">
      <c r="A516" s="1355">
        <v>2022499</v>
      </c>
      <c r="B516" s="1172">
        <v>7658</v>
      </c>
      <c r="C516" s="1356" t="s">
        <v>681</v>
      </c>
      <c r="D516" s="1190" t="s">
        <v>700</v>
      </c>
      <c r="E516" s="1174">
        <v>78111800</v>
      </c>
      <c r="F516" s="1389" t="s">
        <v>1131</v>
      </c>
      <c r="G516" s="1390">
        <v>44683</v>
      </c>
      <c r="H516" s="1390">
        <v>44743</v>
      </c>
      <c r="I516" s="1176">
        <v>12</v>
      </c>
      <c r="J516" s="1176" t="s">
        <v>722</v>
      </c>
      <c r="K516" s="1177" t="s">
        <v>676</v>
      </c>
      <c r="L516" s="1178" t="s">
        <v>1132</v>
      </c>
      <c r="M516" s="1179">
        <f>600000000-100000000-139210766</f>
        <v>360789234</v>
      </c>
      <c r="N516" s="1386" t="s">
        <v>786</v>
      </c>
      <c r="O516" s="1174" t="s">
        <v>773</v>
      </c>
      <c r="P516" s="1163" t="s">
        <v>680</v>
      </c>
      <c r="Q516" s="1163"/>
      <c r="R516" s="1357">
        <v>360789234</v>
      </c>
      <c r="S516" s="1357">
        <v>500000000</v>
      </c>
      <c r="T516" s="1357">
        <f>+Tabla16[[#This Row],[CDPS A 31 JULIO 2022]]-Tabla16[[#This Row],[CDP]]</f>
        <v>-139210766</v>
      </c>
      <c r="U516" s="1357">
        <v>360789234</v>
      </c>
      <c r="V516" s="1357">
        <v>40655029</v>
      </c>
      <c r="W516" s="1357"/>
      <c r="X516" s="1207"/>
      <c r="Y516" s="1207"/>
      <c r="Z516" s="1207"/>
      <c r="AA516" s="1207"/>
      <c r="AB516" s="1207"/>
      <c r="AC516" s="1207"/>
      <c r="AD516" s="1207"/>
      <c r="AE516" s="1207"/>
      <c r="AF516" s="1207"/>
      <c r="AG516" s="1207"/>
      <c r="AH516" s="1207"/>
      <c r="AI516" s="1207"/>
      <c r="AJ516" s="1207"/>
      <c r="AK516" s="1207"/>
      <c r="AL516" s="1207"/>
      <c r="AM516" s="1207"/>
      <c r="AN516" s="1207"/>
      <c r="AO516" s="1207"/>
      <c r="AP516" s="1207"/>
      <c r="AQ516" s="1207"/>
      <c r="AR516" s="1207"/>
      <c r="AS516" s="1207"/>
      <c r="AT516" s="1207"/>
      <c r="AU516" s="1207"/>
      <c r="AV516" s="1207"/>
      <c r="AW516" s="1207"/>
      <c r="AX516" s="1207"/>
      <c r="AY516" s="1207"/>
      <c r="AZ516" s="1207"/>
      <c r="BA516" s="1207"/>
      <c r="BB516" s="1207"/>
      <c r="BC516" s="1207"/>
      <c r="BD516" s="1207"/>
      <c r="BE516" s="1207"/>
      <c r="BF516" s="1207"/>
      <c r="BG516" s="1207"/>
      <c r="BH516" s="1207"/>
      <c r="BI516" s="1207"/>
      <c r="BJ516" s="1207"/>
      <c r="BK516" s="1207"/>
      <c r="BL516" s="1207"/>
      <c r="BM516" s="1207"/>
      <c r="BN516" s="1207"/>
      <c r="BO516" s="1207"/>
      <c r="BP516" s="1207"/>
      <c r="BQ516" s="1207"/>
      <c r="BR516" s="1207"/>
      <c r="BS516" s="1207"/>
      <c r="BT516" s="1207"/>
      <c r="BU516" s="1207"/>
      <c r="BV516" s="1207"/>
      <c r="BW516" s="1207"/>
      <c r="BX516" s="1207"/>
      <c r="BY516" s="1207"/>
      <c r="BZ516" s="1207"/>
      <c r="CA516" s="1207"/>
      <c r="CB516" s="1207"/>
      <c r="CC516" s="1207"/>
      <c r="CD516" s="1207"/>
      <c r="CE516" s="1207"/>
      <c r="CF516" s="1207"/>
    </row>
    <row r="517" spans="1:84" ht="135" x14ac:dyDescent="0.2">
      <c r="A517" s="1355">
        <v>2022500</v>
      </c>
      <c r="B517" s="1172">
        <v>7658</v>
      </c>
      <c r="C517" s="1356" t="s">
        <v>681</v>
      </c>
      <c r="D517" s="1190" t="s">
        <v>700</v>
      </c>
      <c r="E517" s="1174"/>
      <c r="F517" s="1389" t="s">
        <v>1133</v>
      </c>
      <c r="G517" s="1390">
        <v>44576</v>
      </c>
      <c r="H517" s="1390">
        <v>44593</v>
      </c>
      <c r="I517" s="1176">
        <v>12</v>
      </c>
      <c r="J517" s="1176" t="s">
        <v>97</v>
      </c>
      <c r="K517" s="1177" t="s">
        <v>676</v>
      </c>
      <c r="L517" s="1178" t="s">
        <v>677</v>
      </c>
      <c r="M517" s="1179">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-30000000-6183142-151933-315000</f>
        <v>55161736</v>
      </c>
      <c r="N517" s="1386" t="s">
        <v>781</v>
      </c>
      <c r="O517" s="1174" t="s">
        <v>773</v>
      </c>
      <c r="P517" s="1163" t="s">
        <v>750</v>
      </c>
      <c r="Q517" s="1163"/>
      <c r="R517" s="1269">
        <v>0</v>
      </c>
      <c r="S517" s="1357"/>
      <c r="T517" s="1357">
        <f>+Tabla16[[#This Row],[CDPS A 31 JULIO 2022]]-Tabla16[[#This Row],[CDP]]</f>
        <v>0</v>
      </c>
      <c r="U517" s="1357"/>
      <c r="V517" s="1357"/>
      <c r="W517" s="1357"/>
      <c r="X517" s="1207"/>
      <c r="Y517" s="1207"/>
      <c r="Z517" s="1207"/>
      <c r="AA517" s="1207"/>
      <c r="AB517" s="1207"/>
      <c r="AC517" s="1207"/>
      <c r="AD517" s="1207"/>
      <c r="AE517" s="1207"/>
      <c r="AF517" s="1207"/>
      <c r="AG517" s="1207"/>
      <c r="AH517" s="1207"/>
      <c r="AI517" s="1207"/>
      <c r="AJ517" s="1207"/>
      <c r="AK517" s="1207"/>
      <c r="AL517" s="1207"/>
      <c r="AM517" s="1207"/>
      <c r="AN517" s="1207"/>
      <c r="AO517" s="1207"/>
      <c r="AP517" s="1207"/>
      <c r="AQ517" s="1207"/>
      <c r="AR517" s="1207"/>
      <c r="AS517" s="1207"/>
      <c r="AT517" s="1207"/>
      <c r="AU517" s="1207"/>
      <c r="AV517" s="1207"/>
      <c r="AW517" s="1207"/>
      <c r="AX517" s="1207"/>
      <c r="AY517" s="1207"/>
      <c r="AZ517" s="1207"/>
      <c r="BA517" s="1207"/>
      <c r="BB517" s="1207"/>
      <c r="BC517" s="1207"/>
      <c r="BD517" s="1207"/>
      <c r="BE517" s="1207"/>
      <c r="BF517" s="1207"/>
      <c r="BG517" s="1207"/>
      <c r="BH517" s="1207"/>
      <c r="BI517" s="1207"/>
      <c r="BJ517" s="1207"/>
      <c r="BK517" s="1207"/>
      <c r="BL517" s="1207"/>
      <c r="BM517" s="1207"/>
      <c r="BN517" s="1207"/>
      <c r="BO517" s="1207"/>
      <c r="BP517" s="1207"/>
      <c r="BQ517" s="1207"/>
      <c r="BR517" s="1207"/>
      <c r="BS517" s="1207"/>
      <c r="BT517" s="1207"/>
      <c r="BU517" s="1207"/>
      <c r="BV517" s="1207"/>
      <c r="BW517" s="1207"/>
      <c r="BX517" s="1207"/>
      <c r="BY517" s="1207"/>
      <c r="BZ517" s="1207"/>
      <c r="CA517" s="1207"/>
      <c r="CB517" s="1207"/>
      <c r="CC517" s="1207"/>
      <c r="CD517" s="1207"/>
      <c r="CE517" s="1207"/>
      <c r="CF517" s="1207"/>
    </row>
    <row r="518" spans="1:84" ht="135" x14ac:dyDescent="0.2">
      <c r="A518" s="1358">
        <v>2022501</v>
      </c>
      <c r="B518" s="1359">
        <v>7658</v>
      </c>
      <c r="C518" s="1360" t="s">
        <v>681</v>
      </c>
      <c r="D518" s="1393" t="s">
        <v>700</v>
      </c>
      <c r="E518" s="1394" t="s">
        <v>1134</v>
      </c>
      <c r="F518" s="1395" t="s">
        <v>1135</v>
      </c>
      <c r="G518" s="1396">
        <v>44683</v>
      </c>
      <c r="H518" s="1396">
        <v>44743</v>
      </c>
      <c r="I518" s="1268">
        <v>12</v>
      </c>
      <c r="J518" s="1176" t="s">
        <v>647</v>
      </c>
      <c r="K518" s="1397" t="s">
        <v>772</v>
      </c>
      <c r="L518" s="1178" t="s">
        <v>983</v>
      </c>
      <c r="M518" s="1249">
        <f>437560000-437560000</f>
        <v>0</v>
      </c>
      <c r="N518" s="1386" t="s">
        <v>786</v>
      </c>
      <c r="O518" s="1394" t="s">
        <v>773</v>
      </c>
      <c r="P518" s="1163" t="s">
        <v>680</v>
      </c>
      <c r="Q518" s="1163"/>
      <c r="R518" s="1269">
        <v>0</v>
      </c>
      <c r="S518" s="1357"/>
      <c r="T518" s="1357">
        <f>+Tabla16[[#This Row],[CDPS A 31 JULIO 2022]]-Tabla16[[#This Row],[CDP]]</f>
        <v>0</v>
      </c>
      <c r="U518" s="1357"/>
      <c r="V518" s="1357"/>
      <c r="W518" s="1357"/>
      <c r="X518" s="1207"/>
      <c r="Y518" s="1207"/>
      <c r="Z518" s="1207"/>
      <c r="AA518" s="1207"/>
      <c r="AB518" s="1207"/>
      <c r="AC518" s="1207"/>
      <c r="AD518" s="1207"/>
      <c r="AE518" s="1207"/>
      <c r="AF518" s="1207"/>
      <c r="AG518" s="1207"/>
      <c r="AH518" s="1207"/>
      <c r="AI518" s="1207"/>
      <c r="AJ518" s="1207"/>
      <c r="AK518" s="1207"/>
      <c r="AL518" s="1207"/>
      <c r="AM518" s="1207"/>
      <c r="AN518" s="1207"/>
      <c r="AO518" s="1207"/>
      <c r="AP518" s="1207"/>
      <c r="AQ518" s="1207"/>
      <c r="AR518" s="1207"/>
      <c r="AS518" s="1207"/>
      <c r="AT518" s="1207"/>
      <c r="AU518" s="1207"/>
      <c r="AV518" s="1207"/>
      <c r="AW518" s="1207"/>
      <c r="AX518" s="1207"/>
      <c r="AY518" s="1207"/>
      <c r="AZ518" s="1207"/>
      <c r="BA518" s="1207"/>
      <c r="BB518" s="1207"/>
      <c r="BC518" s="1207"/>
      <c r="BD518" s="1207"/>
      <c r="BE518" s="1207"/>
      <c r="BF518" s="1207"/>
      <c r="BG518" s="1207"/>
      <c r="BH518" s="1207"/>
      <c r="BI518" s="1207"/>
      <c r="BJ518" s="1207"/>
      <c r="BK518" s="1207"/>
      <c r="BL518" s="1207"/>
      <c r="BM518" s="1207"/>
      <c r="BN518" s="1207"/>
      <c r="BO518" s="1207"/>
      <c r="BP518" s="1207"/>
      <c r="BQ518" s="1207"/>
      <c r="BR518" s="1207"/>
      <c r="BS518" s="1207"/>
      <c r="BT518" s="1207"/>
      <c r="BU518" s="1207"/>
      <c r="BV518" s="1207"/>
      <c r="BW518" s="1207"/>
      <c r="BX518" s="1207"/>
      <c r="BY518" s="1207"/>
      <c r="BZ518" s="1207"/>
      <c r="CA518" s="1207"/>
      <c r="CB518" s="1207"/>
      <c r="CC518" s="1207"/>
      <c r="CD518" s="1207"/>
      <c r="CE518" s="1207"/>
      <c r="CF518" s="1207"/>
    </row>
    <row r="519" spans="1:84" ht="135" x14ac:dyDescent="0.2">
      <c r="A519" s="1355">
        <v>2022502</v>
      </c>
      <c r="B519" s="1172">
        <v>7658</v>
      </c>
      <c r="C519" s="1356" t="s">
        <v>681</v>
      </c>
      <c r="D519" s="1190" t="s">
        <v>700</v>
      </c>
      <c r="E519" s="1174">
        <v>80111600</v>
      </c>
      <c r="F519" s="1389" t="s">
        <v>1136</v>
      </c>
      <c r="G519" s="1390">
        <v>44562</v>
      </c>
      <c r="H519" s="1390">
        <v>44592</v>
      </c>
      <c r="I519" s="1176">
        <v>11.5</v>
      </c>
      <c r="J519" s="1176" t="s">
        <v>675</v>
      </c>
      <c r="K519" s="1177" t="s">
        <v>676</v>
      </c>
      <c r="L519" s="1178" t="s">
        <v>677</v>
      </c>
      <c r="M519" s="1179">
        <f>98900000-4300000</f>
        <v>94600000</v>
      </c>
      <c r="N519" s="1386" t="s">
        <v>786</v>
      </c>
      <c r="O519" s="1174" t="s">
        <v>773</v>
      </c>
      <c r="P519" s="1163" t="s">
        <v>680</v>
      </c>
      <c r="Q519" s="1163"/>
      <c r="R519" s="1357">
        <v>94600000</v>
      </c>
      <c r="S519" s="1357">
        <v>94600000</v>
      </c>
      <c r="T519" s="1357">
        <f>+Tabla16[[#This Row],[CDPS A 31 JULIO 2022]]-Tabla16[[#This Row],[CDP]]</f>
        <v>0</v>
      </c>
      <c r="U519" s="1357">
        <v>94600000</v>
      </c>
      <c r="V519" s="1357">
        <v>36406667</v>
      </c>
      <c r="W519" s="1357"/>
      <c r="X519" s="1207"/>
      <c r="Y519" s="1207"/>
      <c r="Z519" s="1207"/>
      <c r="AA519" s="1207"/>
      <c r="AB519" s="1207"/>
      <c r="AC519" s="1207"/>
      <c r="AD519" s="1207"/>
      <c r="AE519" s="1207"/>
      <c r="AF519" s="1207"/>
      <c r="AG519" s="1207"/>
      <c r="AH519" s="1207"/>
      <c r="AI519" s="1207"/>
      <c r="AJ519" s="1207"/>
      <c r="AK519" s="1207"/>
      <c r="AL519" s="1207"/>
      <c r="AM519" s="1207"/>
      <c r="AN519" s="1207"/>
      <c r="AO519" s="1207"/>
      <c r="AP519" s="1207"/>
      <c r="AQ519" s="1207"/>
      <c r="AR519" s="1207"/>
      <c r="AS519" s="1207"/>
      <c r="AT519" s="1207"/>
      <c r="AU519" s="1207"/>
      <c r="AV519" s="1207"/>
      <c r="AW519" s="1207"/>
      <c r="AX519" s="1207"/>
      <c r="AY519" s="1207"/>
      <c r="AZ519" s="1207"/>
      <c r="BA519" s="1207"/>
      <c r="BB519" s="1207"/>
      <c r="BC519" s="1207"/>
      <c r="BD519" s="1207"/>
      <c r="BE519" s="1207"/>
      <c r="BF519" s="1207"/>
      <c r="BG519" s="1207"/>
      <c r="BH519" s="1207"/>
      <c r="BI519" s="1207"/>
      <c r="BJ519" s="1207"/>
      <c r="BK519" s="1207"/>
      <c r="BL519" s="1207"/>
      <c r="BM519" s="1207"/>
      <c r="BN519" s="1207"/>
      <c r="BO519" s="1207"/>
      <c r="BP519" s="1207"/>
      <c r="BQ519" s="1207"/>
      <c r="BR519" s="1207"/>
      <c r="BS519" s="1207"/>
      <c r="BT519" s="1207"/>
      <c r="BU519" s="1207"/>
      <c r="BV519" s="1207"/>
      <c r="BW519" s="1207"/>
      <c r="BX519" s="1207"/>
      <c r="BY519" s="1207"/>
      <c r="BZ519" s="1207"/>
      <c r="CA519" s="1207"/>
      <c r="CB519" s="1207"/>
      <c r="CC519" s="1207"/>
      <c r="CD519" s="1207"/>
      <c r="CE519" s="1207"/>
      <c r="CF519" s="1207"/>
    </row>
    <row r="520" spans="1:84" ht="135" x14ac:dyDescent="0.2">
      <c r="A520" s="1355">
        <v>2022503</v>
      </c>
      <c r="B520" s="1172">
        <v>7658</v>
      </c>
      <c r="C520" s="1356" t="s">
        <v>681</v>
      </c>
      <c r="D520" s="1190" t="s">
        <v>700</v>
      </c>
      <c r="E520" s="1174">
        <v>80111600</v>
      </c>
      <c r="F520" s="1389" t="s">
        <v>1137</v>
      </c>
      <c r="G520" s="1390">
        <v>44562</v>
      </c>
      <c r="H520" s="1390">
        <v>44592</v>
      </c>
      <c r="I520" s="1176">
        <v>11.5</v>
      </c>
      <c r="J520" s="1176" t="s">
        <v>675</v>
      </c>
      <c r="K520" s="1177" t="s">
        <v>676</v>
      </c>
      <c r="L520" s="1178" t="s">
        <v>677</v>
      </c>
      <c r="M520" s="1179">
        <f>97175000-4225000</f>
        <v>92950000</v>
      </c>
      <c r="N520" s="1386" t="s">
        <v>786</v>
      </c>
      <c r="O520" s="1174" t="s">
        <v>773</v>
      </c>
      <c r="P520" s="1163" t="s">
        <v>680</v>
      </c>
      <c r="Q520" s="1163"/>
      <c r="R520" s="1357">
        <v>92950000</v>
      </c>
      <c r="S520" s="1357">
        <v>92950000</v>
      </c>
      <c r="T520" s="1357">
        <f>+Tabla16[[#This Row],[CDPS A 31 JULIO 2022]]-Tabla16[[#This Row],[CDP]]</f>
        <v>0</v>
      </c>
      <c r="U520" s="1357">
        <v>92950000</v>
      </c>
      <c r="V520" s="1357">
        <v>37743333</v>
      </c>
      <c r="W520" s="1357"/>
      <c r="X520" s="1207"/>
      <c r="Y520" s="1207"/>
      <c r="Z520" s="1207"/>
      <c r="AA520" s="1207"/>
      <c r="AB520" s="1207"/>
      <c r="AC520" s="1207"/>
      <c r="AD520" s="1207"/>
      <c r="AE520" s="1207"/>
      <c r="AF520" s="1207"/>
      <c r="AG520" s="1207"/>
      <c r="AH520" s="1207"/>
      <c r="AI520" s="1207"/>
      <c r="AJ520" s="1207"/>
      <c r="AK520" s="1207"/>
      <c r="AL520" s="1207"/>
      <c r="AM520" s="1207"/>
      <c r="AN520" s="1207"/>
      <c r="AO520" s="1207"/>
      <c r="AP520" s="1207"/>
      <c r="AQ520" s="1207"/>
      <c r="AR520" s="1207"/>
      <c r="AS520" s="1207"/>
      <c r="AT520" s="1207"/>
      <c r="AU520" s="1207"/>
      <c r="AV520" s="1207"/>
      <c r="AW520" s="1207"/>
      <c r="AX520" s="1207"/>
      <c r="AY520" s="1207"/>
      <c r="AZ520" s="1207"/>
      <c r="BA520" s="1207"/>
      <c r="BB520" s="1207"/>
      <c r="BC520" s="1207"/>
      <c r="BD520" s="1207"/>
      <c r="BE520" s="1207"/>
      <c r="BF520" s="1207"/>
      <c r="BG520" s="1207"/>
      <c r="BH520" s="1207"/>
      <c r="BI520" s="1207"/>
      <c r="BJ520" s="1207"/>
      <c r="BK520" s="1207"/>
      <c r="BL520" s="1207"/>
      <c r="BM520" s="1207"/>
      <c r="BN520" s="1207"/>
      <c r="BO520" s="1207"/>
      <c r="BP520" s="1207"/>
      <c r="BQ520" s="1207"/>
      <c r="BR520" s="1207"/>
      <c r="BS520" s="1207"/>
      <c r="BT520" s="1207"/>
      <c r="BU520" s="1207"/>
      <c r="BV520" s="1207"/>
      <c r="BW520" s="1207"/>
      <c r="BX520" s="1207"/>
      <c r="BY520" s="1207"/>
      <c r="BZ520" s="1207"/>
      <c r="CA520" s="1207"/>
      <c r="CB520" s="1207"/>
      <c r="CC520" s="1207"/>
      <c r="CD520" s="1207"/>
      <c r="CE520" s="1207"/>
      <c r="CF520" s="1207"/>
    </row>
    <row r="521" spans="1:84" ht="135" x14ac:dyDescent="0.2">
      <c r="A521" s="1355">
        <v>2022504</v>
      </c>
      <c r="B521" s="1172">
        <v>7658</v>
      </c>
      <c r="C521" s="1356" t="s">
        <v>681</v>
      </c>
      <c r="D521" s="1190" t="s">
        <v>700</v>
      </c>
      <c r="E521" s="1174">
        <v>80111600</v>
      </c>
      <c r="F521" s="1389" t="s">
        <v>1138</v>
      </c>
      <c r="G521" s="1390">
        <v>44562</v>
      </c>
      <c r="H521" s="1390">
        <v>44592</v>
      </c>
      <c r="I521" s="1176">
        <v>11.5</v>
      </c>
      <c r="J521" s="1176" t="s">
        <v>675</v>
      </c>
      <c r="K521" s="1177" t="s">
        <v>676</v>
      </c>
      <c r="L521" s="1178" t="s">
        <v>784</v>
      </c>
      <c r="M521" s="1179">
        <f>103500000-4500000</f>
        <v>99000000</v>
      </c>
      <c r="N521" s="1386" t="s">
        <v>786</v>
      </c>
      <c r="O521" s="1174" t="s">
        <v>773</v>
      </c>
      <c r="P521" s="1163" t="s">
        <v>680</v>
      </c>
      <c r="Q521" s="1163"/>
      <c r="R521" s="1357">
        <v>99000000</v>
      </c>
      <c r="S521" s="1357">
        <v>99000000</v>
      </c>
      <c r="T521" s="1357">
        <f>+Tabla16[[#This Row],[CDPS A 31 JULIO 2022]]-Tabla16[[#This Row],[CDP]]</f>
        <v>0</v>
      </c>
      <c r="U521" s="1357">
        <v>99000000</v>
      </c>
      <c r="V521" s="1357">
        <v>37800000</v>
      </c>
      <c r="W521" s="1357"/>
      <c r="X521" s="1207"/>
      <c r="Y521" s="1207"/>
      <c r="Z521" s="1207"/>
      <c r="AA521" s="1207"/>
      <c r="AB521" s="1207"/>
      <c r="AC521" s="1207"/>
      <c r="AD521" s="1207"/>
      <c r="AE521" s="1207"/>
      <c r="AF521" s="1207"/>
      <c r="AG521" s="1207"/>
      <c r="AH521" s="1207"/>
      <c r="AI521" s="1207"/>
      <c r="AJ521" s="1207"/>
      <c r="AK521" s="1207"/>
      <c r="AL521" s="1207"/>
      <c r="AM521" s="1207"/>
      <c r="AN521" s="1207"/>
      <c r="AO521" s="1207"/>
      <c r="AP521" s="1207"/>
      <c r="AQ521" s="1207"/>
      <c r="AR521" s="1207"/>
      <c r="AS521" s="1207"/>
      <c r="AT521" s="1207"/>
      <c r="AU521" s="1207"/>
      <c r="AV521" s="1207"/>
      <c r="AW521" s="1207"/>
      <c r="AX521" s="1207"/>
      <c r="AY521" s="1207"/>
      <c r="AZ521" s="1207"/>
      <c r="BA521" s="1207"/>
      <c r="BB521" s="1207"/>
      <c r="BC521" s="1207"/>
      <c r="BD521" s="1207"/>
      <c r="BE521" s="1207"/>
      <c r="BF521" s="1207"/>
      <c r="BG521" s="1207"/>
      <c r="BH521" s="1207"/>
      <c r="BI521" s="1207"/>
      <c r="BJ521" s="1207"/>
      <c r="BK521" s="1207"/>
      <c r="BL521" s="1207"/>
      <c r="BM521" s="1207"/>
      <c r="BN521" s="1207"/>
      <c r="BO521" s="1207"/>
      <c r="BP521" s="1207"/>
      <c r="BQ521" s="1207"/>
      <c r="BR521" s="1207"/>
      <c r="BS521" s="1207"/>
      <c r="BT521" s="1207"/>
      <c r="BU521" s="1207"/>
      <c r="BV521" s="1207"/>
      <c r="BW521" s="1207"/>
      <c r="BX521" s="1207"/>
      <c r="BY521" s="1207"/>
      <c r="BZ521" s="1207"/>
      <c r="CA521" s="1207"/>
      <c r="CB521" s="1207"/>
      <c r="CC521" s="1207"/>
      <c r="CD521" s="1207"/>
      <c r="CE521" s="1207"/>
      <c r="CF521" s="1207"/>
    </row>
    <row r="522" spans="1:84" ht="135" x14ac:dyDescent="0.2">
      <c r="A522" s="1355">
        <v>2022505</v>
      </c>
      <c r="B522" s="1172">
        <v>7658</v>
      </c>
      <c r="C522" s="1356" t="s">
        <v>681</v>
      </c>
      <c r="D522" s="1190" t="s">
        <v>700</v>
      </c>
      <c r="E522" s="1174">
        <v>80111600</v>
      </c>
      <c r="F522" s="1389" t="s">
        <v>1139</v>
      </c>
      <c r="G522" s="1390">
        <v>44562</v>
      </c>
      <c r="H522" s="1390">
        <v>44592</v>
      </c>
      <c r="I522" s="1176">
        <v>11.5</v>
      </c>
      <c r="J522" s="1176" t="s">
        <v>675</v>
      </c>
      <c r="K522" s="1177" t="s">
        <v>676</v>
      </c>
      <c r="L522" s="1178" t="s">
        <v>677</v>
      </c>
      <c r="M522" s="1179">
        <f>94760000-4120000</f>
        <v>90640000</v>
      </c>
      <c r="N522" s="1386" t="s">
        <v>781</v>
      </c>
      <c r="O522" s="1174" t="s">
        <v>773</v>
      </c>
      <c r="P522" s="1163" t="s">
        <v>680</v>
      </c>
      <c r="Q522" s="1163"/>
      <c r="R522" s="1357">
        <v>90640000</v>
      </c>
      <c r="S522" s="1357">
        <v>90640000</v>
      </c>
      <c r="T522" s="1357">
        <f>+Tabla16[[#This Row],[CDPS A 31 JULIO 2022]]-Tabla16[[#This Row],[CDP]]</f>
        <v>0</v>
      </c>
      <c r="U522" s="1357">
        <v>90640000</v>
      </c>
      <c r="V522" s="1357">
        <v>32685333</v>
      </c>
      <c r="W522" s="1357"/>
      <c r="X522" s="1207"/>
      <c r="Y522" s="1207"/>
      <c r="Z522" s="1207"/>
      <c r="AA522" s="1207"/>
      <c r="AB522" s="1207"/>
      <c r="AC522" s="1207"/>
      <c r="AD522" s="1207"/>
      <c r="AE522" s="1207"/>
      <c r="AF522" s="1207"/>
      <c r="AG522" s="1207"/>
      <c r="AH522" s="1207"/>
      <c r="AI522" s="1207"/>
      <c r="AJ522" s="1207"/>
      <c r="AK522" s="1207"/>
      <c r="AL522" s="1207"/>
      <c r="AM522" s="1207"/>
      <c r="AN522" s="1207"/>
      <c r="AO522" s="1207"/>
      <c r="AP522" s="1207"/>
      <c r="AQ522" s="1207"/>
      <c r="AR522" s="1207"/>
      <c r="AS522" s="1207"/>
      <c r="AT522" s="1207"/>
      <c r="AU522" s="1207"/>
      <c r="AV522" s="1207"/>
      <c r="AW522" s="1207"/>
      <c r="AX522" s="1207"/>
      <c r="AY522" s="1207"/>
      <c r="AZ522" s="1207"/>
      <c r="BA522" s="1207"/>
      <c r="BB522" s="1207"/>
      <c r="BC522" s="1207"/>
      <c r="BD522" s="1207"/>
      <c r="BE522" s="1207"/>
      <c r="BF522" s="1207"/>
      <c r="BG522" s="1207"/>
      <c r="BH522" s="1207"/>
      <c r="BI522" s="1207"/>
      <c r="BJ522" s="1207"/>
      <c r="BK522" s="1207"/>
      <c r="BL522" s="1207"/>
      <c r="BM522" s="1207"/>
      <c r="BN522" s="1207"/>
      <c r="BO522" s="1207"/>
      <c r="BP522" s="1207"/>
      <c r="BQ522" s="1207"/>
      <c r="BR522" s="1207"/>
      <c r="BS522" s="1207"/>
      <c r="BT522" s="1207"/>
      <c r="BU522" s="1207"/>
      <c r="BV522" s="1207"/>
      <c r="BW522" s="1207"/>
      <c r="BX522" s="1207"/>
      <c r="BY522" s="1207"/>
      <c r="BZ522" s="1207"/>
      <c r="CA522" s="1207"/>
      <c r="CB522" s="1207"/>
      <c r="CC522" s="1207"/>
      <c r="CD522" s="1207"/>
      <c r="CE522" s="1207"/>
      <c r="CF522" s="1207"/>
    </row>
    <row r="523" spans="1:84" ht="135" x14ac:dyDescent="0.2">
      <c r="A523" s="1355">
        <v>2022506</v>
      </c>
      <c r="B523" s="1172">
        <v>7658</v>
      </c>
      <c r="C523" s="1356" t="s">
        <v>681</v>
      </c>
      <c r="D523" s="1190" t="s">
        <v>700</v>
      </c>
      <c r="E523" s="1174">
        <v>80111600</v>
      </c>
      <c r="F523" s="1389" t="s">
        <v>1140</v>
      </c>
      <c r="G523" s="1390">
        <v>44562</v>
      </c>
      <c r="H523" s="1390">
        <v>44592</v>
      </c>
      <c r="I523" s="1176">
        <v>11.5</v>
      </c>
      <c r="J523" s="1176" t="s">
        <v>675</v>
      </c>
      <c r="K523" s="1177" t="s">
        <v>676</v>
      </c>
      <c r="L523" s="1178" t="s">
        <v>677</v>
      </c>
      <c r="M523" s="1179">
        <f>97175000-20700000-13225000-2750000</f>
        <v>60500000</v>
      </c>
      <c r="N523" s="1386" t="s">
        <v>786</v>
      </c>
      <c r="O523" s="1174" t="s">
        <v>773</v>
      </c>
      <c r="P523" s="1163" t="s">
        <v>680</v>
      </c>
      <c r="Q523" s="1163"/>
      <c r="R523" s="1357">
        <v>60500000</v>
      </c>
      <c r="S523" s="1357">
        <v>60500000</v>
      </c>
      <c r="T523" s="1357">
        <f>+Tabla16[[#This Row],[CDPS A 31 JULIO 2022]]-Tabla16[[#This Row],[CDP]]</f>
        <v>0</v>
      </c>
      <c r="U523" s="1357">
        <v>60500000</v>
      </c>
      <c r="V523" s="1357">
        <v>21450000</v>
      </c>
      <c r="W523" s="1357"/>
      <c r="X523" s="1207"/>
      <c r="Y523" s="1207"/>
      <c r="Z523" s="1207"/>
      <c r="AA523" s="1207"/>
      <c r="AB523" s="1207"/>
      <c r="AC523" s="1207"/>
      <c r="AD523" s="1207"/>
      <c r="AE523" s="1207"/>
      <c r="AF523" s="1207"/>
      <c r="AG523" s="1207"/>
      <c r="AH523" s="1207"/>
      <c r="AI523" s="1207"/>
      <c r="AJ523" s="1207"/>
      <c r="AK523" s="1207"/>
      <c r="AL523" s="1207"/>
      <c r="AM523" s="1207"/>
      <c r="AN523" s="1207"/>
      <c r="AO523" s="1207"/>
      <c r="AP523" s="1207"/>
      <c r="AQ523" s="1207"/>
      <c r="AR523" s="1207"/>
      <c r="AS523" s="1207"/>
      <c r="AT523" s="1207"/>
      <c r="AU523" s="1207"/>
      <c r="AV523" s="1207"/>
      <c r="AW523" s="1207"/>
      <c r="AX523" s="1207"/>
      <c r="AY523" s="1207"/>
      <c r="AZ523" s="1207"/>
      <c r="BA523" s="1207"/>
      <c r="BB523" s="1207"/>
      <c r="BC523" s="1207"/>
      <c r="BD523" s="1207"/>
      <c r="BE523" s="1207"/>
      <c r="BF523" s="1207"/>
      <c r="BG523" s="1207"/>
      <c r="BH523" s="1207"/>
      <c r="BI523" s="1207"/>
      <c r="BJ523" s="1207"/>
      <c r="BK523" s="1207"/>
      <c r="BL523" s="1207"/>
      <c r="BM523" s="1207"/>
      <c r="BN523" s="1207"/>
      <c r="BO523" s="1207"/>
      <c r="BP523" s="1207"/>
      <c r="BQ523" s="1207"/>
      <c r="BR523" s="1207"/>
      <c r="BS523" s="1207"/>
      <c r="BT523" s="1207"/>
      <c r="BU523" s="1207"/>
      <c r="BV523" s="1207"/>
      <c r="BW523" s="1207"/>
      <c r="BX523" s="1207"/>
      <c r="BY523" s="1207"/>
      <c r="BZ523" s="1207"/>
      <c r="CA523" s="1207"/>
      <c r="CB523" s="1207"/>
      <c r="CC523" s="1207"/>
      <c r="CD523" s="1207"/>
      <c r="CE523" s="1207"/>
      <c r="CF523" s="1207"/>
    </row>
    <row r="524" spans="1:84" ht="135" x14ac:dyDescent="0.2">
      <c r="A524" s="1355">
        <v>2022507</v>
      </c>
      <c r="B524" s="1172">
        <v>7658</v>
      </c>
      <c r="C524" s="1356" t="s">
        <v>681</v>
      </c>
      <c r="D524" s="1190" t="s">
        <v>700</v>
      </c>
      <c r="E524" s="1174">
        <v>80111600</v>
      </c>
      <c r="F524" s="1389" t="s">
        <v>1141</v>
      </c>
      <c r="G524" s="1390">
        <v>44562</v>
      </c>
      <c r="H524" s="1390">
        <v>44592</v>
      </c>
      <c r="I524" s="1176">
        <v>11.5</v>
      </c>
      <c r="J524" s="1176" t="s">
        <v>675</v>
      </c>
      <c r="K524" s="1177" t="s">
        <v>676</v>
      </c>
      <c r="L524" s="1178" t="s">
        <v>677</v>
      </c>
      <c r="M524" s="1179">
        <f>82915000-3605000</f>
        <v>79310000</v>
      </c>
      <c r="N524" s="1386" t="s">
        <v>786</v>
      </c>
      <c r="O524" s="1174" t="s">
        <v>773</v>
      </c>
      <c r="P524" s="1163" t="s">
        <v>680</v>
      </c>
      <c r="Q524" s="1163"/>
      <c r="R524" s="1357">
        <v>79310000</v>
      </c>
      <c r="S524" s="1357">
        <v>79310000</v>
      </c>
      <c r="T524" s="1357">
        <f>+Tabla16[[#This Row],[CDPS A 31 JULIO 2022]]-Tabla16[[#This Row],[CDP]]</f>
        <v>0</v>
      </c>
      <c r="U524" s="1357">
        <v>79310000</v>
      </c>
      <c r="V524" s="1357">
        <v>29561000</v>
      </c>
      <c r="W524" s="1357"/>
      <c r="X524" s="1207"/>
      <c r="Y524" s="1207"/>
      <c r="Z524" s="1207"/>
      <c r="AA524" s="1207"/>
      <c r="AB524" s="1207"/>
      <c r="AC524" s="1207"/>
      <c r="AD524" s="1207"/>
      <c r="AE524" s="1207"/>
      <c r="AF524" s="1207"/>
      <c r="AG524" s="1207"/>
      <c r="AH524" s="1207"/>
      <c r="AI524" s="1207"/>
      <c r="AJ524" s="1207"/>
      <c r="AK524" s="1207"/>
      <c r="AL524" s="1207"/>
      <c r="AM524" s="1207"/>
      <c r="AN524" s="1207"/>
      <c r="AO524" s="1207"/>
      <c r="AP524" s="1207"/>
      <c r="AQ524" s="1207"/>
      <c r="AR524" s="1207"/>
      <c r="AS524" s="1207"/>
      <c r="AT524" s="1207"/>
      <c r="AU524" s="1207"/>
      <c r="AV524" s="1207"/>
      <c r="AW524" s="1207"/>
      <c r="AX524" s="1207"/>
      <c r="AY524" s="1207"/>
      <c r="AZ524" s="1207"/>
      <c r="BA524" s="1207"/>
      <c r="BB524" s="1207"/>
      <c r="BC524" s="1207"/>
      <c r="BD524" s="1207"/>
      <c r="BE524" s="1207"/>
      <c r="BF524" s="1207"/>
      <c r="BG524" s="1207"/>
      <c r="BH524" s="1207"/>
      <c r="BI524" s="1207"/>
      <c r="BJ524" s="1207"/>
      <c r="BK524" s="1207"/>
      <c r="BL524" s="1207"/>
      <c r="BM524" s="1207"/>
      <c r="BN524" s="1207"/>
      <c r="BO524" s="1207"/>
      <c r="BP524" s="1207"/>
      <c r="BQ524" s="1207"/>
      <c r="BR524" s="1207"/>
      <c r="BS524" s="1207"/>
      <c r="BT524" s="1207"/>
      <c r="BU524" s="1207"/>
      <c r="BV524" s="1207"/>
      <c r="BW524" s="1207"/>
      <c r="BX524" s="1207"/>
      <c r="BY524" s="1207"/>
      <c r="BZ524" s="1207"/>
      <c r="CA524" s="1207"/>
      <c r="CB524" s="1207"/>
      <c r="CC524" s="1207"/>
      <c r="CD524" s="1207"/>
      <c r="CE524" s="1207"/>
      <c r="CF524" s="1207"/>
    </row>
    <row r="525" spans="1:84" ht="135" x14ac:dyDescent="0.2">
      <c r="A525" s="1355">
        <v>2022508</v>
      </c>
      <c r="B525" s="1172">
        <v>7658</v>
      </c>
      <c r="C525" s="1356" t="s">
        <v>681</v>
      </c>
      <c r="D525" s="1190" t="s">
        <v>700</v>
      </c>
      <c r="E525" s="1174">
        <v>80111600</v>
      </c>
      <c r="F525" s="1389" t="s">
        <v>1142</v>
      </c>
      <c r="G525" s="1390">
        <v>44576</v>
      </c>
      <c r="H525" s="1390">
        <v>44593</v>
      </c>
      <c r="I525" s="1176">
        <v>11.5</v>
      </c>
      <c r="J525" s="1176" t="s">
        <v>675</v>
      </c>
      <c r="K525" s="1177" t="s">
        <v>676</v>
      </c>
      <c r="L525" s="1178" t="s">
        <v>677</v>
      </c>
      <c r="M525" s="1179">
        <f>32200000-15400000</f>
        <v>16800000</v>
      </c>
      <c r="N525" s="1386" t="s">
        <v>786</v>
      </c>
      <c r="O525" s="1174" t="s">
        <v>773</v>
      </c>
      <c r="P525" s="1163" t="s">
        <v>680</v>
      </c>
      <c r="Q525" s="1163"/>
      <c r="R525" s="1357">
        <v>16800000</v>
      </c>
      <c r="S525" s="1357">
        <v>16800000</v>
      </c>
      <c r="T525" s="1357">
        <f>+Tabla16[[#This Row],[CDPS A 31 JULIO 2022]]-Tabla16[[#This Row],[CDP]]</f>
        <v>0</v>
      </c>
      <c r="U525" s="1357">
        <v>16800000</v>
      </c>
      <c r="V525" s="1357">
        <v>12226667</v>
      </c>
      <c r="W525" s="1357"/>
      <c r="X525" s="1207"/>
      <c r="Y525" s="1207"/>
      <c r="Z525" s="1207"/>
      <c r="AA525" s="1207"/>
      <c r="AB525" s="1207"/>
      <c r="AC525" s="1207"/>
      <c r="AD525" s="1207"/>
      <c r="AE525" s="1207"/>
      <c r="AF525" s="1207"/>
      <c r="AG525" s="1207"/>
      <c r="AH525" s="1207"/>
      <c r="AI525" s="1207"/>
      <c r="AJ525" s="1207"/>
      <c r="AK525" s="1207"/>
      <c r="AL525" s="1207"/>
      <c r="AM525" s="1207"/>
      <c r="AN525" s="1207"/>
      <c r="AO525" s="1207"/>
      <c r="AP525" s="1207"/>
      <c r="AQ525" s="1207"/>
      <c r="AR525" s="1207"/>
      <c r="AS525" s="1207"/>
      <c r="AT525" s="1207"/>
      <c r="AU525" s="1207"/>
      <c r="AV525" s="1207"/>
      <c r="AW525" s="1207"/>
      <c r="AX525" s="1207"/>
      <c r="AY525" s="1207"/>
      <c r="AZ525" s="1207"/>
      <c r="BA525" s="1207"/>
      <c r="BB525" s="1207"/>
      <c r="BC525" s="1207"/>
      <c r="BD525" s="1207"/>
      <c r="BE525" s="1207"/>
      <c r="BF525" s="1207"/>
      <c r="BG525" s="1207"/>
      <c r="BH525" s="1207"/>
      <c r="BI525" s="1207"/>
      <c r="BJ525" s="1207"/>
      <c r="BK525" s="1207"/>
      <c r="BL525" s="1207"/>
      <c r="BM525" s="1207"/>
      <c r="BN525" s="1207"/>
      <c r="BO525" s="1207"/>
      <c r="BP525" s="1207"/>
      <c r="BQ525" s="1207"/>
      <c r="BR525" s="1207"/>
      <c r="BS525" s="1207"/>
      <c r="BT525" s="1207"/>
      <c r="BU525" s="1207"/>
      <c r="BV525" s="1207"/>
      <c r="BW525" s="1207"/>
      <c r="BX525" s="1207"/>
      <c r="BY525" s="1207"/>
      <c r="BZ525" s="1207"/>
      <c r="CA525" s="1207"/>
      <c r="CB525" s="1207"/>
      <c r="CC525" s="1207"/>
      <c r="CD525" s="1207"/>
      <c r="CE525" s="1207"/>
      <c r="CF525" s="1207"/>
    </row>
    <row r="526" spans="1:84" ht="135" x14ac:dyDescent="0.2">
      <c r="A526" s="1355">
        <v>2022509</v>
      </c>
      <c r="B526" s="1172">
        <v>7658</v>
      </c>
      <c r="C526" s="1356" t="s">
        <v>681</v>
      </c>
      <c r="D526" s="1190" t="s">
        <v>700</v>
      </c>
      <c r="E526" s="1174">
        <v>80111600</v>
      </c>
      <c r="F526" s="1389" t="s">
        <v>1143</v>
      </c>
      <c r="G526" s="1390">
        <v>44562</v>
      </c>
      <c r="H526" s="1390">
        <v>44592</v>
      </c>
      <c r="I526" s="1176">
        <v>11.5</v>
      </c>
      <c r="J526" s="1176" t="s">
        <v>675</v>
      </c>
      <c r="K526" s="1177" t="s">
        <v>676</v>
      </c>
      <c r="L526" s="1178" t="s">
        <v>677</v>
      </c>
      <c r="M526" s="1179">
        <f>36685000-1595000</f>
        <v>35090000</v>
      </c>
      <c r="N526" s="1386" t="s">
        <v>781</v>
      </c>
      <c r="O526" s="1174" t="s">
        <v>773</v>
      </c>
      <c r="P526" s="1163" t="s">
        <v>680</v>
      </c>
      <c r="Q526" s="1163"/>
      <c r="R526" s="1357">
        <v>35090000</v>
      </c>
      <c r="S526" s="1357">
        <v>35090000</v>
      </c>
      <c r="T526" s="1357">
        <f>+Tabla16[[#This Row],[CDPS A 31 JULIO 2022]]-Tabla16[[#This Row],[CDP]]</f>
        <v>0</v>
      </c>
      <c r="U526" s="1357">
        <v>35090000</v>
      </c>
      <c r="V526" s="1357">
        <v>13504333</v>
      </c>
      <c r="W526" s="1357"/>
      <c r="X526" s="1207"/>
      <c r="Y526" s="1207"/>
      <c r="Z526" s="1207"/>
      <c r="AA526" s="1207"/>
      <c r="AB526" s="1207"/>
      <c r="AC526" s="1207"/>
      <c r="AD526" s="1207"/>
      <c r="AE526" s="1207"/>
      <c r="AF526" s="1207"/>
      <c r="AG526" s="1207"/>
      <c r="AH526" s="1207"/>
      <c r="AI526" s="1207"/>
      <c r="AJ526" s="1207"/>
      <c r="AK526" s="1207"/>
      <c r="AL526" s="1207"/>
      <c r="AM526" s="1207"/>
      <c r="AN526" s="1207"/>
      <c r="AO526" s="1207"/>
      <c r="AP526" s="1207"/>
      <c r="AQ526" s="1207"/>
      <c r="AR526" s="1207"/>
      <c r="AS526" s="1207"/>
      <c r="AT526" s="1207"/>
      <c r="AU526" s="1207"/>
      <c r="AV526" s="1207"/>
      <c r="AW526" s="1207"/>
      <c r="AX526" s="1207"/>
      <c r="AY526" s="1207"/>
      <c r="AZ526" s="1207"/>
      <c r="BA526" s="1207"/>
      <c r="BB526" s="1207"/>
      <c r="BC526" s="1207"/>
      <c r="BD526" s="1207"/>
      <c r="BE526" s="1207"/>
      <c r="BF526" s="1207"/>
      <c r="BG526" s="1207"/>
      <c r="BH526" s="1207"/>
      <c r="BI526" s="1207"/>
      <c r="BJ526" s="1207"/>
      <c r="BK526" s="1207"/>
      <c r="BL526" s="1207"/>
      <c r="BM526" s="1207"/>
      <c r="BN526" s="1207"/>
      <c r="BO526" s="1207"/>
      <c r="BP526" s="1207"/>
      <c r="BQ526" s="1207"/>
      <c r="BR526" s="1207"/>
      <c r="BS526" s="1207"/>
      <c r="BT526" s="1207"/>
      <c r="BU526" s="1207"/>
      <c r="BV526" s="1207"/>
      <c r="BW526" s="1207"/>
      <c r="BX526" s="1207"/>
      <c r="BY526" s="1207"/>
      <c r="BZ526" s="1207"/>
      <c r="CA526" s="1207"/>
      <c r="CB526" s="1207"/>
      <c r="CC526" s="1207"/>
      <c r="CD526" s="1207"/>
      <c r="CE526" s="1207"/>
      <c r="CF526" s="1207"/>
    </row>
    <row r="527" spans="1:84" ht="135" x14ac:dyDescent="0.2">
      <c r="A527" s="1355">
        <v>2022510</v>
      </c>
      <c r="B527" s="1172">
        <v>7658</v>
      </c>
      <c r="C527" s="1356" t="s">
        <v>681</v>
      </c>
      <c r="D527" s="1190" t="s">
        <v>700</v>
      </c>
      <c r="E527" s="1174">
        <v>80111600</v>
      </c>
      <c r="F527" s="1389" t="s">
        <v>1144</v>
      </c>
      <c r="G527" s="1390">
        <v>44562</v>
      </c>
      <c r="H527" s="1390">
        <v>44592</v>
      </c>
      <c r="I527" s="1176">
        <v>11.5</v>
      </c>
      <c r="J527" s="1176" t="s">
        <v>675</v>
      </c>
      <c r="K527" s="1177" t="s">
        <v>676</v>
      </c>
      <c r="L527" s="1178" t="s">
        <v>677</v>
      </c>
      <c r="M527" s="1179">
        <f>97175000-4225000</f>
        <v>92950000</v>
      </c>
      <c r="N527" s="1386" t="s">
        <v>781</v>
      </c>
      <c r="O527" s="1174" t="s">
        <v>773</v>
      </c>
      <c r="P527" s="1163" t="s">
        <v>680</v>
      </c>
      <c r="Q527" s="1163"/>
      <c r="R527" s="1357">
        <v>92950000</v>
      </c>
      <c r="S527" s="1357">
        <v>92950000</v>
      </c>
      <c r="T527" s="1357">
        <f>+Tabla16[[#This Row],[CDPS A 31 JULIO 2022]]-Tabla16[[#This Row],[CDP]]</f>
        <v>0</v>
      </c>
      <c r="U527" s="1357">
        <v>92950000</v>
      </c>
      <c r="V527" s="1357">
        <v>37743333</v>
      </c>
      <c r="W527" s="1357"/>
      <c r="X527" s="1207"/>
      <c r="Y527" s="1207"/>
      <c r="Z527" s="1207"/>
      <c r="AA527" s="1207"/>
      <c r="AB527" s="1207"/>
      <c r="AC527" s="1207"/>
      <c r="AD527" s="1207"/>
      <c r="AE527" s="1207"/>
      <c r="AF527" s="1207"/>
      <c r="AG527" s="1207"/>
      <c r="AH527" s="1207"/>
      <c r="AI527" s="1207"/>
      <c r="AJ527" s="1207"/>
      <c r="AK527" s="1207"/>
      <c r="AL527" s="1207"/>
      <c r="AM527" s="1207"/>
      <c r="AN527" s="1207"/>
      <c r="AO527" s="1207"/>
      <c r="AP527" s="1207"/>
      <c r="AQ527" s="1207"/>
      <c r="AR527" s="1207"/>
      <c r="AS527" s="1207"/>
      <c r="AT527" s="1207"/>
      <c r="AU527" s="1207"/>
      <c r="AV527" s="1207"/>
      <c r="AW527" s="1207"/>
      <c r="AX527" s="1207"/>
      <c r="AY527" s="1207"/>
      <c r="AZ527" s="1207"/>
      <c r="BA527" s="1207"/>
      <c r="BB527" s="1207"/>
      <c r="BC527" s="1207"/>
      <c r="BD527" s="1207"/>
      <c r="BE527" s="1207"/>
      <c r="BF527" s="1207"/>
      <c r="BG527" s="1207"/>
      <c r="BH527" s="1207"/>
      <c r="BI527" s="1207"/>
      <c r="BJ527" s="1207"/>
      <c r="BK527" s="1207"/>
      <c r="BL527" s="1207"/>
      <c r="BM527" s="1207"/>
      <c r="BN527" s="1207"/>
      <c r="BO527" s="1207"/>
      <c r="BP527" s="1207"/>
      <c r="BQ527" s="1207"/>
      <c r="BR527" s="1207"/>
      <c r="BS527" s="1207"/>
      <c r="BT527" s="1207"/>
      <c r="BU527" s="1207"/>
      <c r="BV527" s="1207"/>
      <c r="BW527" s="1207"/>
      <c r="BX527" s="1207"/>
      <c r="BY527" s="1207"/>
      <c r="BZ527" s="1207"/>
      <c r="CA527" s="1207"/>
      <c r="CB527" s="1207"/>
      <c r="CC527" s="1207"/>
      <c r="CD527" s="1207"/>
      <c r="CE527" s="1207"/>
      <c r="CF527" s="1207"/>
    </row>
    <row r="528" spans="1:84" ht="135" x14ac:dyDescent="0.2">
      <c r="A528" s="1355">
        <v>2022511</v>
      </c>
      <c r="B528" s="1172">
        <v>7658</v>
      </c>
      <c r="C528" s="1356" t="s">
        <v>681</v>
      </c>
      <c r="D528" s="1190" t="s">
        <v>700</v>
      </c>
      <c r="E528" s="1174">
        <v>80111600</v>
      </c>
      <c r="F528" s="1389" t="s">
        <v>1145</v>
      </c>
      <c r="G528" s="1390">
        <v>44562</v>
      </c>
      <c r="H528" s="1390">
        <v>44592</v>
      </c>
      <c r="I528" s="1176">
        <v>11.5</v>
      </c>
      <c r="J528" s="1176" t="s">
        <v>675</v>
      </c>
      <c r="K528" s="1177" t="s">
        <v>676</v>
      </c>
      <c r="L528" s="1178" t="s">
        <v>677</v>
      </c>
      <c r="M528" s="1179">
        <f>45655000-1985000</f>
        <v>43670000</v>
      </c>
      <c r="N528" s="1386" t="s">
        <v>781</v>
      </c>
      <c r="O528" s="1174" t="s">
        <v>773</v>
      </c>
      <c r="P528" s="1163" t="s">
        <v>680</v>
      </c>
      <c r="Q528" s="1163"/>
      <c r="R528" s="1357">
        <v>43670000</v>
      </c>
      <c r="S528" s="1357">
        <v>43670000</v>
      </c>
      <c r="T528" s="1357">
        <f>+Tabla16[[#This Row],[CDPS A 31 JULIO 2022]]-Tabla16[[#This Row],[CDP]]</f>
        <v>0</v>
      </c>
      <c r="U528" s="1357">
        <v>43670000</v>
      </c>
      <c r="V528" s="1357">
        <v>16806333</v>
      </c>
      <c r="W528" s="1357"/>
      <c r="X528" s="1207"/>
      <c r="Y528" s="1207"/>
      <c r="Z528" s="1207"/>
      <c r="AA528" s="1207"/>
      <c r="AB528" s="1207"/>
      <c r="AC528" s="1207"/>
      <c r="AD528" s="1207"/>
      <c r="AE528" s="1207"/>
      <c r="AF528" s="1207"/>
      <c r="AG528" s="1207"/>
      <c r="AH528" s="1207"/>
      <c r="AI528" s="1207"/>
      <c r="AJ528" s="1207"/>
      <c r="AK528" s="1207"/>
      <c r="AL528" s="1207"/>
      <c r="AM528" s="1207"/>
      <c r="AN528" s="1207"/>
      <c r="AO528" s="1207"/>
      <c r="AP528" s="1207"/>
      <c r="AQ528" s="1207"/>
      <c r="AR528" s="1207"/>
      <c r="AS528" s="1207"/>
      <c r="AT528" s="1207"/>
      <c r="AU528" s="1207"/>
      <c r="AV528" s="1207"/>
      <c r="AW528" s="1207"/>
      <c r="AX528" s="1207"/>
      <c r="AY528" s="1207"/>
      <c r="AZ528" s="1207"/>
      <c r="BA528" s="1207"/>
      <c r="BB528" s="1207"/>
      <c r="BC528" s="1207"/>
      <c r="BD528" s="1207"/>
      <c r="BE528" s="1207"/>
      <c r="BF528" s="1207"/>
      <c r="BG528" s="1207"/>
      <c r="BH528" s="1207"/>
      <c r="BI528" s="1207"/>
      <c r="BJ528" s="1207"/>
      <c r="BK528" s="1207"/>
      <c r="BL528" s="1207"/>
      <c r="BM528" s="1207"/>
      <c r="BN528" s="1207"/>
      <c r="BO528" s="1207"/>
      <c r="BP528" s="1207"/>
      <c r="BQ528" s="1207"/>
      <c r="BR528" s="1207"/>
      <c r="BS528" s="1207"/>
      <c r="BT528" s="1207"/>
      <c r="BU528" s="1207"/>
      <c r="BV528" s="1207"/>
      <c r="BW528" s="1207"/>
      <c r="BX528" s="1207"/>
      <c r="BY528" s="1207"/>
      <c r="BZ528" s="1207"/>
      <c r="CA528" s="1207"/>
      <c r="CB528" s="1207"/>
      <c r="CC528" s="1207"/>
      <c r="CD528" s="1207"/>
      <c r="CE528" s="1207"/>
      <c r="CF528" s="1207"/>
    </row>
    <row r="529" spans="1:84" ht="135" x14ac:dyDescent="0.2">
      <c r="A529" s="1355">
        <v>2022512</v>
      </c>
      <c r="B529" s="1172">
        <v>7658</v>
      </c>
      <c r="C529" s="1356" t="s">
        <v>681</v>
      </c>
      <c r="D529" s="1190" t="s">
        <v>700</v>
      </c>
      <c r="E529" s="1174">
        <v>80111600</v>
      </c>
      <c r="F529" s="1389" t="s">
        <v>1141</v>
      </c>
      <c r="G529" s="1390">
        <v>44562</v>
      </c>
      <c r="H529" s="1390">
        <v>44592</v>
      </c>
      <c r="I529" s="1176">
        <v>11.5</v>
      </c>
      <c r="J529" s="1176" t="s">
        <v>675</v>
      </c>
      <c r="K529" s="1177" t="s">
        <v>676</v>
      </c>
      <c r="L529" s="1178" t="s">
        <v>677</v>
      </c>
      <c r="M529" s="1179">
        <f>82915000-3605000</f>
        <v>79310000</v>
      </c>
      <c r="N529" s="1386" t="s">
        <v>786</v>
      </c>
      <c r="O529" s="1174" t="s">
        <v>773</v>
      </c>
      <c r="P529" s="1163" t="s">
        <v>680</v>
      </c>
      <c r="Q529" s="1163"/>
      <c r="R529" s="1357">
        <v>79310000</v>
      </c>
      <c r="S529" s="1357">
        <v>79310000</v>
      </c>
      <c r="T529" s="1357">
        <f>+Tabla16[[#This Row],[CDPS A 31 JULIO 2022]]-Tabla16[[#This Row],[CDP]]</f>
        <v>0</v>
      </c>
      <c r="U529" s="1357">
        <v>79310000</v>
      </c>
      <c r="V529" s="1357">
        <v>30282000</v>
      </c>
      <c r="W529" s="1357"/>
      <c r="X529" s="1207"/>
      <c r="Y529" s="1207"/>
      <c r="Z529" s="1207"/>
      <c r="AA529" s="1207"/>
      <c r="AB529" s="1207"/>
      <c r="AC529" s="1207"/>
      <c r="AD529" s="1207"/>
      <c r="AE529" s="1207"/>
      <c r="AF529" s="1207"/>
      <c r="AG529" s="1207"/>
      <c r="AH529" s="1207"/>
      <c r="AI529" s="1207"/>
      <c r="AJ529" s="1207"/>
      <c r="AK529" s="1207"/>
      <c r="AL529" s="1207"/>
      <c r="AM529" s="1207"/>
      <c r="AN529" s="1207"/>
      <c r="AO529" s="1207"/>
      <c r="AP529" s="1207"/>
      <c r="AQ529" s="1207"/>
      <c r="AR529" s="1207"/>
      <c r="AS529" s="1207"/>
      <c r="AT529" s="1207"/>
      <c r="AU529" s="1207"/>
      <c r="AV529" s="1207"/>
      <c r="AW529" s="1207"/>
      <c r="AX529" s="1207"/>
      <c r="AY529" s="1207"/>
      <c r="AZ529" s="1207"/>
      <c r="BA529" s="1207"/>
      <c r="BB529" s="1207"/>
      <c r="BC529" s="1207"/>
      <c r="BD529" s="1207"/>
      <c r="BE529" s="1207"/>
      <c r="BF529" s="1207"/>
      <c r="BG529" s="1207"/>
      <c r="BH529" s="1207"/>
      <c r="BI529" s="1207"/>
      <c r="BJ529" s="1207"/>
      <c r="BK529" s="1207"/>
      <c r="BL529" s="1207"/>
      <c r="BM529" s="1207"/>
      <c r="BN529" s="1207"/>
      <c r="BO529" s="1207"/>
      <c r="BP529" s="1207"/>
      <c r="BQ529" s="1207"/>
      <c r="BR529" s="1207"/>
      <c r="BS529" s="1207"/>
      <c r="BT529" s="1207"/>
      <c r="BU529" s="1207"/>
      <c r="BV529" s="1207"/>
      <c r="BW529" s="1207"/>
      <c r="BX529" s="1207"/>
      <c r="BY529" s="1207"/>
      <c r="BZ529" s="1207"/>
      <c r="CA529" s="1207"/>
      <c r="CB529" s="1207"/>
      <c r="CC529" s="1207"/>
      <c r="CD529" s="1207"/>
      <c r="CE529" s="1207"/>
      <c r="CF529" s="1207"/>
    </row>
    <row r="530" spans="1:84" ht="135" x14ac:dyDescent="0.2">
      <c r="A530" s="1355">
        <v>2022513</v>
      </c>
      <c r="B530" s="1172">
        <v>7658</v>
      </c>
      <c r="C530" s="1356" t="s">
        <v>681</v>
      </c>
      <c r="D530" s="1190" t="s">
        <v>700</v>
      </c>
      <c r="E530" s="1174">
        <v>80111600</v>
      </c>
      <c r="F530" s="1190" t="s">
        <v>1146</v>
      </c>
      <c r="G530" s="1387">
        <v>44774</v>
      </c>
      <c r="H530" s="1387">
        <v>44774</v>
      </c>
      <c r="I530" s="1176">
        <v>5.5</v>
      </c>
      <c r="J530" s="1176" t="s">
        <v>675</v>
      </c>
      <c r="K530" s="1177" t="s">
        <v>676</v>
      </c>
      <c r="L530" s="1178" t="s">
        <v>677</v>
      </c>
      <c r="M530" s="1179">
        <f>28175000-28175000+33000000</f>
        <v>33000000</v>
      </c>
      <c r="N530" s="1386" t="s">
        <v>786</v>
      </c>
      <c r="O530" s="1174" t="s">
        <v>773</v>
      </c>
      <c r="P530" s="1163" t="s">
        <v>680</v>
      </c>
      <c r="Q530" s="1163"/>
      <c r="R530" s="1357">
        <v>26950000</v>
      </c>
      <c r="S530" s="1357">
        <v>26950000</v>
      </c>
      <c r="T530" s="1357">
        <f>+Tabla16[[#This Row],[CDPS A 31 JULIO 2022]]-Tabla16[[#This Row],[CDP]]</f>
        <v>0</v>
      </c>
      <c r="U530" s="1357">
        <v>26950000</v>
      </c>
      <c r="V530" s="1357">
        <v>9881667</v>
      </c>
      <c r="W530" s="1357"/>
      <c r="X530" s="1207"/>
      <c r="Y530" s="1207"/>
      <c r="Z530" s="1207"/>
      <c r="AA530" s="1207"/>
      <c r="AB530" s="1207"/>
      <c r="AC530" s="1207"/>
      <c r="AD530" s="1207"/>
      <c r="AE530" s="1207"/>
      <c r="AF530" s="1207"/>
      <c r="AG530" s="1207"/>
      <c r="AH530" s="1207"/>
      <c r="AI530" s="1207"/>
      <c r="AJ530" s="1207"/>
      <c r="AK530" s="1207"/>
      <c r="AL530" s="1207"/>
      <c r="AM530" s="1207"/>
      <c r="AN530" s="1207"/>
      <c r="AO530" s="1207"/>
      <c r="AP530" s="1207"/>
      <c r="AQ530" s="1207"/>
      <c r="AR530" s="1207"/>
      <c r="AS530" s="1207"/>
      <c r="AT530" s="1207"/>
      <c r="AU530" s="1207"/>
      <c r="AV530" s="1207"/>
      <c r="AW530" s="1207"/>
      <c r="AX530" s="1207"/>
      <c r="AY530" s="1207"/>
      <c r="AZ530" s="1207"/>
      <c r="BA530" s="1207"/>
      <c r="BB530" s="1207"/>
      <c r="BC530" s="1207"/>
      <c r="BD530" s="1207"/>
      <c r="BE530" s="1207"/>
      <c r="BF530" s="1207"/>
      <c r="BG530" s="1207"/>
      <c r="BH530" s="1207"/>
      <c r="BI530" s="1207"/>
      <c r="BJ530" s="1207"/>
      <c r="BK530" s="1207"/>
      <c r="BL530" s="1207"/>
      <c r="BM530" s="1207"/>
      <c r="BN530" s="1207"/>
      <c r="BO530" s="1207"/>
      <c r="BP530" s="1207"/>
      <c r="BQ530" s="1207"/>
      <c r="BR530" s="1207"/>
      <c r="BS530" s="1207"/>
      <c r="BT530" s="1207"/>
      <c r="BU530" s="1207"/>
      <c r="BV530" s="1207"/>
      <c r="BW530" s="1207"/>
      <c r="BX530" s="1207"/>
      <c r="BY530" s="1207"/>
      <c r="BZ530" s="1207"/>
      <c r="CA530" s="1207"/>
      <c r="CB530" s="1207"/>
      <c r="CC530" s="1207"/>
      <c r="CD530" s="1207"/>
      <c r="CE530" s="1207"/>
      <c r="CF530" s="1207"/>
    </row>
    <row r="531" spans="1:84" ht="135" x14ac:dyDescent="0.2">
      <c r="A531" s="1355">
        <v>2022514</v>
      </c>
      <c r="B531" s="1172">
        <v>7658</v>
      </c>
      <c r="C531" s="1356" t="s">
        <v>681</v>
      </c>
      <c r="D531" s="1190" t="s">
        <v>700</v>
      </c>
      <c r="E531" s="1174">
        <v>80111600</v>
      </c>
      <c r="F531" s="1389" t="s">
        <v>1147</v>
      </c>
      <c r="G531" s="1390">
        <v>44562</v>
      </c>
      <c r="H531" s="1390">
        <v>44592</v>
      </c>
      <c r="I531" s="1176">
        <v>11.5</v>
      </c>
      <c r="J531" s="1176" t="s">
        <v>675</v>
      </c>
      <c r="K531" s="1177" t="s">
        <v>676</v>
      </c>
      <c r="L531" s="1178" t="s">
        <v>677</v>
      </c>
      <c r="M531" s="1179">
        <f>45655000-1985000</f>
        <v>43670000</v>
      </c>
      <c r="N531" s="1386" t="s">
        <v>781</v>
      </c>
      <c r="O531" s="1174" t="s">
        <v>773</v>
      </c>
      <c r="P531" s="1163" t="s">
        <v>680</v>
      </c>
      <c r="Q531" s="1163"/>
      <c r="R531" s="1357">
        <v>43670000</v>
      </c>
      <c r="S531" s="1357">
        <v>43670000</v>
      </c>
      <c r="T531" s="1357">
        <f>+Tabla16[[#This Row],[CDPS A 31 JULIO 2022]]-Tabla16[[#This Row],[CDP]]</f>
        <v>0</v>
      </c>
      <c r="U531" s="1357">
        <v>43670000</v>
      </c>
      <c r="V531" s="1357">
        <v>16012333</v>
      </c>
      <c r="W531" s="1357"/>
      <c r="X531" s="1207"/>
      <c r="Y531" s="1207"/>
      <c r="Z531" s="1207"/>
      <c r="AA531" s="1207"/>
      <c r="AB531" s="1207"/>
      <c r="AC531" s="1207"/>
      <c r="AD531" s="1207"/>
      <c r="AE531" s="1207"/>
      <c r="AF531" s="1207"/>
      <c r="AG531" s="1207"/>
      <c r="AH531" s="1207"/>
      <c r="AI531" s="1207"/>
      <c r="AJ531" s="1207"/>
      <c r="AK531" s="1207"/>
      <c r="AL531" s="1207"/>
      <c r="AM531" s="1207"/>
      <c r="AN531" s="1207"/>
      <c r="AO531" s="1207"/>
      <c r="AP531" s="1207"/>
      <c r="AQ531" s="1207"/>
      <c r="AR531" s="1207"/>
      <c r="AS531" s="1207"/>
      <c r="AT531" s="1207"/>
      <c r="AU531" s="1207"/>
      <c r="AV531" s="1207"/>
      <c r="AW531" s="1207"/>
      <c r="AX531" s="1207"/>
      <c r="AY531" s="1207"/>
      <c r="AZ531" s="1207"/>
      <c r="BA531" s="1207"/>
      <c r="BB531" s="1207"/>
      <c r="BC531" s="1207"/>
      <c r="BD531" s="1207"/>
      <c r="BE531" s="1207"/>
      <c r="BF531" s="1207"/>
      <c r="BG531" s="1207"/>
      <c r="BH531" s="1207"/>
      <c r="BI531" s="1207"/>
      <c r="BJ531" s="1207"/>
      <c r="BK531" s="1207"/>
      <c r="BL531" s="1207"/>
      <c r="BM531" s="1207"/>
      <c r="BN531" s="1207"/>
      <c r="BO531" s="1207"/>
      <c r="BP531" s="1207"/>
      <c r="BQ531" s="1207"/>
      <c r="BR531" s="1207"/>
      <c r="BS531" s="1207"/>
      <c r="BT531" s="1207"/>
      <c r="BU531" s="1207"/>
      <c r="BV531" s="1207"/>
      <c r="BW531" s="1207"/>
      <c r="BX531" s="1207"/>
      <c r="BY531" s="1207"/>
      <c r="BZ531" s="1207"/>
      <c r="CA531" s="1207"/>
      <c r="CB531" s="1207"/>
      <c r="CC531" s="1207"/>
      <c r="CD531" s="1207"/>
      <c r="CE531" s="1207"/>
      <c r="CF531" s="1207"/>
    </row>
    <row r="532" spans="1:84" ht="135" x14ac:dyDescent="0.2">
      <c r="A532" s="1355">
        <v>2022515</v>
      </c>
      <c r="B532" s="1172">
        <v>7658</v>
      </c>
      <c r="C532" s="1356" t="s">
        <v>681</v>
      </c>
      <c r="D532" s="1190" t="s">
        <v>700</v>
      </c>
      <c r="E532" s="1174">
        <v>80111600</v>
      </c>
      <c r="F532" s="1389" t="s">
        <v>1148</v>
      </c>
      <c r="G532" s="1390">
        <v>44562</v>
      </c>
      <c r="H532" s="1390">
        <v>44592</v>
      </c>
      <c r="I532" s="1176">
        <v>11.5</v>
      </c>
      <c r="J532" s="1176" t="s">
        <v>675</v>
      </c>
      <c r="K532" s="1177" t="s">
        <v>676</v>
      </c>
      <c r="L532" s="1178" t="s">
        <v>677</v>
      </c>
      <c r="M532" s="1179">
        <f>36685000-1595000</f>
        <v>35090000</v>
      </c>
      <c r="N532" s="1386" t="s">
        <v>786</v>
      </c>
      <c r="O532" s="1174" t="s">
        <v>773</v>
      </c>
      <c r="P532" s="1163" t="s">
        <v>680</v>
      </c>
      <c r="Q532" s="1163"/>
      <c r="R532" s="1357">
        <v>35090000</v>
      </c>
      <c r="S532" s="1357">
        <v>35090000</v>
      </c>
      <c r="T532" s="1357">
        <f>+Tabla16[[#This Row],[CDPS A 31 JULIO 2022]]-Tabla16[[#This Row],[CDP]]</f>
        <v>0</v>
      </c>
      <c r="U532" s="1357">
        <v>35090000</v>
      </c>
      <c r="V532" s="1357">
        <v>13398000</v>
      </c>
      <c r="W532" s="1357"/>
      <c r="X532" s="1207"/>
      <c r="Y532" s="1207"/>
      <c r="Z532" s="1207"/>
      <c r="AA532" s="1207"/>
      <c r="AB532" s="1207"/>
      <c r="AC532" s="1207"/>
      <c r="AD532" s="1207"/>
      <c r="AE532" s="1207"/>
      <c r="AF532" s="1207"/>
      <c r="AG532" s="1207"/>
      <c r="AH532" s="1207"/>
      <c r="AI532" s="1207"/>
      <c r="AJ532" s="1207"/>
      <c r="AK532" s="1207"/>
      <c r="AL532" s="1207"/>
      <c r="AM532" s="1207"/>
      <c r="AN532" s="1207"/>
      <c r="AO532" s="1207"/>
      <c r="AP532" s="1207"/>
      <c r="AQ532" s="1207"/>
      <c r="AR532" s="1207"/>
      <c r="AS532" s="1207"/>
      <c r="AT532" s="1207"/>
      <c r="AU532" s="1207"/>
      <c r="AV532" s="1207"/>
      <c r="AW532" s="1207"/>
      <c r="AX532" s="1207"/>
      <c r="AY532" s="1207"/>
      <c r="AZ532" s="1207"/>
      <c r="BA532" s="1207"/>
      <c r="BB532" s="1207"/>
      <c r="BC532" s="1207"/>
      <c r="BD532" s="1207"/>
      <c r="BE532" s="1207"/>
      <c r="BF532" s="1207"/>
      <c r="BG532" s="1207"/>
      <c r="BH532" s="1207"/>
      <c r="BI532" s="1207"/>
      <c r="BJ532" s="1207"/>
      <c r="BK532" s="1207"/>
      <c r="BL532" s="1207"/>
      <c r="BM532" s="1207"/>
      <c r="BN532" s="1207"/>
      <c r="BO532" s="1207"/>
      <c r="BP532" s="1207"/>
      <c r="BQ532" s="1207"/>
      <c r="BR532" s="1207"/>
      <c r="BS532" s="1207"/>
      <c r="BT532" s="1207"/>
      <c r="BU532" s="1207"/>
      <c r="BV532" s="1207"/>
      <c r="BW532" s="1207"/>
      <c r="BX532" s="1207"/>
      <c r="BY532" s="1207"/>
      <c r="BZ532" s="1207"/>
      <c r="CA532" s="1207"/>
      <c r="CB532" s="1207"/>
      <c r="CC532" s="1207"/>
      <c r="CD532" s="1207"/>
      <c r="CE532" s="1207"/>
      <c r="CF532" s="1207"/>
    </row>
    <row r="533" spans="1:84" ht="135" x14ac:dyDescent="0.2">
      <c r="A533" s="1355">
        <v>2022516</v>
      </c>
      <c r="B533" s="1172">
        <v>7658</v>
      </c>
      <c r="C533" s="1356" t="s">
        <v>681</v>
      </c>
      <c r="D533" s="1190" t="s">
        <v>700</v>
      </c>
      <c r="E533" s="1174">
        <v>80111600</v>
      </c>
      <c r="F533" s="1389" t="s">
        <v>1149</v>
      </c>
      <c r="G533" s="1390">
        <v>44562</v>
      </c>
      <c r="H533" s="1390">
        <v>44592</v>
      </c>
      <c r="I533" s="1176">
        <v>11.5</v>
      </c>
      <c r="J533" s="1176" t="s">
        <v>675</v>
      </c>
      <c r="K533" s="1177" t="s">
        <v>676</v>
      </c>
      <c r="L533" s="1178" t="s">
        <v>677</v>
      </c>
      <c r="M533" s="1179">
        <f>28175000-1225000</f>
        <v>26950000</v>
      </c>
      <c r="N533" s="1386" t="s">
        <v>781</v>
      </c>
      <c r="O533" s="1174" t="s">
        <v>773</v>
      </c>
      <c r="P533" s="1163" t="s">
        <v>680</v>
      </c>
      <c r="Q533" s="1163"/>
      <c r="R533" s="1357">
        <v>26950000</v>
      </c>
      <c r="S533" s="1357">
        <v>26950000</v>
      </c>
      <c r="T533" s="1357">
        <f>+Tabla16[[#This Row],[CDPS A 31 JULIO 2022]]-Tabla16[[#This Row],[CDP]]</f>
        <v>0</v>
      </c>
      <c r="U533" s="1357">
        <v>26950000</v>
      </c>
      <c r="V533" s="1357">
        <v>8983333</v>
      </c>
      <c r="W533" s="1357"/>
      <c r="X533" s="1207"/>
      <c r="Y533" s="1207"/>
      <c r="Z533" s="1207"/>
      <c r="AA533" s="1207"/>
      <c r="AB533" s="1207"/>
      <c r="AC533" s="1207"/>
      <c r="AD533" s="1207"/>
      <c r="AE533" s="1207"/>
      <c r="AF533" s="1207"/>
      <c r="AG533" s="1207"/>
      <c r="AH533" s="1207"/>
      <c r="AI533" s="1207"/>
      <c r="AJ533" s="1207"/>
      <c r="AK533" s="1207"/>
      <c r="AL533" s="1207"/>
      <c r="AM533" s="1207"/>
      <c r="AN533" s="1207"/>
      <c r="AO533" s="1207"/>
      <c r="AP533" s="1207"/>
      <c r="AQ533" s="1207"/>
      <c r="AR533" s="1207"/>
      <c r="AS533" s="1207"/>
      <c r="AT533" s="1207"/>
      <c r="AU533" s="1207"/>
      <c r="AV533" s="1207"/>
      <c r="AW533" s="1207"/>
      <c r="AX533" s="1207"/>
      <c r="AY533" s="1207"/>
      <c r="AZ533" s="1207"/>
      <c r="BA533" s="1207"/>
      <c r="BB533" s="1207"/>
      <c r="BC533" s="1207"/>
      <c r="BD533" s="1207"/>
      <c r="BE533" s="1207"/>
      <c r="BF533" s="1207"/>
      <c r="BG533" s="1207"/>
      <c r="BH533" s="1207"/>
      <c r="BI533" s="1207"/>
      <c r="BJ533" s="1207"/>
      <c r="BK533" s="1207"/>
      <c r="BL533" s="1207"/>
      <c r="BM533" s="1207"/>
      <c r="BN533" s="1207"/>
      <c r="BO533" s="1207"/>
      <c r="BP533" s="1207"/>
      <c r="BQ533" s="1207"/>
      <c r="BR533" s="1207"/>
      <c r="BS533" s="1207"/>
      <c r="BT533" s="1207"/>
      <c r="BU533" s="1207"/>
      <c r="BV533" s="1207"/>
      <c r="BW533" s="1207"/>
      <c r="BX533" s="1207"/>
      <c r="BY533" s="1207"/>
      <c r="BZ533" s="1207"/>
      <c r="CA533" s="1207"/>
      <c r="CB533" s="1207"/>
      <c r="CC533" s="1207"/>
      <c r="CD533" s="1207"/>
      <c r="CE533" s="1207"/>
      <c r="CF533" s="1207"/>
    </row>
    <row r="534" spans="1:84" ht="135" x14ac:dyDescent="0.2">
      <c r="A534" s="1355">
        <v>2022517</v>
      </c>
      <c r="B534" s="1172">
        <v>7658</v>
      </c>
      <c r="C534" s="1356" t="s">
        <v>681</v>
      </c>
      <c r="D534" s="1190" t="s">
        <v>700</v>
      </c>
      <c r="E534" s="1174">
        <v>80111600</v>
      </c>
      <c r="F534" s="1389" t="s">
        <v>1150</v>
      </c>
      <c r="G534" s="1390">
        <v>44562</v>
      </c>
      <c r="H534" s="1390">
        <v>44592</v>
      </c>
      <c r="I534" s="1176">
        <v>11.5</v>
      </c>
      <c r="J534" s="1176" t="s">
        <v>675</v>
      </c>
      <c r="K534" s="1177" t="s">
        <v>676</v>
      </c>
      <c r="L534" s="1178" t="s">
        <v>677</v>
      </c>
      <c r="M534" s="1179">
        <f>36685000-1595000</f>
        <v>35090000</v>
      </c>
      <c r="N534" s="1386" t="s">
        <v>786</v>
      </c>
      <c r="O534" s="1174" t="s">
        <v>773</v>
      </c>
      <c r="P534" s="1163" t="s">
        <v>680</v>
      </c>
      <c r="Q534" s="1163"/>
      <c r="R534" s="1357">
        <v>35090000</v>
      </c>
      <c r="S534" s="1357">
        <v>35090000</v>
      </c>
      <c r="T534" s="1357">
        <f>+Tabla16[[#This Row],[CDPS A 31 JULIO 2022]]-Tabla16[[#This Row],[CDP]]</f>
        <v>0</v>
      </c>
      <c r="U534" s="1357">
        <v>35090000</v>
      </c>
      <c r="V534" s="1357">
        <v>13079000</v>
      </c>
      <c r="W534" s="1357"/>
      <c r="X534" s="1207"/>
      <c r="Y534" s="1207"/>
      <c r="Z534" s="1207"/>
      <c r="AA534" s="1207"/>
      <c r="AB534" s="1207"/>
      <c r="AC534" s="1207"/>
      <c r="AD534" s="1207"/>
      <c r="AE534" s="1207"/>
      <c r="AF534" s="1207"/>
      <c r="AG534" s="1207"/>
      <c r="AH534" s="1207"/>
      <c r="AI534" s="1207"/>
      <c r="AJ534" s="1207"/>
      <c r="AK534" s="1207"/>
      <c r="AL534" s="1207"/>
      <c r="AM534" s="1207"/>
      <c r="AN534" s="1207"/>
      <c r="AO534" s="1207"/>
      <c r="AP534" s="1207"/>
      <c r="AQ534" s="1207"/>
      <c r="AR534" s="1207"/>
      <c r="AS534" s="1207"/>
      <c r="AT534" s="1207"/>
      <c r="AU534" s="1207"/>
      <c r="AV534" s="1207"/>
      <c r="AW534" s="1207"/>
      <c r="AX534" s="1207"/>
      <c r="AY534" s="1207"/>
      <c r="AZ534" s="1207"/>
      <c r="BA534" s="1207"/>
      <c r="BB534" s="1207"/>
      <c r="BC534" s="1207"/>
      <c r="BD534" s="1207"/>
      <c r="BE534" s="1207"/>
      <c r="BF534" s="1207"/>
      <c r="BG534" s="1207"/>
      <c r="BH534" s="1207"/>
      <c r="BI534" s="1207"/>
      <c r="BJ534" s="1207"/>
      <c r="BK534" s="1207"/>
      <c r="BL534" s="1207"/>
      <c r="BM534" s="1207"/>
      <c r="BN534" s="1207"/>
      <c r="BO534" s="1207"/>
      <c r="BP534" s="1207"/>
      <c r="BQ534" s="1207"/>
      <c r="BR534" s="1207"/>
      <c r="BS534" s="1207"/>
      <c r="BT534" s="1207"/>
      <c r="BU534" s="1207"/>
      <c r="BV534" s="1207"/>
      <c r="BW534" s="1207"/>
      <c r="BX534" s="1207"/>
      <c r="BY534" s="1207"/>
      <c r="BZ534" s="1207"/>
      <c r="CA534" s="1207"/>
      <c r="CB534" s="1207"/>
      <c r="CC534" s="1207"/>
      <c r="CD534" s="1207"/>
      <c r="CE534" s="1207"/>
      <c r="CF534" s="1207"/>
    </row>
    <row r="535" spans="1:84" ht="135" x14ac:dyDescent="0.2">
      <c r="A535" s="1355">
        <v>2022518</v>
      </c>
      <c r="B535" s="1172">
        <v>7658</v>
      </c>
      <c r="C535" s="1356" t="s">
        <v>681</v>
      </c>
      <c r="D535" s="1190" t="s">
        <v>700</v>
      </c>
      <c r="E535" s="1174">
        <v>80111600</v>
      </c>
      <c r="F535" s="1389" t="s">
        <v>1151</v>
      </c>
      <c r="G535" s="1390">
        <v>44562</v>
      </c>
      <c r="H535" s="1390">
        <v>44592</v>
      </c>
      <c r="I535" s="1176">
        <v>11.5</v>
      </c>
      <c r="J535" s="1176" t="s">
        <v>675</v>
      </c>
      <c r="K535" s="1177" t="s">
        <v>676</v>
      </c>
      <c r="L535" s="1178" t="s">
        <v>677</v>
      </c>
      <c r="M535" s="1179">
        <f>51750000-50000</f>
        <v>51700000</v>
      </c>
      <c r="N535" s="1386" t="s">
        <v>786</v>
      </c>
      <c r="O535" s="1174" t="s">
        <v>773</v>
      </c>
      <c r="P535" s="1163" t="s">
        <v>680</v>
      </c>
      <c r="Q535" s="1163"/>
      <c r="R535" s="1357">
        <v>51700000</v>
      </c>
      <c r="S535" s="1357">
        <v>51700000</v>
      </c>
      <c r="T535" s="1357">
        <f>+Tabla16[[#This Row],[CDPS A 31 JULIO 2022]]-Tabla16[[#This Row],[CDP]]</f>
        <v>0</v>
      </c>
      <c r="U535" s="1357">
        <v>51700000</v>
      </c>
      <c r="V535" s="1357">
        <v>19896667</v>
      </c>
      <c r="W535" s="1357"/>
      <c r="X535" s="1207"/>
      <c r="Y535" s="1207"/>
      <c r="Z535" s="1207"/>
      <c r="AA535" s="1207"/>
      <c r="AB535" s="1207"/>
      <c r="AC535" s="1207"/>
      <c r="AD535" s="1207"/>
      <c r="AE535" s="1207"/>
      <c r="AF535" s="1207"/>
      <c r="AG535" s="1207"/>
      <c r="AH535" s="1207"/>
      <c r="AI535" s="1207"/>
      <c r="AJ535" s="1207"/>
      <c r="AK535" s="1207"/>
      <c r="AL535" s="1207"/>
      <c r="AM535" s="1207"/>
      <c r="AN535" s="1207"/>
      <c r="AO535" s="1207"/>
      <c r="AP535" s="1207"/>
      <c r="AQ535" s="1207"/>
      <c r="AR535" s="1207"/>
      <c r="AS535" s="1207"/>
      <c r="AT535" s="1207"/>
      <c r="AU535" s="1207"/>
      <c r="AV535" s="1207"/>
      <c r="AW535" s="1207"/>
      <c r="AX535" s="1207"/>
      <c r="AY535" s="1207"/>
      <c r="AZ535" s="1207"/>
      <c r="BA535" s="1207"/>
      <c r="BB535" s="1207"/>
      <c r="BC535" s="1207"/>
      <c r="BD535" s="1207"/>
      <c r="BE535" s="1207"/>
      <c r="BF535" s="1207"/>
      <c r="BG535" s="1207"/>
      <c r="BH535" s="1207"/>
      <c r="BI535" s="1207"/>
      <c r="BJ535" s="1207"/>
      <c r="BK535" s="1207"/>
      <c r="BL535" s="1207"/>
      <c r="BM535" s="1207"/>
      <c r="BN535" s="1207"/>
      <c r="BO535" s="1207"/>
      <c r="BP535" s="1207"/>
      <c r="BQ535" s="1207"/>
      <c r="BR535" s="1207"/>
      <c r="BS535" s="1207"/>
      <c r="BT535" s="1207"/>
      <c r="BU535" s="1207"/>
      <c r="BV535" s="1207"/>
      <c r="BW535" s="1207"/>
      <c r="BX535" s="1207"/>
      <c r="BY535" s="1207"/>
      <c r="BZ535" s="1207"/>
      <c r="CA535" s="1207"/>
      <c r="CB535" s="1207"/>
      <c r="CC535" s="1207"/>
      <c r="CD535" s="1207"/>
      <c r="CE535" s="1207"/>
      <c r="CF535" s="1207"/>
    </row>
    <row r="536" spans="1:84" ht="135" x14ac:dyDescent="0.2">
      <c r="A536" s="1355">
        <v>2022519</v>
      </c>
      <c r="B536" s="1172">
        <v>7658</v>
      </c>
      <c r="C536" s="1356" t="s">
        <v>681</v>
      </c>
      <c r="D536" s="1190" t="s">
        <v>700</v>
      </c>
      <c r="E536" s="1174">
        <v>80111600</v>
      </c>
      <c r="F536" s="1389" t="s">
        <v>1152</v>
      </c>
      <c r="G536" s="1390">
        <v>44562</v>
      </c>
      <c r="H536" s="1390">
        <v>44592</v>
      </c>
      <c r="I536" s="1176">
        <v>11.5</v>
      </c>
      <c r="J536" s="1176" t="s">
        <v>675</v>
      </c>
      <c r="K536" s="1177" t="s">
        <v>676</v>
      </c>
      <c r="L536" s="1178" t="s">
        <v>677</v>
      </c>
      <c r="M536" s="1179">
        <f>54050000-4550000</f>
        <v>49500000</v>
      </c>
      <c r="N536" s="1386" t="s">
        <v>781</v>
      </c>
      <c r="O536" s="1174" t="s">
        <v>773</v>
      </c>
      <c r="P536" s="1163" t="s">
        <v>680</v>
      </c>
      <c r="Q536" s="1163"/>
      <c r="R536" s="1357">
        <v>49500000</v>
      </c>
      <c r="S536" s="1357">
        <v>49500000</v>
      </c>
      <c r="T536" s="1357">
        <f>+Tabla16[[#This Row],[CDPS A 31 JULIO 2022]]-Tabla16[[#This Row],[CDP]]</f>
        <v>0</v>
      </c>
      <c r="U536" s="1357">
        <v>49500000</v>
      </c>
      <c r="V536" s="1357">
        <v>19650000</v>
      </c>
      <c r="W536" s="1357"/>
      <c r="X536" s="1207"/>
      <c r="Y536" s="1207"/>
      <c r="Z536" s="1207"/>
      <c r="AA536" s="1207"/>
      <c r="AB536" s="1207"/>
      <c r="AC536" s="1207"/>
      <c r="AD536" s="1207"/>
      <c r="AE536" s="1207"/>
      <c r="AF536" s="1207"/>
      <c r="AG536" s="1207"/>
      <c r="AH536" s="1207"/>
      <c r="AI536" s="1207"/>
      <c r="AJ536" s="1207"/>
      <c r="AK536" s="1207"/>
      <c r="AL536" s="1207"/>
      <c r="AM536" s="1207"/>
      <c r="AN536" s="1207"/>
      <c r="AO536" s="1207"/>
      <c r="AP536" s="1207"/>
      <c r="AQ536" s="1207"/>
      <c r="AR536" s="1207"/>
      <c r="AS536" s="1207"/>
      <c r="AT536" s="1207"/>
      <c r="AU536" s="1207"/>
      <c r="AV536" s="1207"/>
      <c r="AW536" s="1207"/>
      <c r="AX536" s="1207"/>
      <c r="AY536" s="1207"/>
      <c r="AZ536" s="1207"/>
      <c r="BA536" s="1207"/>
      <c r="BB536" s="1207"/>
      <c r="BC536" s="1207"/>
      <c r="BD536" s="1207"/>
      <c r="BE536" s="1207"/>
      <c r="BF536" s="1207"/>
      <c r="BG536" s="1207"/>
      <c r="BH536" s="1207"/>
      <c r="BI536" s="1207"/>
      <c r="BJ536" s="1207"/>
      <c r="BK536" s="1207"/>
      <c r="BL536" s="1207"/>
      <c r="BM536" s="1207"/>
      <c r="BN536" s="1207"/>
      <c r="BO536" s="1207"/>
      <c r="BP536" s="1207"/>
      <c r="BQ536" s="1207"/>
      <c r="BR536" s="1207"/>
      <c r="BS536" s="1207"/>
      <c r="BT536" s="1207"/>
      <c r="BU536" s="1207"/>
      <c r="BV536" s="1207"/>
      <c r="BW536" s="1207"/>
      <c r="BX536" s="1207"/>
      <c r="BY536" s="1207"/>
      <c r="BZ536" s="1207"/>
      <c r="CA536" s="1207"/>
      <c r="CB536" s="1207"/>
      <c r="CC536" s="1207"/>
      <c r="CD536" s="1207"/>
      <c r="CE536" s="1207"/>
      <c r="CF536" s="1207"/>
    </row>
    <row r="537" spans="1:84" ht="135" x14ac:dyDescent="0.2">
      <c r="A537" s="1355">
        <v>2022520</v>
      </c>
      <c r="B537" s="1172">
        <v>7658</v>
      </c>
      <c r="C537" s="1356" t="s">
        <v>681</v>
      </c>
      <c r="D537" s="1190" t="s">
        <v>700</v>
      </c>
      <c r="E537" s="1174">
        <v>80111600</v>
      </c>
      <c r="F537" s="1389" t="s">
        <v>1153</v>
      </c>
      <c r="G537" s="1390">
        <v>44562</v>
      </c>
      <c r="H537" s="1390">
        <v>44592</v>
      </c>
      <c r="I537" s="1176">
        <v>11.5</v>
      </c>
      <c r="J537" s="1176" t="s">
        <v>675</v>
      </c>
      <c r="K537" s="1177" t="s">
        <v>676</v>
      </c>
      <c r="L537" s="1178" t="s">
        <v>677</v>
      </c>
      <c r="M537" s="1179">
        <f>51750000-2250000</f>
        <v>49500000</v>
      </c>
      <c r="N537" s="1386" t="s">
        <v>786</v>
      </c>
      <c r="O537" s="1174" t="s">
        <v>773</v>
      </c>
      <c r="P537" s="1163" t="s">
        <v>680</v>
      </c>
      <c r="Q537" s="1163"/>
      <c r="R537" s="1357">
        <v>49500000</v>
      </c>
      <c r="S537" s="1357">
        <v>49500000</v>
      </c>
      <c r="T537" s="1357">
        <f>+Tabla16[[#This Row],[CDPS A 31 JULIO 2022]]-Tabla16[[#This Row],[CDP]]</f>
        <v>0</v>
      </c>
      <c r="U537" s="1357">
        <v>49500000</v>
      </c>
      <c r="V537" s="1357">
        <v>18750000</v>
      </c>
      <c r="W537" s="1357"/>
      <c r="X537" s="1207"/>
      <c r="Y537" s="1207"/>
      <c r="Z537" s="1207"/>
      <c r="AA537" s="1207"/>
      <c r="AB537" s="1207"/>
      <c r="AC537" s="1207"/>
      <c r="AD537" s="1207"/>
      <c r="AE537" s="1207"/>
      <c r="AF537" s="1207"/>
      <c r="AG537" s="1207"/>
      <c r="AH537" s="1207"/>
      <c r="AI537" s="1207"/>
      <c r="AJ537" s="1207"/>
      <c r="AK537" s="1207"/>
      <c r="AL537" s="1207"/>
      <c r="AM537" s="1207"/>
      <c r="AN537" s="1207"/>
      <c r="AO537" s="1207"/>
      <c r="AP537" s="1207"/>
      <c r="AQ537" s="1207"/>
      <c r="AR537" s="1207"/>
      <c r="AS537" s="1207"/>
      <c r="AT537" s="1207"/>
      <c r="AU537" s="1207"/>
      <c r="AV537" s="1207"/>
      <c r="AW537" s="1207"/>
      <c r="AX537" s="1207"/>
      <c r="AY537" s="1207"/>
      <c r="AZ537" s="1207"/>
      <c r="BA537" s="1207"/>
      <c r="BB537" s="1207"/>
      <c r="BC537" s="1207"/>
      <c r="BD537" s="1207"/>
      <c r="BE537" s="1207"/>
      <c r="BF537" s="1207"/>
      <c r="BG537" s="1207"/>
      <c r="BH537" s="1207"/>
      <c r="BI537" s="1207"/>
      <c r="BJ537" s="1207"/>
      <c r="BK537" s="1207"/>
      <c r="BL537" s="1207"/>
      <c r="BM537" s="1207"/>
      <c r="BN537" s="1207"/>
      <c r="BO537" s="1207"/>
      <c r="BP537" s="1207"/>
      <c r="BQ537" s="1207"/>
      <c r="BR537" s="1207"/>
      <c r="BS537" s="1207"/>
      <c r="BT537" s="1207"/>
      <c r="BU537" s="1207"/>
      <c r="BV537" s="1207"/>
      <c r="BW537" s="1207"/>
      <c r="BX537" s="1207"/>
      <c r="BY537" s="1207"/>
      <c r="BZ537" s="1207"/>
      <c r="CA537" s="1207"/>
      <c r="CB537" s="1207"/>
      <c r="CC537" s="1207"/>
      <c r="CD537" s="1207"/>
      <c r="CE537" s="1207"/>
      <c r="CF537" s="1207"/>
    </row>
    <row r="538" spans="1:84" ht="135" x14ac:dyDescent="0.2">
      <c r="A538" s="1355">
        <v>2022521</v>
      </c>
      <c r="B538" s="1172">
        <v>7658</v>
      </c>
      <c r="C538" s="1356" t="s">
        <v>681</v>
      </c>
      <c r="D538" s="1190" t="s">
        <v>700</v>
      </c>
      <c r="E538" s="1174">
        <v>80111600</v>
      </c>
      <c r="F538" s="1389" t="s">
        <v>1154</v>
      </c>
      <c r="G538" s="1390">
        <v>44562</v>
      </c>
      <c r="H538" s="1390">
        <v>44592</v>
      </c>
      <c r="I538" s="1176">
        <v>11.5</v>
      </c>
      <c r="J538" s="1176" t="s">
        <v>675</v>
      </c>
      <c r="K538" s="1177" t="s">
        <v>676</v>
      </c>
      <c r="L538" s="1178" t="s">
        <v>677</v>
      </c>
      <c r="M538" s="1179">
        <f>45655000-1985000</f>
        <v>43670000</v>
      </c>
      <c r="N538" s="1386" t="s">
        <v>786</v>
      </c>
      <c r="O538" s="1174" t="s">
        <v>773</v>
      </c>
      <c r="P538" s="1163" t="s">
        <v>680</v>
      </c>
      <c r="Q538" s="1163"/>
      <c r="R538" s="1357">
        <v>43670000</v>
      </c>
      <c r="S538" s="1357">
        <v>43670000</v>
      </c>
      <c r="T538" s="1357">
        <f>+Tabla16[[#This Row],[CDPS A 31 JULIO 2022]]-Tabla16[[#This Row],[CDP]]</f>
        <v>0</v>
      </c>
      <c r="U538" s="1357">
        <v>43670000</v>
      </c>
      <c r="V538" s="1357">
        <v>16277000</v>
      </c>
      <c r="W538" s="1357"/>
      <c r="X538" s="1207"/>
      <c r="Y538" s="1207"/>
      <c r="Z538" s="1207"/>
      <c r="AA538" s="1207"/>
      <c r="AB538" s="1207"/>
      <c r="AC538" s="1207"/>
      <c r="AD538" s="1207"/>
      <c r="AE538" s="1207"/>
      <c r="AF538" s="1207"/>
      <c r="AG538" s="1207"/>
      <c r="AH538" s="1207"/>
      <c r="AI538" s="1207"/>
      <c r="AJ538" s="1207"/>
      <c r="AK538" s="1207"/>
      <c r="AL538" s="1207"/>
      <c r="AM538" s="1207"/>
      <c r="AN538" s="1207"/>
      <c r="AO538" s="1207"/>
      <c r="AP538" s="1207"/>
      <c r="AQ538" s="1207"/>
      <c r="AR538" s="1207"/>
      <c r="AS538" s="1207"/>
      <c r="AT538" s="1207"/>
      <c r="AU538" s="1207"/>
      <c r="AV538" s="1207"/>
      <c r="AW538" s="1207"/>
      <c r="AX538" s="1207"/>
      <c r="AY538" s="1207"/>
      <c r="AZ538" s="1207"/>
      <c r="BA538" s="1207"/>
      <c r="BB538" s="1207"/>
      <c r="BC538" s="1207"/>
      <c r="BD538" s="1207"/>
      <c r="BE538" s="1207"/>
      <c r="BF538" s="1207"/>
      <c r="BG538" s="1207"/>
      <c r="BH538" s="1207"/>
      <c r="BI538" s="1207"/>
      <c r="BJ538" s="1207"/>
      <c r="BK538" s="1207"/>
      <c r="BL538" s="1207"/>
      <c r="BM538" s="1207"/>
      <c r="BN538" s="1207"/>
      <c r="BO538" s="1207"/>
      <c r="BP538" s="1207"/>
      <c r="BQ538" s="1207"/>
      <c r="BR538" s="1207"/>
      <c r="BS538" s="1207"/>
      <c r="BT538" s="1207"/>
      <c r="BU538" s="1207"/>
      <c r="BV538" s="1207"/>
      <c r="BW538" s="1207"/>
      <c r="BX538" s="1207"/>
      <c r="BY538" s="1207"/>
      <c r="BZ538" s="1207"/>
      <c r="CA538" s="1207"/>
      <c r="CB538" s="1207"/>
      <c r="CC538" s="1207"/>
      <c r="CD538" s="1207"/>
      <c r="CE538" s="1207"/>
      <c r="CF538" s="1207"/>
    </row>
    <row r="539" spans="1:84" ht="135" x14ac:dyDescent="0.2">
      <c r="A539" s="1355">
        <v>2022522</v>
      </c>
      <c r="B539" s="1172">
        <v>7658</v>
      </c>
      <c r="C539" s="1356" t="s">
        <v>681</v>
      </c>
      <c r="D539" s="1190" t="s">
        <v>700</v>
      </c>
      <c r="E539" s="1174">
        <v>80111600</v>
      </c>
      <c r="F539" s="1389" t="s">
        <v>1141</v>
      </c>
      <c r="G539" s="1390">
        <v>44562</v>
      </c>
      <c r="H539" s="1390">
        <v>44592</v>
      </c>
      <c r="I539" s="1176">
        <v>11.5</v>
      </c>
      <c r="J539" s="1176" t="s">
        <v>675</v>
      </c>
      <c r="K539" s="1177" t="s">
        <v>676</v>
      </c>
      <c r="L539" s="1178" t="s">
        <v>677</v>
      </c>
      <c r="M539" s="1179">
        <f>82915000-3605000</f>
        <v>79310000</v>
      </c>
      <c r="N539" s="1386" t="s">
        <v>786</v>
      </c>
      <c r="O539" s="1174" t="s">
        <v>773</v>
      </c>
      <c r="P539" s="1163" t="s">
        <v>680</v>
      </c>
      <c r="Q539" s="1163"/>
      <c r="R539" s="1357">
        <v>79310000</v>
      </c>
      <c r="S539" s="1357">
        <v>79310000</v>
      </c>
      <c r="T539" s="1357">
        <f>+Tabla16[[#This Row],[CDPS A 31 JULIO 2022]]-Tabla16[[#This Row],[CDP]]</f>
        <v>0</v>
      </c>
      <c r="U539" s="1357">
        <v>79310000</v>
      </c>
      <c r="V539" s="1357">
        <v>31483667</v>
      </c>
      <c r="W539" s="1357"/>
      <c r="X539" s="1207"/>
      <c r="Y539" s="1207"/>
      <c r="Z539" s="1207"/>
      <c r="AA539" s="1207"/>
      <c r="AB539" s="1207"/>
      <c r="AC539" s="1207"/>
      <c r="AD539" s="1207"/>
      <c r="AE539" s="1207"/>
      <c r="AF539" s="1207"/>
      <c r="AG539" s="1207"/>
      <c r="AH539" s="1207"/>
      <c r="AI539" s="1207"/>
      <c r="AJ539" s="1207"/>
      <c r="AK539" s="1207"/>
      <c r="AL539" s="1207"/>
      <c r="AM539" s="1207"/>
      <c r="AN539" s="1207"/>
      <c r="AO539" s="1207"/>
      <c r="AP539" s="1207"/>
      <c r="AQ539" s="1207"/>
      <c r="AR539" s="1207"/>
      <c r="AS539" s="1207"/>
      <c r="AT539" s="1207"/>
      <c r="AU539" s="1207"/>
      <c r="AV539" s="1207"/>
      <c r="AW539" s="1207"/>
      <c r="AX539" s="1207"/>
      <c r="AY539" s="1207"/>
      <c r="AZ539" s="1207"/>
      <c r="BA539" s="1207"/>
      <c r="BB539" s="1207"/>
      <c r="BC539" s="1207"/>
      <c r="BD539" s="1207"/>
      <c r="BE539" s="1207"/>
      <c r="BF539" s="1207"/>
      <c r="BG539" s="1207"/>
      <c r="BH539" s="1207"/>
      <c r="BI539" s="1207"/>
      <c r="BJ539" s="1207"/>
      <c r="BK539" s="1207"/>
      <c r="BL539" s="1207"/>
      <c r="BM539" s="1207"/>
      <c r="BN539" s="1207"/>
      <c r="BO539" s="1207"/>
      <c r="BP539" s="1207"/>
      <c r="BQ539" s="1207"/>
      <c r="BR539" s="1207"/>
      <c r="BS539" s="1207"/>
      <c r="BT539" s="1207"/>
      <c r="BU539" s="1207"/>
      <c r="BV539" s="1207"/>
      <c r="BW539" s="1207"/>
      <c r="BX539" s="1207"/>
      <c r="BY539" s="1207"/>
      <c r="BZ539" s="1207"/>
      <c r="CA539" s="1207"/>
      <c r="CB539" s="1207"/>
      <c r="CC539" s="1207"/>
      <c r="CD539" s="1207"/>
      <c r="CE539" s="1207"/>
      <c r="CF539" s="1207"/>
    </row>
    <row r="540" spans="1:84" ht="135" x14ac:dyDescent="0.2">
      <c r="A540" s="1355">
        <v>2022523</v>
      </c>
      <c r="B540" s="1172">
        <v>7658</v>
      </c>
      <c r="C540" s="1356" t="s">
        <v>681</v>
      </c>
      <c r="D540" s="1190" t="s">
        <v>700</v>
      </c>
      <c r="E540" s="1174">
        <v>80111600</v>
      </c>
      <c r="F540" s="1389" t="s">
        <v>1155</v>
      </c>
      <c r="G540" s="1390">
        <v>44562</v>
      </c>
      <c r="H540" s="1390">
        <v>44592</v>
      </c>
      <c r="I540" s="1176">
        <v>11.5</v>
      </c>
      <c r="J540" s="1176" t="s">
        <v>675</v>
      </c>
      <c r="K540" s="1177" t="s">
        <v>676</v>
      </c>
      <c r="L540" s="1178" t="s">
        <v>784</v>
      </c>
      <c r="M540" s="1179">
        <f>54510000-2370000</f>
        <v>52140000</v>
      </c>
      <c r="N540" s="1386" t="s">
        <v>781</v>
      </c>
      <c r="O540" s="1174" t="s">
        <v>773</v>
      </c>
      <c r="P540" s="1163" t="s">
        <v>680</v>
      </c>
      <c r="Q540" s="1163"/>
      <c r="R540" s="1357">
        <v>52140000</v>
      </c>
      <c r="S540" s="1357">
        <v>52140000</v>
      </c>
      <c r="T540" s="1357">
        <f>+Tabla16[[#This Row],[CDPS A 31 JULIO 2022]]-Tabla16[[#This Row],[CDP]]</f>
        <v>0</v>
      </c>
      <c r="U540" s="1357">
        <v>52140000</v>
      </c>
      <c r="V540" s="1357">
        <v>20382000</v>
      </c>
      <c r="W540" s="1357"/>
      <c r="X540" s="1207"/>
      <c r="Y540" s="1207"/>
      <c r="Z540" s="1207"/>
      <c r="AA540" s="1207"/>
      <c r="AB540" s="1207"/>
      <c r="AC540" s="1207"/>
      <c r="AD540" s="1207"/>
      <c r="AE540" s="1207"/>
      <c r="AF540" s="1207"/>
      <c r="AG540" s="1207"/>
      <c r="AH540" s="1207"/>
      <c r="AI540" s="1207"/>
      <c r="AJ540" s="1207"/>
      <c r="AK540" s="1207"/>
      <c r="AL540" s="1207"/>
      <c r="AM540" s="1207"/>
      <c r="AN540" s="1207"/>
      <c r="AO540" s="1207"/>
      <c r="AP540" s="1207"/>
      <c r="AQ540" s="1207"/>
      <c r="AR540" s="1207"/>
      <c r="AS540" s="1207"/>
      <c r="AT540" s="1207"/>
      <c r="AU540" s="1207"/>
      <c r="AV540" s="1207"/>
      <c r="AW540" s="1207"/>
      <c r="AX540" s="1207"/>
      <c r="AY540" s="1207"/>
      <c r="AZ540" s="1207"/>
      <c r="BA540" s="1207"/>
      <c r="BB540" s="1207"/>
      <c r="BC540" s="1207"/>
      <c r="BD540" s="1207"/>
      <c r="BE540" s="1207"/>
      <c r="BF540" s="1207"/>
      <c r="BG540" s="1207"/>
      <c r="BH540" s="1207"/>
      <c r="BI540" s="1207"/>
      <c r="BJ540" s="1207"/>
      <c r="BK540" s="1207"/>
      <c r="BL540" s="1207"/>
      <c r="BM540" s="1207"/>
      <c r="BN540" s="1207"/>
      <c r="BO540" s="1207"/>
      <c r="BP540" s="1207"/>
      <c r="BQ540" s="1207"/>
      <c r="BR540" s="1207"/>
      <c r="BS540" s="1207"/>
      <c r="BT540" s="1207"/>
      <c r="BU540" s="1207"/>
      <c r="BV540" s="1207"/>
      <c r="BW540" s="1207"/>
      <c r="BX540" s="1207"/>
      <c r="BY540" s="1207"/>
      <c r="BZ540" s="1207"/>
      <c r="CA540" s="1207"/>
      <c r="CB540" s="1207"/>
      <c r="CC540" s="1207"/>
      <c r="CD540" s="1207"/>
      <c r="CE540" s="1207"/>
      <c r="CF540" s="1207"/>
    </row>
    <row r="541" spans="1:84" ht="135" x14ac:dyDescent="0.2">
      <c r="A541" s="1355">
        <v>2022524</v>
      </c>
      <c r="B541" s="1172">
        <v>7658</v>
      </c>
      <c r="C541" s="1356" t="s">
        <v>681</v>
      </c>
      <c r="D541" s="1190" t="s">
        <v>700</v>
      </c>
      <c r="E541" s="1174">
        <v>80111600</v>
      </c>
      <c r="F541" s="1389" t="s">
        <v>1156</v>
      </c>
      <c r="G541" s="1390">
        <v>44562</v>
      </c>
      <c r="H541" s="1390">
        <v>44592</v>
      </c>
      <c r="I541" s="1176">
        <v>11.5</v>
      </c>
      <c r="J541" s="1176" t="s">
        <v>675</v>
      </c>
      <c r="K541" s="1177" t="s">
        <v>676</v>
      </c>
      <c r="L541" s="1178" t="s">
        <v>677</v>
      </c>
      <c r="M541" s="1179">
        <f>36685000-1595000</f>
        <v>35090000</v>
      </c>
      <c r="N541" s="1386" t="s">
        <v>786</v>
      </c>
      <c r="O541" s="1174" t="s">
        <v>773</v>
      </c>
      <c r="P541" s="1163" t="s">
        <v>680</v>
      </c>
      <c r="Q541" s="1163"/>
      <c r="R541" s="1357">
        <v>35090000</v>
      </c>
      <c r="S541" s="1357">
        <v>35090000</v>
      </c>
      <c r="T541" s="1357">
        <f>+Tabla16[[#This Row],[CDPS A 31 JULIO 2022]]-Tabla16[[#This Row],[CDP]]</f>
        <v>0</v>
      </c>
      <c r="U541" s="1357">
        <v>35090000</v>
      </c>
      <c r="V541" s="1357">
        <v>10420666</v>
      </c>
      <c r="W541" s="1357"/>
      <c r="X541" s="1207"/>
      <c r="Y541" s="1207"/>
      <c r="Z541" s="1207"/>
      <c r="AA541" s="1207"/>
      <c r="AB541" s="1207"/>
      <c r="AC541" s="1207"/>
      <c r="AD541" s="1207"/>
      <c r="AE541" s="1207"/>
      <c r="AF541" s="1207"/>
      <c r="AG541" s="1207"/>
      <c r="AH541" s="1207"/>
      <c r="AI541" s="1207"/>
      <c r="AJ541" s="1207"/>
      <c r="AK541" s="1207"/>
      <c r="AL541" s="1207"/>
      <c r="AM541" s="1207"/>
      <c r="AN541" s="1207"/>
      <c r="AO541" s="1207"/>
      <c r="AP541" s="1207"/>
      <c r="AQ541" s="1207"/>
      <c r="AR541" s="1207"/>
      <c r="AS541" s="1207"/>
      <c r="AT541" s="1207"/>
      <c r="AU541" s="1207"/>
      <c r="AV541" s="1207"/>
      <c r="AW541" s="1207"/>
      <c r="AX541" s="1207"/>
      <c r="AY541" s="1207"/>
      <c r="AZ541" s="1207"/>
      <c r="BA541" s="1207"/>
      <c r="BB541" s="1207"/>
      <c r="BC541" s="1207"/>
      <c r="BD541" s="1207"/>
      <c r="BE541" s="1207"/>
      <c r="BF541" s="1207"/>
      <c r="BG541" s="1207"/>
      <c r="BH541" s="1207"/>
      <c r="BI541" s="1207"/>
      <c r="BJ541" s="1207"/>
      <c r="BK541" s="1207"/>
      <c r="BL541" s="1207"/>
      <c r="BM541" s="1207"/>
      <c r="BN541" s="1207"/>
      <c r="BO541" s="1207"/>
      <c r="BP541" s="1207"/>
      <c r="BQ541" s="1207"/>
      <c r="BR541" s="1207"/>
      <c r="BS541" s="1207"/>
      <c r="BT541" s="1207"/>
      <c r="BU541" s="1207"/>
      <c r="BV541" s="1207"/>
      <c r="BW541" s="1207"/>
      <c r="BX541" s="1207"/>
      <c r="BY541" s="1207"/>
      <c r="BZ541" s="1207"/>
      <c r="CA541" s="1207"/>
      <c r="CB541" s="1207"/>
      <c r="CC541" s="1207"/>
      <c r="CD541" s="1207"/>
      <c r="CE541" s="1207"/>
      <c r="CF541" s="1207"/>
    </row>
    <row r="542" spans="1:84" ht="135" x14ac:dyDescent="0.2">
      <c r="A542" s="1355">
        <v>2022525</v>
      </c>
      <c r="B542" s="1172">
        <v>7658</v>
      </c>
      <c r="C542" s="1356" t="s">
        <v>681</v>
      </c>
      <c r="D542" s="1190" t="s">
        <v>700</v>
      </c>
      <c r="E542" s="1174">
        <v>80111600</v>
      </c>
      <c r="F542" s="1389" t="s">
        <v>1157</v>
      </c>
      <c r="G542" s="1390">
        <v>44562</v>
      </c>
      <c r="H542" s="1390">
        <v>44592</v>
      </c>
      <c r="I542" s="1176">
        <v>11.5</v>
      </c>
      <c r="J542" s="1176" t="s">
        <v>675</v>
      </c>
      <c r="K542" s="1177" t="s">
        <v>676</v>
      </c>
      <c r="L542" s="1178" t="s">
        <v>677</v>
      </c>
      <c r="M542" s="1179">
        <f>54050000-2350000</f>
        <v>51700000</v>
      </c>
      <c r="N542" s="1386" t="s">
        <v>786</v>
      </c>
      <c r="O542" s="1174" t="s">
        <v>773</v>
      </c>
      <c r="P542" s="1163" t="s">
        <v>680</v>
      </c>
      <c r="Q542" s="1163"/>
      <c r="R542" s="1357">
        <v>51700000</v>
      </c>
      <c r="S542" s="1357">
        <v>51700000</v>
      </c>
      <c r="T542" s="1357">
        <f>+Tabla16[[#This Row],[CDPS A 31 JULIO 2022]]-Tabla16[[#This Row],[CDP]]</f>
        <v>0</v>
      </c>
      <c r="U542" s="1357">
        <v>51700000</v>
      </c>
      <c r="V542" s="1357">
        <v>18956667</v>
      </c>
      <c r="W542" s="1357"/>
      <c r="X542" s="1207"/>
      <c r="Y542" s="1207"/>
      <c r="Z542" s="1207"/>
      <c r="AA542" s="1207"/>
      <c r="AB542" s="1207"/>
      <c r="AC542" s="1207"/>
      <c r="AD542" s="1207"/>
      <c r="AE542" s="1207"/>
      <c r="AF542" s="1207"/>
      <c r="AG542" s="1207"/>
      <c r="AH542" s="1207"/>
      <c r="AI542" s="1207"/>
      <c r="AJ542" s="1207"/>
      <c r="AK542" s="1207"/>
      <c r="AL542" s="1207"/>
      <c r="AM542" s="1207"/>
      <c r="AN542" s="1207"/>
      <c r="AO542" s="1207"/>
      <c r="AP542" s="1207"/>
      <c r="AQ542" s="1207"/>
      <c r="AR542" s="1207"/>
      <c r="AS542" s="1207"/>
      <c r="AT542" s="1207"/>
      <c r="AU542" s="1207"/>
      <c r="AV542" s="1207"/>
      <c r="AW542" s="1207"/>
      <c r="AX542" s="1207"/>
      <c r="AY542" s="1207"/>
      <c r="AZ542" s="1207"/>
      <c r="BA542" s="1207"/>
      <c r="BB542" s="1207"/>
      <c r="BC542" s="1207"/>
      <c r="BD542" s="1207"/>
      <c r="BE542" s="1207"/>
      <c r="BF542" s="1207"/>
      <c r="BG542" s="1207"/>
      <c r="BH542" s="1207"/>
      <c r="BI542" s="1207"/>
      <c r="BJ542" s="1207"/>
      <c r="BK542" s="1207"/>
      <c r="BL542" s="1207"/>
      <c r="BM542" s="1207"/>
      <c r="BN542" s="1207"/>
      <c r="BO542" s="1207"/>
      <c r="BP542" s="1207"/>
      <c r="BQ542" s="1207"/>
      <c r="BR542" s="1207"/>
      <c r="BS542" s="1207"/>
      <c r="BT542" s="1207"/>
      <c r="BU542" s="1207"/>
      <c r="BV542" s="1207"/>
      <c r="BW542" s="1207"/>
      <c r="BX542" s="1207"/>
      <c r="BY542" s="1207"/>
      <c r="BZ542" s="1207"/>
      <c r="CA542" s="1207"/>
      <c r="CB542" s="1207"/>
      <c r="CC542" s="1207"/>
      <c r="CD542" s="1207"/>
      <c r="CE542" s="1207"/>
      <c r="CF542" s="1207"/>
    </row>
    <row r="543" spans="1:84" ht="135" x14ac:dyDescent="0.2">
      <c r="A543" s="1355">
        <v>2022526</v>
      </c>
      <c r="B543" s="1172">
        <v>7658</v>
      </c>
      <c r="C543" s="1356" t="s">
        <v>681</v>
      </c>
      <c r="D543" s="1190" t="s">
        <v>700</v>
      </c>
      <c r="E543" s="1174">
        <v>80111600</v>
      </c>
      <c r="F543" s="1389" t="s">
        <v>1158</v>
      </c>
      <c r="G543" s="1390">
        <v>44562</v>
      </c>
      <c r="H543" s="1390">
        <v>44592</v>
      </c>
      <c r="I543" s="1176">
        <v>11.5</v>
      </c>
      <c r="J543" s="1176" t="s">
        <v>675</v>
      </c>
      <c r="K543" s="1177" t="s">
        <v>676</v>
      </c>
      <c r="L543" s="1178" t="s">
        <v>677</v>
      </c>
      <c r="M543" s="1179">
        <f>28175000-1225000</f>
        <v>26950000</v>
      </c>
      <c r="N543" s="1386" t="s">
        <v>786</v>
      </c>
      <c r="O543" s="1174" t="s">
        <v>773</v>
      </c>
      <c r="P543" s="1163" t="s">
        <v>680</v>
      </c>
      <c r="Q543" s="1163"/>
      <c r="R543" s="1357">
        <v>26950000</v>
      </c>
      <c r="S543" s="1357">
        <v>26950000</v>
      </c>
      <c r="T543" s="1357">
        <f>+Tabla16[[#This Row],[CDPS A 31 JULIO 2022]]-Tabla16[[#This Row],[CDP]]</f>
        <v>0</v>
      </c>
      <c r="U543" s="1357">
        <v>26950000</v>
      </c>
      <c r="V543" s="1357">
        <v>10290000</v>
      </c>
      <c r="W543" s="1357"/>
      <c r="X543" s="1207"/>
      <c r="Y543" s="1207"/>
      <c r="Z543" s="1207"/>
      <c r="AA543" s="1207"/>
      <c r="AB543" s="1207"/>
      <c r="AC543" s="1207"/>
      <c r="AD543" s="1207"/>
      <c r="AE543" s="1207"/>
      <c r="AF543" s="1207"/>
      <c r="AG543" s="1207"/>
      <c r="AH543" s="1207"/>
      <c r="AI543" s="1207"/>
      <c r="AJ543" s="1207"/>
      <c r="AK543" s="1207"/>
      <c r="AL543" s="1207"/>
      <c r="AM543" s="1207"/>
      <c r="AN543" s="1207"/>
      <c r="AO543" s="1207"/>
      <c r="AP543" s="1207"/>
      <c r="AQ543" s="1207"/>
      <c r="AR543" s="1207"/>
      <c r="AS543" s="1207"/>
      <c r="AT543" s="1207"/>
      <c r="AU543" s="1207"/>
      <c r="AV543" s="1207"/>
      <c r="AW543" s="1207"/>
      <c r="AX543" s="1207"/>
      <c r="AY543" s="1207"/>
      <c r="AZ543" s="1207"/>
      <c r="BA543" s="1207"/>
      <c r="BB543" s="1207"/>
      <c r="BC543" s="1207"/>
      <c r="BD543" s="1207"/>
      <c r="BE543" s="1207"/>
      <c r="BF543" s="1207"/>
      <c r="BG543" s="1207"/>
      <c r="BH543" s="1207"/>
      <c r="BI543" s="1207"/>
      <c r="BJ543" s="1207"/>
      <c r="BK543" s="1207"/>
      <c r="BL543" s="1207"/>
      <c r="BM543" s="1207"/>
      <c r="BN543" s="1207"/>
      <c r="BO543" s="1207"/>
      <c r="BP543" s="1207"/>
      <c r="BQ543" s="1207"/>
      <c r="BR543" s="1207"/>
      <c r="BS543" s="1207"/>
      <c r="BT543" s="1207"/>
      <c r="BU543" s="1207"/>
      <c r="BV543" s="1207"/>
      <c r="BW543" s="1207"/>
      <c r="BX543" s="1207"/>
      <c r="BY543" s="1207"/>
      <c r="BZ543" s="1207"/>
      <c r="CA543" s="1207"/>
      <c r="CB543" s="1207"/>
      <c r="CC543" s="1207"/>
      <c r="CD543" s="1207"/>
      <c r="CE543" s="1207"/>
      <c r="CF543" s="1207"/>
    </row>
    <row r="544" spans="1:84" ht="135" x14ac:dyDescent="0.2">
      <c r="A544" s="1355">
        <v>2022527</v>
      </c>
      <c r="B544" s="1172">
        <v>7658</v>
      </c>
      <c r="C544" s="1356" t="s">
        <v>681</v>
      </c>
      <c r="D544" s="1190" t="s">
        <v>700</v>
      </c>
      <c r="E544" s="1174">
        <v>80111600</v>
      </c>
      <c r="F544" s="1389" t="s">
        <v>1159</v>
      </c>
      <c r="G544" s="1390">
        <v>44562</v>
      </c>
      <c r="H544" s="1390">
        <v>44592</v>
      </c>
      <c r="I544" s="1176">
        <v>11.5</v>
      </c>
      <c r="J544" s="1176" t="s">
        <v>675</v>
      </c>
      <c r="K544" s="1177" t="s">
        <v>676</v>
      </c>
      <c r="L544" s="1178" t="s">
        <v>677</v>
      </c>
      <c r="M544" s="1179">
        <f>36685000+28175000-6435000-1000000</f>
        <v>57425000</v>
      </c>
      <c r="N544" s="1386" t="s">
        <v>786</v>
      </c>
      <c r="O544" s="1174" t="s">
        <v>773</v>
      </c>
      <c r="P544" s="1163" t="s">
        <v>680</v>
      </c>
      <c r="Q544" s="1163"/>
      <c r="R544" s="1357">
        <v>30250000</v>
      </c>
      <c r="S544" s="1357">
        <v>30250000</v>
      </c>
      <c r="T544" s="1357">
        <f>+Tabla16[[#This Row],[CDPS A 31 JULIO 2022]]-Tabla16[[#This Row],[CDP]]</f>
        <v>0</v>
      </c>
      <c r="U544" s="1357">
        <v>30250000</v>
      </c>
      <c r="V544" s="1357">
        <v>11091667</v>
      </c>
      <c r="W544" s="1357"/>
      <c r="X544" s="1207"/>
      <c r="Y544" s="1207"/>
      <c r="Z544" s="1207"/>
      <c r="AA544" s="1207"/>
      <c r="AB544" s="1207"/>
      <c r="AC544" s="1207"/>
      <c r="AD544" s="1207"/>
      <c r="AE544" s="1207"/>
      <c r="AF544" s="1207"/>
      <c r="AG544" s="1207"/>
      <c r="AH544" s="1207"/>
      <c r="AI544" s="1207"/>
      <c r="AJ544" s="1207"/>
      <c r="AK544" s="1207"/>
      <c r="AL544" s="1207"/>
      <c r="AM544" s="1207"/>
      <c r="AN544" s="1207"/>
      <c r="AO544" s="1207"/>
      <c r="AP544" s="1207"/>
      <c r="AQ544" s="1207"/>
      <c r="AR544" s="1207"/>
      <c r="AS544" s="1207"/>
      <c r="AT544" s="1207"/>
      <c r="AU544" s="1207"/>
      <c r="AV544" s="1207"/>
      <c r="AW544" s="1207"/>
      <c r="AX544" s="1207"/>
      <c r="AY544" s="1207"/>
      <c r="AZ544" s="1207"/>
      <c r="BA544" s="1207"/>
      <c r="BB544" s="1207"/>
      <c r="BC544" s="1207"/>
      <c r="BD544" s="1207"/>
      <c r="BE544" s="1207"/>
      <c r="BF544" s="1207"/>
      <c r="BG544" s="1207"/>
      <c r="BH544" s="1207"/>
      <c r="BI544" s="1207"/>
      <c r="BJ544" s="1207"/>
      <c r="BK544" s="1207"/>
      <c r="BL544" s="1207"/>
      <c r="BM544" s="1207"/>
      <c r="BN544" s="1207"/>
      <c r="BO544" s="1207"/>
      <c r="BP544" s="1207"/>
      <c r="BQ544" s="1207"/>
      <c r="BR544" s="1207"/>
      <c r="BS544" s="1207"/>
      <c r="BT544" s="1207"/>
      <c r="BU544" s="1207"/>
      <c r="BV544" s="1207"/>
      <c r="BW544" s="1207"/>
      <c r="BX544" s="1207"/>
      <c r="BY544" s="1207"/>
      <c r="BZ544" s="1207"/>
      <c r="CA544" s="1207"/>
      <c r="CB544" s="1207"/>
      <c r="CC544" s="1207"/>
      <c r="CD544" s="1207"/>
      <c r="CE544" s="1207"/>
      <c r="CF544" s="1207"/>
    </row>
    <row r="545" spans="1:84" ht="135" x14ac:dyDescent="0.2">
      <c r="A545" s="1355">
        <v>2022528</v>
      </c>
      <c r="B545" s="1172">
        <v>7658</v>
      </c>
      <c r="C545" s="1356" t="s">
        <v>681</v>
      </c>
      <c r="D545" s="1190" t="s">
        <v>700</v>
      </c>
      <c r="E545" s="1174">
        <v>80111600</v>
      </c>
      <c r="F545" s="1389" t="s">
        <v>1160</v>
      </c>
      <c r="G545" s="1390">
        <v>44562</v>
      </c>
      <c r="H545" s="1390">
        <v>44592</v>
      </c>
      <c r="I545" s="1176">
        <v>11.5</v>
      </c>
      <c r="J545" s="1176" t="s">
        <v>675</v>
      </c>
      <c r="K545" s="1177" t="s">
        <v>676</v>
      </c>
      <c r="L545" s="1178" t="s">
        <v>677</v>
      </c>
      <c r="M545" s="1179">
        <f>51750000-2250000</f>
        <v>49500000</v>
      </c>
      <c r="N545" s="1386" t="s">
        <v>786</v>
      </c>
      <c r="O545" s="1174" t="s">
        <v>773</v>
      </c>
      <c r="P545" s="1163" t="s">
        <v>680</v>
      </c>
      <c r="Q545" s="1163"/>
      <c r="R545" s="1357">
        <v>49500000</v>
      </c>
      <c r="S545" s="1357">
        <v>49500000</v>
      </c>
      <c r="T545" s="1357">
        <f>+Tabla16[[#This Row],[CDPS A 31 JULIO 2022]]-Tabla16[[#This Row],[CDP]]</f>
        <v>0</v>
      </c>
      <c r="U545" s="1357">
        <v>49500000</v>
      </c>
      <c r="V545" s="1357">
        <v>17700000</v>
      </c>
      <c r="W545" s="1357"/>
      <c r="X545" s="1207"/>
      <c r="Y545" s="1207"/>
      <c r="Z545" s="1207"/>
      <c r="AA545" s="1207"/>
      <c r="AB545" s="1207"/>
      <c r="AC545" s="1207"/>
      <c r="AD545" s="1207"/>
      <c r="AE545" s="1207"/>
      <c r="AF545" s="1207"/>
      <c r="AG545" s="1207"/>
      <c r="AH545" s="1207"/>
      <c r="AI545" s="1207"/>
      <c r="AJ545" s="1207"/>
      <c r="AK545" s="1207"/>
      <c r="AL545" s="1207"/>
      <c r="AM545" s="1207"/>
      <c r="AN545" s="1207"/>
      <c r="AO545" s="1207"/>
      <c r="AP545" s="1207"/>
      <c r="AQ545" s="1207"/>
      <c r="AR545" s="1207"/>
      <c r="AS545" s="1207"/>
      <c r="AT545" s="1207"/>
      <c r="AU545" s="1207"/>
      <c r="AV545" s="1207"/>
      <c r="AW545" s="1207"/>
      <c r="AX545" s="1207"/>
      <c r="AY545" s="1207"/>
      <c r="AZ545" s="1207"/>
      <c r="BA545" s="1207"/>
      <c r="BB545" s="1207"/>
      <c r="BC545" s="1207"/>
      <c r="BD545" s="1207"/>
      <c r="BE545" s="1207"/>
      <c r="BF545" s="1207"/>
      <c r="BG545" s="1207"/>
      <c r="BH545" s="1207"/>
      <c r="BI545" s="1207"/>
      <c r="BJ545" s="1207"/>
      <c r="BK545" s="1207"/>
      <c r="BL545" s="1207"/>
      <c r="BM545" s="1207"/>
      <c r="BN545" s="1207"/>
      <c r="BO545" s="1207"/>
      <c r="BP545" s="1207"/>
      <c r="BQ545" s="1207"/>
      <c r="BR545" s="1207"/>
      <c r="BS545" s="1207"/>
      <c r="BT545" s="1207"/>
      <c r="BU545" s="1207"/>
      <c r="BV545" s="1207"/>
      <c r="BW545" s="1207"/>
      <c r="BX545" s="1207"/>
      <c r="BY545" s="1207"/>
      <c r="BZ545" s="1207"/>
      <c r="CA545" s="1207"/>
      <c r="CB545" s="1207"/>
      <c r="CC545" s="1207"/>
      <c r="CD545" s="1207"/>
      <c r="CE545" s="1207"/>
      <c r="CF545" s="1207"/>
    </row>
    <row r="546" spans="1:84" ht="135" x14ac:dyDescent="0.2">
      <c r="A546" s="1355">
        <v>2022529</v>
      </c>
      <c r="B546" s="1172">
        <v>7658</v>
      </c>
      <c r="C546" s="1356" t="s">
        <v>681</v>
      </c>
      <c r="D546" s="1190" t="s">
        <v>700</v>
      </c>
      <c r="E546" s="1174">
        <v>80111600</v>
      </c>
      <c r="F546" s="1389" t="s">
        <v>1161</v>
      </c>
      <c r="G546" s="1390">
        <v>44562</v>
      </c>
      <c r="H546" s="1390">
        <v>44592</v>
      </c>
      <c r="I546" s="1176">
        <v>11.5</v>
      </c>
      <c r="J546" s="1176" t="s">
        <v>675</v>
      </c>
      <c r="K546" s="1177" t="s">
        <v>676</v>
      </c>
      <c r="L546" s="1178" t="s">
        <v>677</v>
      </c>
      <c r="M546" s="1179">
        <f>48300000+20700000-1200000-33000000-7800000</f>
        <v>27000000</v>
      </c>
      <c r="N546" s="1386" t="s">
        <v>786</v>
      </c>
      <c r="O546" s="1174" t="s">
        <v>773</v>
      </c>
      <c r="P546" s="1163" t="s">
        <v>680</v>
      </c>
      <c r="Q546" s="1163"/>
      <c r="R546" s="1357">
        <v>27000000</v>
      </c>
      <c r="S546" s="1357">
        <v>27000000</v>
      </c>
      <c r="T546" s="1357">
        <f>+Tabla16[[#This Row],[CDPS A 31 JULIO 2022]]-Tabla16[[#This Row],[CDP]]</f>
        <v>0</v>
      </c>
      <c r="U546" s="1357">
        <v>27000000</v>
      </c>
      <c r="V546" s="1357">
        <v>18150000</v>
      </c>
      <c r="W546" s="1357"/>
      <c r="X546" s="1207"/>
      <c r="Y546" s="1207"/>
      <c r="Z546" s="1207"/>
      <c r="AA546" s="1207"/>
      <c r="AB546" s="1207"/>
      <c r="AC546" s="1207"/>
      <c r="AD546" s="1207"/>
      <c r="AE546" s="1207"/>
      <c r="AF546" s="1207"/>
      <c r="AG546" s="1207"/>
      <c r="AH546" s="1207"/>
      <c r="AI546" s="1207"/>
      <c r="AJ546" s="1207"/>
      <c r="AK546" s="1207"/>
      <c r="AL546" s="1207"/>
      <c r="AM546" s="1207"/>
      <c r="AN546" s="1207"/>
      <c r="AO546" s="1207"/>
      <c r="AP546" s="1207"/>
      <c r="AQ546" s="1207"/>
      <c r="AR546" s="1207"/>
      <c r="AS546" s="1207"/>
      <c r="AT546" s="1207"/>
      <c r="AU546" s="1207"/>
      <c r="AV546" s="1207"/>
      <c r="AW546" s="1207"/>
      <c r="AX546" s="1207"/>
      <c r="AY546" s="1207"/>
      <c r="AZ546" s="1207"/>
      <c r="BA546" s="1207"/>
      <c r="BB546" s="1207"/>
      <c r="BC546" s="1207"/>
      <c r="BD546" s="1207"/>
      <c r="BE546" s="1207"/>
      <c r="BF546" s="1207"/>
      <c r="BG546" s="1207"/>
      <c r="BH546" s="1207"/>
      <c r="BI546" s="1207"/>
      <c r="BJ546" s="1207"/>
      <c r="BK546" s="1207"/>
      <c r="BL546" s="1207"/>
      <c r="BM546" s="1207"/>
      <c r="BN546" s="1207"/>
      <c r="BO546" s="1207"/>
      <c r="BP546" s="1207"/>
      <c r="BQ546" s="1207"/>
      <c r="BR546" s="1207"/>
      <c r="BS546" s="1207"/>
      <c r="BT546" s="1207"/>
      <c r="BU546" s="1207"/>
      <c r="BV546" s="1207"/>
      <c r="BW546" s="1207"/>
      <c r="BX546" s="1207"/>
      <c r="BY546" s="1207"/>
      <c r="BZ546" s="1207"/>
      <c r="CA546" s="1207"/>
      <c r="CB546" s="1207"/>
      <c r="CC546" s="1207"/>
      <c r="CD546" s="1207"/>
      <c r="CE546" s="1207"/>
      <c r="CF546" s="1207"/>
    </row>
    <row r="547" spans="1:84" ht="135" x14ac:dyDescent="0.2">
      <c r="A547" s="1355">
        <v>2022530</v>
      </c>
      <c r="B547" s="1172">
        <v>7658</v>
      </c>
      <c r="C547" s="1356" t="s">
        <v>681</v>
      </c>
      <c r="D547" s="1190" t="s">
        <v>700</v>
      </c>
      <c r="E547" s="1174">
        <v>80111600</v>
      </c>
      <c r="F547" s="1389" t="s">
        <v>1141</v>
      </c>
      <c r="G547" s="1390">
        <v>44562</v>
      </c>
      <c r="H547" s="1390">
        <v>44592</v>
      </c>
      <c r="I547" s="1176">
        <v>11.5</v>
      </c>
      <c r="J547" s="1176" t="s">
        <v>675</v>
      </c>
      <c r="K547" s="1177" t="s">
        <v>676</v>
      </c>
      <c r="L547" s="1178" t="s">
        <v>677</v>
      </c>
      <c r="M547" s="1179">
        <f>82915000-3605000</f>
        <v>79310000</v>
      </c>
      <c r="N547" s="1386" t="s">
        <v>786</v>
      </c>
      <c r="O547" s="1174" t="s">
        <v>773</v>
      </c>
      <c r="P547" s="1163" t="s">
        <v>680</v>
      </c>
      <c r="Q547" s="1163"/>
      <c r="R547" s="1357">
        <v>79310000</v>
      </c>
      <c r="S547" s="1357">
        <v>79310000</v>
      </c>
      <c r="T547" s="1357">
        <f>+Tabla16[[#This Row],[CDPS A 31 JULIO 2022]]-Tabla16[[#This Row],[CDP]]</f>
        <v>0</v>
      </c>
      <c r="U547" s="1357">
        <v>79310000</v>
      </c>
      <c r="V547" s="1357">
        <v>30522333</v>
      </c>
      <c r="W547" s="1357"/>
      <c r="X547" s="1207"/>
      <c r="Y547" s="1207"/>
      <c r="Z547" s="1207"/>
      <c r="AA547" s="1207"/>
      <c r="AB547" s="1207"/>
      <c r="AC547" s="1207"/>
      <c r="AD547" s="1207"/>
      <c r="AE547" s="1207"/>
      <c r="AF547" s="1207"/>
      <c r="AG547" s="1207"/>
      <c r="AH547" s="1207"/>
      <c r="AI547" s="1207"/>
      <c r="AJ547" s="1207"/>
      <c r="AK547" s="1207"/>
      <c r="AL547" s="1207"/>
      <c r="AM547" s="1207"/>
      <c r="AN547" s="1207"/>
      <c r="AO547" s="1207"/>
      <c r="AP547" s="1207"/>
      <c r="AQ547" s="1207"/>
      <c r="AR547" s="1207"/>
      <c r="AS547" s="1207"/>
      <c r="AT547" s="1207"/>
      <c r="AU547" s="1207"/>
      <c r="AV547" s="1207"/>
      <c r="AW547" s="1207"/>
      <c r="AX547" s="1207"/>
      <c r="AY547" s="1207"/>
      <c r="AZ547" s="1207"/>
      <c r="BA547" s="1207"/>
      <c r="BB547" s="1207"/>
      <c r="BC547" s="1207"/>
      <c r="BD547" s="1207"/>
      <c r="BE547" s="1207"/>
      <c r="BF547" s="1207"/>
      <c r="BG547" s="1207"/>
      <c r="BH547" s="1207"/>
      <c r="BI547" s="1207"/>
      <c r="BJ547" s="1207"/>
      <c r="BK547" s="1207"/>
      <c r="BL547" s="1207"/>
      <c r="BM547" s="1207"/>
      <c r="BN547" s="1207"/>
      <c r="BO547" s="1207"/>
      <c r="BP547" s="1207"/>
      <c r="BQ547" s="1207"/>
      <c r="BR547" s="1207"/>
      <c r="BS547" s="1207"/>
      <c r="BT547" s="1207"/>
      <c r="BU547" s="1207"/>
      <c r="BV547" s="1207"/>
      <c r="BW547" s="1207"/>
      <c r="BX547" s="1207"/>
      <c r="BY547" s="1207"/>
      <c r="BZ547" s="1207"/>
      <c r="CA547" s="1207"/>
      <c r="CB547" s="1207"/>
      <c r="CC547" s="1207"/>
      <c r="CD547" s="1207"/>
      <c r="CE547" s="1207"/>
      <c r="CF547" s="1207"/>
    </row>
    <row r="548" spans="1:84" ht="135" x14ac:dyDescent="0.2">
      <c r="A548" s="1355">
        <v>2022531</v>
      </c>
      <c r="B548" s="1172">
        <v>7658</v>
      </c>
      <c r="C548" s="1356" t="s">
        <v>681</v>
      </c>
      <c r="D548" s="1190" t="s">
        <v>700</v>
      </c>
      <c r="E548" s="1174">
        <v>80111600</v>
      </c>
      <c r="F548" s="1389" t="s">
        <v>1162</v>
      </c>
      <c r="G548" s="1390">
        <v>44562</v>
      </c>
      <c r="H548" s="1390">
        <v>44592</v>
      </c>
      <c r="I548" s="1176">
        <v>11.5</v>
      </c>
      <c r="J548" s="1176" t="s">
        <v>675</v>
      </c>
      <c r="K548" s="1177" t="s">
        <v>676</v>
      </c>
      <c r="L548" s="1178" t="s">
        <v>677</v>
      </c>
      <c r="M548" s="1179">
        <f>45655000-1985000</f>
        <v>43670000</v>
      </c>
      <c r="N548" s="1386" t="s">
        <v>781</v>
      </c>
      <c r="O548" s="1174" t="s">
        <v>773</v>
      </c>
      <c r="P548" s="1163" t="s">
        <v>680</v>
      </c>
      <c r="Q548" s="1163"/>
      <c r="R548" s="1357">
        <v>43670000</v>
      </c>
      <c r="S548" s="1357">
        <v>43670000</v>
      </c>
      <c r="T548" s="1357">
        <f>+Tabla16[[#This Row],[CDPS A 31 JULIO 2022]]-Tabla16[[#This Row],[CDP]]</f>
        <v>0</v>
      </c>
      <c r="U548" s="1357">
        <v>43670000</v>
      </c>
      <c r="V548" s="1357">
        <v>16012333</v>
      </c>
      <c r="W548" s="1357"/>
      <c r="X548" s="1207"/>
      <c r="Y548" s="1207"/>
      <c r="Z548" s="1207"/>
      <c r="AA548" s="1207"/>
      <c r="AB548" s="1207"/>
      <c r="AC548" s="1207"/>
      <c r="AD548" s="1207"/>
      <c r="AE548" s="1207"/>
      <c r="AF548" s="1207"/>
      <c r="AG548" s="1207"/>
      <c r="AH548" s="1207"/>
      <c r="AI548" s="1207"/>
      <c r="AJ548" s="1207"/>
      <c r="AK548" s="1207"/>
      <c r="AL548" s="1207"/>
      <c r="AM548" s="1207"/>
      <c r="AN548" s="1207"/>
      <c r="AO548" s="1207"/>
      <c r="AP548" s="1207"/>
      <c r="AQ548" s="1207"/>
      <c r="AR548" s="1207"/>
      <c r="AS548" s="1207"/>
      <c r="AT548" s="1207"/>
      <c r="AU548" s="1207"/>
      <c r="AV548" s="1207"/>
      <c r="AW548" s="1207"/>
      <c r="AX548" s="1207"/>
      <c r="AY548" s="1207"/>
      <c r="AZ548" s="1207"/>
      <c r="BA548" s="1207"/>
      <c r="BB548" s="1207"/>
      <c r="BC548" s="1207"/>
      <c r="BD548" s="1207"/>
      <c r="BE548" s="1207"/>
      <c r="BF548" s="1207"/>
      <c r="BG548" s="1207"/>
      <c r="BH548" s="1207"/>
      <c r="BI548" s="1207"/>
      <c r="BJ548" s="1207"/>
      <c r="BK548" s="1207"/>
      <c r="BL548" s="1207"/>
      <c r="BM548" s="1207"/>
      <c r="BN548" s="1207"/>
      <c r="BO548" s="1207"/>
      <c r="BP548" s="1207"/>
      <c r="BQ548" s="1207"/>
      <c r="BR548" s="1207"/>
      <c r="BS548" s="1207"/>
      <c r="BT548" s="1207"/>
      <c r="BU548" s="1207"/>
      <c r="BV548" s="1207"/>
      <c r="BW548" s="1207"/>
      <c r="BX548" s="1207"/>
      <c r="BY548" s="1207"/>
      <c r="BZ548" s="1207"/>
      <c r="CA548" s="1207"/>
      <c r="CB548" s="1207"/>
      <c r="CC548" s="1207"/>
      <c r="CD548" s="1207"/>
      <c r="CE548" s="1207"/>
      <c r="CF548" s="1207"/>
    </row>
    <row r="549" spans="1:84" ht="135" x14ac:dyDescent="0.2">
      <c r="A549" s="1355">
        <v>2022532</v>
      </c>
      <c r="B549" s="1172">
        <v>7658</v>
      </c>
      <c r="C549" s="1356" t="s">
        <v>681</v>
      </c>
      <c r="D549" s="1190" t="s">
        <v>700</v>
      </c>
      <c r="E549" s="1174">
        <v>80111600</v>
      </c>
      <c r="F549" s="1389" t="s">
        <v>1163</v>
      </c>
      <c r="G549" s="1390">
        <v>44562</v>
      </c>
      <c r="H549" s="1390">
        <v>44592</v>
      </c>
      <c r="I549" s="1176">
        <v>11.5</v>
      </c>
      <c r="J549" s="1176" t="s">
        <v>675</v>
      </c>
      <c r="K549" s="1177" t="s">
        <v>676</v>
      </c>
      <c r="L549" s="1178" t="s">
        <v>677</v>
      </c>
      <c r="M549" s="1179">
        <f>47380000-2060000</f>
        <v>45320000</v>
      </c>
      <c r="N549" s="1386" t="s">
        <v>781</v>
      </c>
      <c r="O549" s="1174" t="s">
        <v>773</v>
      </c>
      <c r="P549" s="1163" t="s">
        <v>680</v>
      </c>
      <c r="Q549" s="1163"/>
      <c r="R549" s="1357">
        <v>45320000</v>
      </c>
      <c r="S549" s="1357">
        <v>45320000</v>
      </c>
      <c r="T549" s="1357">
        <f>+Tabla16[[#This Row],[CDPS A 31 JULIO 2022]]-Tabla16[[#This Row],[CDP]]</f>
        <v>0</v>
      </c>
      <c r="U549" s="1357">
        <v>45320000</v>
      </c>
      <c r="V549" s="1357">
        <v>13458667</v>
      </c>
      <c r="W549" s="1357"/>
      <c r="X549" s="1207"/>
      <c r="Y549" s="1207"/>
      <c r="Z549" s="1207"/>
      <c r="AA549" s="1207"/>
      <c r="AB549" s="1207"/>
      <c r="AC549" s="1207"/>
      <c r="AD549" s="1207"/>
      <c r="AE549" s="1207"/>
      <c r="AF549" s="1207"/>
      <c r="AG549" s="1207"/>
      <c r="AH549" s="1207"/>
      <c r="AI549" s="1207"/>
      <c r="AJ549" s="1207"/>
      <c r="AK549" s="1207"/>
      <c r="AL549" s="1207"/>
      <c r="AM549" s="1207"/>
      <c r="AN549" s="1207"/>
      <c r="AO549" s="1207"/>
      <c r="AP549" s="1207"/>
      <c r="AQ549" s="1207"/>
      <c r="AR549" s="1207"/>
      <c r="AS549" s="1207"/>
      <c r="AT549" s="1207"/>
      <c r="AU549" s="1207"/>
      <c r="AV549" s="1207"/>
      <c r="AW549" s="1207"/>
      <c r="AX549" s="1207"/>
      <c r="AY549" s="1207"/>
      <c r="AZ549" s="1207"/>
      <c r="BA549" s="1207"/>
      <c r="BB549" s="1207"/>
      <c r="BC549" s="1207"/>
      <c r="BD549" s="1207"/>
      <c r="BE549" s="1207"/>
      <c r="BF549" s="1207"/>
      <c r="BG549" s="1207"/>
      <c r="BH549" s="1207"/>
      <c r="BI549" s="1207"/>
      <c r="BJ549" s="1207"/>
      <c r="BK549" s="1207"/>
      <c r="BL549" s="1207"/>
      <c r="BM549" s="1207"/>
      <c r="BN549" s="1207"/>
      <c r="BO549" s="1207"/>
      <c r="BP549" s="1207"/>
      <c r="BQ549" s="1207"/>
      <c r="BR549" s="1207"/>
      <c r="BS549" s="1207"/>
      <c r="BT549" s="1207"/>
      <c r="BU549" s="1207"/>
      <c r="BV549" s="1207"/>
      <c r="BW549" s="1207"/>
      <c r="BX549" s="1207"/>
      <c r="BY549" s="1207"/>
      <c r="BZ549" s="1207"/>
      <c r="CA549" s="1207"/>
      <c r="CB549" s="1207"/>
      <c r="CC549" s="1207"/>
      <c r="CD549" s="1207"/>
      <c r="CE549" s="1207"/>
      <c r="CF549" s="1207"/>
    </row>
    <row r="550" spans="1:84" ht="135" x14ac:dyDescent="0.2">
      <c r="A550" s="1355">
        <v>2022533</v>
      </c>
      <c r="B550" s="1172">
        <v>7658</v>
      </c>
      <c r="C550" s="1356" t="s">
        <v>681</v>
      </c>
      <c r="D550" s="1190" t="s">
        <v>700</v>
      </c>
      <c r="E550" s="1174">
        <v>80111600</v>
      </c>
      <c r="F550" s="1389" t="s">
        <v>1164</v>
      </c>
      <c r="G550" s="1390">
        <v>44562</v>
      </c>
      <c r="H550" s="1390">
        <v>44592</v>
      </c>
      <c r="I550" s="1176">
        <v>11.5</v>
      </c>
      <c r="J550" s="1176" t="s">
        <v>675</v>
      </c>
      <c r="K550" s="1177" t="s">
        <v>676</v>
      </c>
      <c r="L550" s="1178" t="s">
        <v>677</v>
      </c>
      <c r="M550" s="1179">
        <f>54050000-2350000</f>
        <v>51700000</v>
      </c>
      <c r="N550" s="1386" t="s">
        <v>781</v>
      </c>
      <c r="O550" s="1174" t="s">
        <v>773</v>
      </c>
      <c r="P550" s="1163" t="s">
        <v>680</v>
      </c>
      <c r="Q550" s="1163"/>
      <c r="R550" s="1357">
        <v>51700000</v>
      </c>
      <c r="S550" s="1357">
        <v>51700000</v>
      </c>
      <c r="T550" s="1357">
        <f>+Tabla16[[#This Row],[CDPS A 31 JULIO 2022]]-Tabla16[[#This Row],[CDP]]</f>
        <v>0</v>
      </c>
      <c r="U550" s="1357">
        <v>51700000</v>
      </c>
      <c r="V550" s="1357">
        <v>19270000</v>
      </c>
      <c r="W550" s="1357"/>
      <c r="X550" s="1207"/>
      <c r="Y550" s="1207"/>
      <c r="Z550" s="1207"/>
      <c r="AA550" s="1207"/>
      <c r="AB550" s="1207"/>
      <c r="AC550" s="1207"/>
      <c r="AD550" s="1207"/>
      <c r="AE550" s="1207"/>
      <c r="AF550" s="1207"/>
      <c r="AG550" s="1207"/>
      <c r="AH550" s="1207"/>
      <c r="AI550" s="1207"/>
      <c r="AJ550" s="1207"/>
      <c r="AK550" s="1207"/>
      <c r="AL550" s="1207"/>
      <c r="AM550" s="1207"/>
      <c r="AN550" s="1207"/>
      <c r="AO550" s="1207"/>
      <c r="AP550" s="1207"/>
      <c r="AQ550" s="1207"/>
      <c r="AR550" s="1207"/>
      <c r="AS550" s="1207"/>
      <c r="AT550" s="1207"/>
      <c r="AU550" s="1207"/>
      <c r="AV550" s="1207"/>
      <c r="AW550" s="1207"/>
      <c r="AX550" s="1207"/>
      <c r="AY550" s="1207"/>
      <c r="AZ550" s="1207"/>
      <c r="BA550" s="1207"/>
      <c r="BB550" s="1207"/>
      <c r="BC550" s="1207"/>
      <c r="BD550" s="1207"/>
      <c r="BE550" s="1207"/>
      <c r="BF550" s="1207"/>
      <c r="BG550" s="1207"/>
      <c r="BH550" s="1207"/>
      <c r="BI550" s="1207"/>
      <c r="BJ550" s="1207"/>
      <c r="BK550" s="1207"/>
      <c r="BL550" s="1207"/>
      <c r="BM550" s="1207"/>
      <c r="BN550" s="1207"/>
      <c r="BO550" s="1207"/>
      <c r="BP550" s="1207"/>
      <c r="BQ550" s="1207"/>
      <c r="BR550" s="1207"/>
      <c r="BS550" s="1207"/>
      <c r="BT550" s="1207"/>
      <c r="BU550" s="1207"/>
      <c r="BV550" s="1207"/>
      <c r="BW550" s="1207"/>
      <c r="BX550" s="1207"/>
      <c r="BY550" s="1207"/>
      <c r="BZ550" s="1207"/>
      <c r="CA550" s="1207"/>
      <c r="CB550" s="1207"/>
      <c r="CC550" s="1207"/>
      <c r="CD550" s="1207"/>
      <c r="CE550" s="1207"/>
      <c r="CF550" s="1207"/>
    </row>
    <row r="551" spans="1:84" ht="135" x14ac:dyDescent="0.2">
      <c r="A551" s="1355">
        <v>2022534</v>
      </c>
      <c r="B551" s="1172">
        <v>7658</v>
      </c>
      <c r="C551" s="1356" t="s">
        <v>681</v>
      </c>
      <c r="D551" s="1190" t="s">
        <v>700</v>
      </c>
      <c r="E551" s="1174">
        <v>80111600</v>
      </c>
      <c r="F551" s="1389" t="s">
        <v>1165</v>
      </c>
      <c r="G551" s="1390">
        <v>44562</v>
      </c>
      <c r="H551" s="1390">
        <v>44592</v>
      </c>
      <c r="I551" s="1176">
        <v>11.5</v>
      </c>
      <c r="J551" s="1176" t="s">
        <v>675</v>
      </c>
      <c r="K551" s="1177" t="s">
        <v>676</v>
      </c>
      <c r="L551" s="1178" t="s">
        <v>784</v>
      </c>
      <c r="M551" s="1179">
        <f>88550000-3850000</f>
        <v>84700000</v>
      </c>
      <c r="N551" s="1386" t="s">
        <v>786</v>
      </c>
      <c r="O551" s="1174" t="s">
        <v>773</v>
      </c>
      <c r="P551" s="1163" t="s">
        <v>680</v>
      </c>
      <c r="Q551" s="1163"/>
      <c r="R551" s="1357">
        <v>84700000</v>
      </c>
      <c r="S551" s="1357">
        <v>84700000</v>
      </c>
      <c r="T551" s="1357">
        <f>+Tabla16[[#This Row],[CDPS A 31 JULIO 2022]]-Tabla16[[#This Row],[CDP]]</f>
        <v>0</v>
      </c>
      <c r="U551" s="1357">
        <v>84700000</v>
      </c>
      <c r="V551" s="1357">
        <v>32340000</v>
      </c>
      <c r="W551" s="1357"/>
      <c r="X551" s="1207"/>
      <c r="Y551" s="1207"/>
      <c r="Z551" s="1207"/>
      <c r="AA551" s="1207"/>
      <c r="AB551" s="1207"/>
      <c r="AC551" s="1207"/>
      <c r="AD551" s="1207"/>
      <c r="AE551" s="1207"/>
      <c r="AF551" s="1207"/>
      <c r="AG551" s="1207"/>
      <c r="AH551" s="1207"/>
      <c r="AI551" s="1207"/>
      <c r="AJ551" s="1207"/>
      <c r="AK551" s="1207"/>
      <c r="AL551" s="1207"/>
      <c r="AM551" s="1207"/>
      <c r="AN551" s="1207"/>
      <c r="AO551" s="1207"/>
      <c r="AP551" s="1207"/>
      <c r="AQ551" s="1207"/>
      <c r="AR551" s="1207"/>
      <c r="AS551" s="1207"/>
      <c r="AT551" s="1207"/>
      <c r="AU551" s="1207"/>
      <c r="AV551" s="1207"/>
      <c r="AW551" s="1207"/>
      <c r="AX551" s="1207"/>
      <c r="AY551" s="1207"/>
      <c r="AZ551" s="1207"/>
      <c r="BA551" s="1207"/>
      <c r="BB551" s="1207"/>
      <c r="BC551" s="1207"/>
      <c r="BD551" s="1207"/>
      <c r="BE551" s="1207"/>
      <c r="BF551" s="1207"/>
      <c r="BG551" s="1207"/>
      <c r="BH551" s="1207"/>
      <c r="BI551" s="1207"/>
      <c r="BJ551" s="1207"/>
      <c r="BK551" s="1207"/>
      <c r="BL551" s="1207"/>
      <c r="BM551" s="1207"/>
      <c r="BN551" s="1207"/>
      <c r="BO551" s="1207"/>
      <c r="BP551" s="1207"/>
      <c r="BQ551" s="1207"/>
      <c r="BR551" s="1207"/>
      <c r="BS551" s="1207"/>
      <c r="BT551" s="1207"/>
      <c r="BU551" s="1207"/>
      <c r="BV551" s="1207"/>
      <c r="BW551" s="1207"/>
      <c r="BX551" s="1207"/>
      <c r="BY551" s="1207"/>
      <c r="BZ551" s="1207"/>
      <c r="CA551" s="1207"/>
      <c r="CB551" s="1207"/>
      <c r="CC551" s="1207"/>
      <c r="CD551" s="1207"/>
      <c r="CE551" s="1207"/>
      <c r="CF551" s="1207"/>
    </row>
    <row r="552" spans="1:84" ht="135" x14ac:dyDescent="0.2">
      <c r="A552" s="1355">
        <v>2022535</v>
      </c>
      <c r="B552" s="1172">
        <v>7658</v>
      </c>
      <c r="C552" s="1356" t="s">
        <v>681</v>
      </c>
      <c r="D552" s="1190" t="s">
        <v>700</v>
      </c>
      <c r="E552" s="1174">
        <v>80111600</v>
      </c>
      <c r="F552" s="1389" t="s">
        <v>1166</v>
      </c>
      <c r="G552" s="1390">
        <v>44562</v>
      </c>
      <c r="H552" s="1390">
        <v>44592</v>
      </c>
      <c r="I552" s="1176">
        <v>11.5</v>
      </c>
      <c r="J552" s="1176" t="s">
        <v>675</v>
      </c>
      <c r="K552" s="1177" t="s">
        <v>676</v>
      </c>
      <c r="L552" s="1178" t="s">
        <v>677</v>
      </c>
      <c r="M552" s="1179">
        <f>38525000-1675000</f>
        <v>36850000</v>
      </c>
      <c r="N552" s="1386" t="s">
        <v>786</v>
      </c>
      <c r="O552" s="1174" t="s">
        <v>773</v>
      </c>
      <c r="P552" s="1163" t="s">
        <v>680</v>
      </c>
      <c r="Q552" s="1163"/>
      <c r="R552" s="1357">
        <v>36850000</v>
      </c>
      <c r="S552" s="1357">
        <v>36850000</v>
      </c>
      <c r="T552" s="1357">
        <f>+Tabla16[[#This Row],[CDPS A 31 JULIO 2022]]-Tabla16[[#This Row],[CDP]]</f>
        <v>0</v>
      </c>
      <c r="U552" s="1357">
        <v>36850000</v>
      </c>
      <c r="V552" s="1357">
        <v>14293333</v>
      </c>
      <c r="W552" s="1357"/>
      <c r="X552" s="1207"/>
      <c r="Y552" s="1207"/>
      <c r="Z552" s="1207"/>
      <c r="AA552" s="1207"/>
      <c r="AB552" s="1207"/>
      <c r="AC552" s="1207"/>
      <c r="AD552" s="1207"/>
      <c r="AE552" s="1207"/>
      <c r="AF552" s="1207"/>
      <c r="AG552" s="1207"/>
      <c r="AH552" s="1207"/>
      <c r="AI552" s="1207"/>
      <c r="AJ552" s="1207"/>
      <c r="AK552" s="1207"/>
      <c r="AL552" s="1207"/>
      <c r="AM552" s="1207"/>
      <c r="AN552" s="1207"/>
      <c r="AO552" s="1207"/>
      <c r="AP552" s="1207"/>
      <c r="AQ552" s="1207"/>
      <c r="AR552" s="1207"/>
      <c r="AS552" s="1207"/>
      <c r="AT552" s="1207"/>
      <c r="AU552" s="1207"/>
      <c r="AV552" s="1207"/>
      <c r="AW552" s="1207"/>
      <c r="AX552" s="1207"/>
      <c r="AY552" s="1207"/>
      <c r="AZ552" s="1207"/>
      <c r="BA552" s="1207"/>
      <c r="BB552" s="1207"/>
      <c r="BC552" s="1207"/>
      <c r="BD552" s="1207"/>
      <c r="BE552" s="1207"/>
      <c r="BF552" s="1207"/>
      <c r="BG552" s="1207"/>
      <c r="BH552" s="1207"/>
      <c r="BI552" s="1207"/>
      <c r="BJ552" s="1207"/>
      <c r="BK552" s="1207"/>
      <c r="BL552" s="1207"/>
      <c r="BM552" s="1207"/>
      <c r="BN552" s="1207"/>
      <c r="BO552" s="1207"/>
      <c r="BP552" s="1207"/>
      <c r="BQ552" s="1207"/>
      <c r="BR552" s="1207"/>
      <c r="BS552" s="1207"/>
      <c r="BT552" s="1207"/>
      <c r="BU552" s="1207"/>
      <c r="BV552" s="1207"/>
      <c r="BW552" s="1207"/>
      <c r="BX552" s="1207"/>
      <c r="BY552" s="1207"/>
      <c r="BZ552" s="1207"/>
      <c r="CA552" s="1207"/>
      <c r="CB552" s="1207"/>
      <c r="CC552" s="1207"/>
      <c r="CD552" s="1207"/>
      <c r="CE552" s="1207"/>
      <c r="CF552" s="1207"/>
    </row>
    <row r="553" spans="1:84" ht="135" x14ac:dyDescent="0.2">
      <c r="A553" s="1355">
        <v>2022536</v>
      </c>
      <c r="B553" s="1172">
        <v>7658</v>
      </c>
      <c r="C553" s="1356" t="s">
        <v>681</v>
      </c>
      <c r="D553" s="1190" t="s">
        <v>700</v>
      </c>
      <c r="E553" s="1174">
        <v>80111600</v>
      </c>
      <c r="F553" s="1389" t="s">
        <v>1167</v>
      </c>
      <c r="G553" s="1390">
        <v>44562</v>
      </c>
      <c r="H553" s="1390">
        <v>44592</v>
      </c>
      <c r="I553" s="1176">
        <v>11.5</v>
      </c>
      <c r="J553" s="1176" t="s">
        <v>675</v>
      </c>
      <c r="K553" s="1177" t="s">
        <v>676</v>
      </c>
      <c r="L553" s="1178" t="s">
        <v>677</v>
      </c>
      <c r="M553" s="1179">
        <f>38525000-1125000</f>
        <v>37400000</v>
      </c>
      <c r="N553" s="1386" t="s">
        <v>786</v>
      </c>
      <c r="O553" s="1174" t="s">
        <v>773</v>
      </c>
      <c r="P553" s="1163" t="s">
        <v>680</v>
      </c>
      <c r="Q553" s="1163"/>
      <c r="R553" s="1357">
        <v>37400000</v>
      </c>
      <c r="S553" s="1357">
        <v>37400000</v>
      </c>
      <c r="T553" s="1357">
        <f>+Tabla16[[#This Row],[CDPS A 31 JULIO 2022]]-Tabla16[[#This Row],[CDP]]</f>
        <v>0</v>
      </c>
      <c r="U553" s="1357">
        <v>37400000</v>
      </c>
      <c r="V553" s="1357">
        <v>13713333</v>
      </c>
      <c r="W553" s="1357"/>
      <c r="X553" s="1207"/>
      <c r="Y553" s="1207"/>
      <c r="Z553" s="1207"/>
      <c r="AA553" s="1207"/>
      <c r="AB553" s="1207"/>
      <c r="AC553" s="1207"/>
      <c r="AD553" s="1207"/>
      <c r="AE553" s="1207"/>
      <c r="AF553" s="1207"/>
      <c r="AG553" s="1207"/>
      <c r="AH553" s="1207"/>
      <c r="AI553" s="1207"/>
      <c r="AJ553" s="1207"/>
      <c r="AK553" s="1207"/>
      <c r="AL553" s="1207"/>
      <c r="AM553" s="1207"/>
      <c r="AN553" s="1207"/>
      <c r="AO553" s="1207"/>
      <c r="AP553" s="1207"/>
      <c r="AQ553" s="1207"/>
      <c r="AR553" s="1207"/>
      <c r="AS553" s="1207"/>
      <c r="AT553" s="1207"/>
      <c r="AU553" s="1207"/>
      <c r="AV553" s="1207"/>
      <c r="AW553" s="1207"/>
      <c r="AX553" s="1207"/>
      <c r="AY553" s="1207"/>
      <c r="AZ553" s="1207"/>
      <c r="BA553" s="1207"/>
      <c r="BB553" s="1207"/>
      <c r="BC553" s="1207"/>
      <c r="BD553" s="1207"/>
      <c r="BE553" s="1207"/>
      <c r="BF553" s="1207"/>
      <c r="BG553" s="1207"/>
      <c r="BH553" s="1207"/>
      <c r="BI553" s="1207"/>
      <c r="BJ553" s="1207"/>
      <c r="BK553" s="1207"/>
      <c r="BL553" s="1207"/>
      <c r="BM553" s="1207"/>
      <c r="BN553" s="1207"/>
      <c r="BO553" s="1207"/>
      <c r="BP553" s="1207"/>
      <c r="BQ553" s="1207"/>
      <c r="BR553" s="1207"/>
      <c r="BS553" s="1207"/>
      <c r="BT553" s="1207"/>
      <c r="BU553" s="1207"/>
      <c r="BV553" s="1207"/>
      <c r="BW553" s="1207"/>
      <c r="BX553" s="1207"/>
      <c r="BY553" s="1207"/>
      <c r="BZ553" s="1207"/>
      <c r="CA553" s="1207"/>
      <c r="CB553" s="1207"/>
      <c r="CC553" s="1207"/>
      <c r="CD553" s="1207"/>
      <c r="CE553" s="1207"/>
      <c r="CF553" s="1207"/>
    </row>
    <row r="554" spans="1:84" ht="135" x14ac:dyDescent="0.2">
      <c r="A554" s="1355">
        <v>2022537</v>
      </c>
      <c r="B554" s="1172">
        <v>7658</v>
      </c>
      <c r="C554" s="1356" t="s">
        <v>681</v>
      </c>
      <c r="D554" s="1190" t="s">
        <v>700</v>
      </c>
      <c r="E554" s="1174">
        <v>80111600</v>
      </c>
      <c r="F554" s="1389" t="s">
        <v>1168</v>
      </c>
      <c r="G554" s="1390">
        <v>44562</v>
      </c>
      <c r="H554" s="1390">
        <v>44592</v>
      </c>
      <c r="I554" s="1176">
        <v>11.5</v>
      </c>
      <c r="J554" s="1176" t="s">
        <v>675</v>
      </c>
      <c r="K554" s="1177" t="s">
        <v>676</v>
      </c>
      <c r="L554" s="1178" t="s">
        <v>677</v>
      </c>
      <c r="M554" s="1179">
        <f>48300000+13225000+7475000-3000000-30148267</f>
        <v>35851733</v>
      </c>
      <c r="N554" s="1386" t="s">
        <v>781</v>
      </c>
      <c r="O554" s="1174" t="s">
        <v>773</v>
      </c>
      <c r="P554" s="1163" t="s">
        <v>680</v>
      </c>
      <c r="Q554" s="1163"/>
      <c r="R554" s="1357">
        <v>66000000</v>
      </c>
      <c r="S554" s="1357">
        <v>66000000</v>
      </c>
      <c r="T554" s="1357">
        <f>+Tabla16[[#This Row],[CDPS A 31 JULIO 2022]]-Tabla16[[#This Row],[CDP]]</f>
        <v>0</v>
      </c>
      <c r="U554" s="1357">
        <v>66000000</v>
      </c>
      <c r="V554" s="1357">
        <v>18000000</v>
      </c>
      <c r="W554" s="1357"/>
      <c r="X554" s="1207"/>
      <c r="Y554" s="1207"/>
      <c r="Z554" s="1207"/>
      <c r="AA554" s="1207"/>
      <c r="AB554" s="1207"/>
      <c r="AC554" s="1207"/>
      <c r="AD554" s="1207"/>
      <c r="AE554" s="1207"/>
      <c r="AF554" s="1207"/>
      <c r="AG554" s="1207"/>
      <c r="AH554" s="1207"/>
      <c r="AI554" s="1207"/>
      <c r="AJ554" s="1207"/>
      <c r="AK554" s="1207"/>
      <c r="AL554" s="1207"/>
      <c r="AM554" s="1207"/>
      <c r="AN554" s="1207"/>
      <c r="AO554" s="1207"/>
      <c r="AP554" s="1207"/>
      <c r="AQ554" s="1207"/>
      <c r="AR554" s="1207"/>
      <c r="AS554" s="1207"/>
      <c r="AT554" s="1207"/>
      <c r="AU554" s="1207"/>
      <c r="AV554" s="1207"/>
      <c r="AW554" s="1207"/>
      <c r="AX554" s="1207"/>
      <c r="AY554" s="1207"/>
      <c r="AZ554" s="1207"/>
      <c r="BA554" s="1207"/>
      <c r="BB554" s="1207"/>
      <c r="BC554" s="1207"/>
      <c r="BD554" s="1207"/>
      <c r="BE554" s="1207"/>
      <c r="BF554" s="1207"/>
      <c r="BG554" s="1207"/>
      <c r="BH554" s="1207"/>
      <c r="BI554" s="1207"/>
      <c r="BJ554" s="1207"/>
      <c r="BK554" s="1207"/>
      <c r="BL554" s="1207"/>
      <c r="BM554" s="1207"/>
      <c r="BN554" s="1207"/>
      <c r="BO554" s="1207"/>
      <c r="BP554" s="1207"/>
      <c r="BQ554" s="1207"/>
      <c r="BR554" s="1207"/>
      <c r="BS554" s="1207"/>
      <c r="BT554" s="1207"/>
      <c r="BU554" s="1207"/>
      <c r="BV554" s="1207"/>
      <c r="BW554" s="1207"/>
      <c r="BX554" s="1207"/>
      <c r="BY554" s="1207"/>
      <c r="BZ554" s="1207"/>
      <c r="CA554" s="1207"/>
      <c r="CB554" s="1207"/>
      <c r="CC554" s="1207"/>
      <c r="CD554" s="1207"/>
      <c r="CE554" s="1207"/>
      <c r="CF554" s="1207"/>
    </row>
    <row r="555" spans="1:84" ht="135" x14ac:dyDescent="0.2">
      <c r="A555" s="1355">
        <v>2022538</v>
      </c>
      <c r="B555" s="1172">
        <v>7658</v>
      </c>
      <c r="C555" s="1356" t="s">
        <v>681</v>
      </c>
      <c r="D555" s="1190" t="s">
        <v>700</v>
      </c>
      <c r="E555" s="1174">
        <v>80111600</v>
      </c>
      <c r="F555" s="1389" t="s">
        <v>1169</v>
      </c>
      <c r="G555" s="1390">
        <v>44562</v>
      </c>
      <c r="H555" s="1390">
        <v>44592</v>
      </c>
      <c r="I555" s="1176">
        <v>11.5</v>
      </c>
      <c r="J555" s="1176" t="s">
        <v>675</v>
      </c>
      <c r="K555" s="1177" t="s">
        <v>676</v>
      </c>
      <c r="L555" s="1178" t="s">
        <v>677</v>
      </c>
      <c r="M555" s="1179">
        <f>65550000-23200000</f>
        <v>42350000</v>
      </c>
      <c r="N555" s="1386" t="s">
        <v>786</v>
      </c>
      <c r="O555" s="1174" t="s">
        <v>773</v>
      </c>
      <c r="P555" s="1163" t="s">
        <v>680</v>
      </c>
      <c r="Q555" s="1163"/>
      <c r="R555" s="1357">
        <v>42350000</v>
      </c>
      <c r="S555" s="1357">
        <v>42350000</v>
      </c>
      <c r="T555" s="1357">
        <f>+Tabla16[[#This Row],[CDPS A 31 JULIO 2022]]-Tabla16[[#This Row],[CDP]]</f>
        <v>0</v>
      </c>
      <c r="U555" s="1357">
        <v>42350000</v>
      </c>
      <c r="V555" s="1357">
        <v>15143333</v>
      </c>
      <c r="W555" s="1357"/>
      <c r="X555" s="1207"/>
      <c r="Y555" s="1207"/>
      <c r="Z555" s="1207"/>
      <c r="AA555" s="1207"/>
      <c r="AB555" s="1207"/>
      <c r="AC555" s="1207"/>
      <c r="AD555" s="1207"/>
      <c r="AE555" s="1207"/>
      <c r="AF555" s="1207"/>
      <c r="AG555" s="1207"/>
      <c r="AH555" s="1207"/>
      <c r="AI555" s="1207"/>
      <c r="AJ555" s="1207"/>
      <c r="AK555" s="1207"/>
      <c r="AL555" s="1207"/>
      <c r="AM555" s="1207"/>
      <c r="AN555" s="1207"/>
      <c r="AO555" s="1207"/>
      <c r="AP555" s="1207"/>
      <c r="AQ555" s="1207"/>
      <c r="AR555" s="1207"/>
      <c r="AS555" s="1207"/>
      <c r="AT555" s="1207"/>
      <c r="AU555" s="1207"/>
      <c r="AV555" s="1207"/>
      <c r="AW555" s="1207"/>
      <c r="AX555" s="1207"/>
      <c r="AY555" s="1207"/>
      <c r="AZ555" s="1207"/>
      <c r="BA555" s="1207"/>
      <c r="BB555" s="1207"/>
      <c r="BC555" s="1207"/>
      <c r="BD555" s="1207"/>
      <c r="BE555" s="1207"/>
      <c r="BF555" s="1207"/>
      <c r="BG555" s="1207"/>
      <c r="BH555" s="1207"/>
      <c r="BI555" s="1207"/>
      <c r="BJ555" s="1207"/>
      <c r="BK555" s="1207"/>
      <c r="BL555" s="1207"/>
      <c r="BM555" s="1207"/>
      <c r="BN555" s="1207"/>
      <c r="BO555" s="1207"/>
      <c r="BP555" s="1207"/>
      <c r="BQ555" s="1207"/>
      <c r="BR555" s="1207"/>
      <c r="BS555" s="1207"/>
      <c r="BT555" s="1207"/>
      <c r="BU555" s="1207"/>
      <c r="BV555" s="1207"/>
      <c r="BW555" s="1207"/>
      <c r="BX555" s="1207"/>
      <c r="BY555" s="1207"/>
      <c r="BZ555" s="1207"/>
      <c r="CA555" s="1207"/>
      <c r="CB555" s="1207"/>
      <c r="CC555" s="1207"/>
      <c r="CD555" s="1207"/>
      <c r="CE555" s="1207"/>
      <c r="CF555" s="1207"/>
    </row>
    <row r="556" spans="1:84" ht="135" x14ac:dyDescent="0.2">
      <c r="A556" s="1355">
        <v>2022539</v>
      </c>
      <c r="B556" s="1172">
        <v>7658</v>
      </c>
      <c r="C556" s="1356" t="s">
        <v>681</v>
      </c>
      <c r="D556" s="1190" t="s">
        <v>700</v>
      </c>
      <c r="E556" s="1174">
        <v>80111600</v>
      </c>
      <c r="F556" s="1389" t="s">
        <v>1170</v>
      </c>
      <c r="G556" s="1390">
        <v>44562</v>
      </c>
      <c r="H556" s="1390">
        <v>44592</v>
      </c>
      <c r="I556" s="1176">
        <v>11.5</v>
      </c>
      <c r="J556" s="1176" t="s">
        <v>675</v>
      </c>
      <c r="K556" s="1177" t="s">
        <v>676</v>
      </c>
      <c r="L556" s="1178" t="s">
        <v>677</v>
      </c>
      <c r="M556" s="1179">
        <f>69000000-3000000</f>
        <v>66000000</v>
      </c>
      <c r="N556" s="1386" t="s">
        <v>786</v>
      </c>
      <c r="O556" s="1174" t="s">
        <v>773</v>
      </c>
      <c r="P556" s="1163" t="s">
        <v>680</v>
      </c>
      <c r="Q556" s="1163"/>
      <c r="R556" s="1357">
        <v>66000000</v>
      </c>
      <c r="S556" s="1357">
        <v>66000000</v>
      </c>
      <c r="T556" s="1357">
        <f>+Tabla16[[#This Row],[CDPS A 31 JULIO 2022]]-Tabla16[[#This Row],[CDP]]</f>
        <v>0</v>
      </c>
      <c r="U556" s="1357">
        <v>66000000</v>
      </c>
      <c r="V556" s="1357">
        <v>25200000</v>
      </c>
      <c r="W556" s="1357"/>
      <c r="X556" s="1207"/>
      <c r="Y556" s="1207"/>
      <c r="Z556" s="1207"/>
      <c r="AA556" s="1207"/>
      <c r="AB556" s="1207"/>
      <c r="AC556" s="1207"/>
      <c r="AD556" s="1207"/>
      <c r="AE556" s="1207"/>
      <c r="AF556" s="1207"/>
      <c r="AG556" s="1207"/>
      <c r="AH556" s="1207"/>
      <c r="AI556" s="1207"/>
      <c r="AJ556" s="1207"/>
      <c r="AK556" s="1207"/>
      <c r="AL556" s="1207"/>
      <c r="AM556" s="1207"/>
      <c r="AN556" s="1207"/>
      <c r="AO556" s="1207"/>
      <c r="AP556" s="1207"/>
      <c r="AQ556" s="1207"/>
      <c r="AR556" s="1207"/>
      <c r="AS556" s="1207"/>
      <c r="AT556" s="1207"/>
      <c r="AU556" s="1207"/>
      <c r="AV556" s="1207"/>
      <c r="AW556" s="1207"/>
      <c r="AX556" s="1207"/>
      <c r="AY556" s="1207"/>
      <c r="AZ556" s="1207"/>
      <c r="BA556" s="1207"/>
      <c r="BB556" s="1207"/>
      <c r="BC556" s="1207"/>
      <c r="BD556" s="1207"/>
      <c r="BE556" s="1207"/>
      <c r="BF556" s="1207"/>
      <c r="BG556" s="1207"/>
      <c r="BH556" s="1207"/>
      <c r="BI556" s="1207"/>
      <c r="BJ556" s="1207"/>
      <c r="BK556" s="1207"/>
      <c r="BL556" s="1207"/>
      <c r="BM556" s="1207"/>
      <c r="BN556" s="1207"/>
      <c r="BO556" s="1207"/>
      <c r="BP556" s="1207"/>
      <c r="BQ556" s="1207"/>
      <c r="BR556" s="1207"/>
      <c r="BS556" s="1207"/>
      <c r="BT556" s="1207"/>
      <c r="BU556" s="1207"/>
      <c r="BV556" s="1207"/>
      <c r="BW556" s="1207"/>
      <c r="BX556" s="1207"/>
      <c r="BY556" s="1207"/>
      <c r="BZ556" s="1207"/>
      <c r="CA556" s="1207"/>
      <c r="CB556" s="1207"/>
      <c r="CC556" s="1207"/>
      <c r="CD556" s="1207"/>
      <c r="CE556" s="1207"/>
      <c r="CF556" s="1207"/>
    </row>
    <row r="557" spans="1:84" ht="135" x14ac:dyDescent="0.2">
      <c r="A557" s="1355">
        <v>2022540</v>
      </c>
      <c r="B557" s="1172">
        <v>7658</v>
      </c>
      <c r="C557" s="1356" t="s">
        <v>681</v>
      </c>
      <c r="D557" s="1190" t="s">
        <v>700</v>
      </c>
      <c r="E557" s="1174">
        <v>80111600</v>
      </c>
      <c r="F557" s="1389" t="s">
        <v>1171</v>
      </c>
      <c r="G557" s="1390">
        <v>44562</v>
      </c>
      <c r="H557" s="1390">
        <v>44592</v>
      </c>
      <c r="I557" s="1176">
        <v>11.5</v>
      </c>
      <c r="J557" s="1176" t="s">
        <v>675</v>
      </c>
      <c r="K557" s="1177" t="s">
        <v>676</v>
      </c>
      <c r="L557" s="1178" t="s">
        <v>677</v>
      </c>
      <c r="M557" s="1179">
        <f>39100000-3900000</f>
        <v>35200000</v>
      </c>
      <c r="N557" s="1386" t="s">
        <v>786</v>
      </c>
      <c r="O557" s="1174" t="s">
        <v>773</v>
      </c>
      <c r="P557" s="1163" t="s">
        <v>680</v>
      </c>
      <c r="Q557" s="1163"/>
      <c r="R557" s="1357">
        <v>35200000</v>
      </c>
      <c r="S557" s="1357">
        <v>35200000</v>
      </c>
      <c r="T557" s="1357">
        <f>+Tabla16[[#This Row],[CDPS A 31 JULIO 2022]]-Tabla16[[#This Row],[CDP]]</f>
        <v>0</v>
      </c>
      <c r="U557" s="1357">
        <v>35200000</v>
      </c>
      <c r="V557" s="1357">
        <v>12586667</v>
      </c>
      <c r="W557" s="1357"/>
      <c r="X557" s="1207"/>
      <c r="Y557" s="1207"/>
      <c r="Z557" s="1207"/>
      <c r="AA557" s="1207"/>
      <c r="AB557" s="1207"/>
      <c r="AC557" s="1207"/>
      <c r="AD557" s="1207"/>
      <c r="AE557" s="1207"/>
      <c r="AF557" s="1207"/>
      <c r="AG557" s="1207"/>
      <c r="AH557" s="1207"/>
      <c r="AI557" s="1207"/>
      <c r="AJ557" s="1207"/>
      <c r="AK557" s="1207"/>
      <c r="AL557" s="1207"/>
      <c r="AM557" s="1207"/>
      <c r="AN557" s="1207"/>
      <c r="AO557" s="1207"/>
      <c r="AP557" s="1207"/>
      <c r="AQ557" s="1207"/>
      <c r="AR557" s="1207"/>
      <c r="AS557" s="1207"/>
      <c r="AT557" s="1207"/>
      <c r="AU557" s="1207"/>
      <c r="AV557" s="1207"/>
      <c r="AW557" s="1207"/>
      <c r="AX557" s="1207"/>
      <c r="AY557" s="1207"/>
      <c r="AZ557" s="1207"/>
      <c r="BA557" s="1207"/>
      <c r="BB557" s="1207"/>
      <c r="BC557" s="1207"/>
      <c r="BD557" s="1207"/>
      <c r="BE557" s="1207"/>
      <c r="BF557" s="1207"/>
      <c r="BG557" s="1207"/>
      <c r="BH557" s="1207"/>
      <c r="BI557" s="1207"/>
      <c r="BJ557" s="1207"/>
      <c r="BK557" s="1207"/>
      <c r="BL557" s="1207"/>
      <c r="BM557" s="1207"/>
      <c r="BN557" s="1207"/>
      <c r="BO557" s="1207"/>
      <c r="BP557" s="1207"/>
      <c r="BQ557" s="1207"/>
      <c r="BR557" s="1207"/>
      <c r="BS557" s="1207"/>
      <c r="BT557" s="1207"/>
      <c r="BU557" s="1207"/>
      <c r="BV557" s="1207"/>
      <c r="BW557" s="1207"/>
      <c r="BX557" s="1207"/>
      <c r="BY557" s="1207"/>
      <c r="BZ557" s="1207"/>
      <c r="CA557" s="1207"/>
      <c r="CB557" s="1207"/>
      <c r="CC557" s="1207"/>
      <c r="CD557" s="1207"/>
      <c r="CE557" s="1207"/>
      <c r="CF557" s="1207"/>
    </row>
    <row r="558" spans="1:84" ht="135" x14ac:dyDescent="0.2">
      <c r="A558" s="1355">
        <v>2022541</v>
      </c>
      <c r="B558" s="1172">
        <v>7658</v>
      </c>
      <c r="C558" s="1356" t="s">
        <v>681</v>
      </c>
      <c r="D558" s="1190" t="s">
        <v>700</v>
      </c>
      <c r="E558" s="1174">
        <v>80111600</v>
      </c>
      <c r="F558" s="1389" t="s">
        <v>1172</v>
      </c>
      <c r="G558" s="1390">
        <v>44562</v>
      </c>
      <c r="H558" s="1390">
        <v>44592</v>
      </c>
      <c r="I558" s="1176">
        <v>11.5</v>
      </c>
      <c r="J558" s="1176" t="s">
        <v>675</v>
      </c>
      <c r="K558" s="1177" t="s">
        <v>676</v>
      </c>
      <c r="L558" s="1178" t="s">
        <v>677</v>
      </c>
      <c r="M558" s="1179">
        <f>36685000-1595000</f>
        <v>35090000</v>
      </c>
      <c r="N558" s="1386" t="s">
        <v>786</v>
      </c>
      <c r="O558" s="1174" t="s">
        <v>773</v>
      </c>
      <c r="P558" s="1163" t="s">
        <v>680</v>
      </c>
      <c r="Q558" s="1163"/>
      <c r="R558" s="1357">
        <v>35090000</v>
      </c>
      <c r="S558" s="1357">
        <v>35090000</v>
      </c>
      <c r="T558" s="1357">
        <f>+Tabla16[[#This Row],[CDPS A 31 JULIO 2022]]-Tabla16[[#This Row],[CDP]]</f>
        <v>0</v>
      </c>
      <c r="U558" s="1357">
        <v>35090000</v>
      </c>
      <c r="V558" s="1357">
        <v>12866333</v>
      </c>
      <c r="W558" s="1357"/>
      <c r="X558" s="1207"/>
      <c r="Y558" s="1207"/>
      <c r="Z558" s="1207"/>
      <c r="AA558" s="1207"/>
      <c r="AB558" s="1207"/>
      <c r="AC558" s="1207"/>
      <c r="AD558" s="1207"/>
      <c r="AE558" s="1207"/>
      <c r="AF558" s="1207"/>
      <c r="AG558" s="1207"/>
      <c r="AH558" s="1207"/>
      <c r="AI558" s="1207"/>
      <c r="AJ558" s="1207"/>
      <c r="AK558" s="1207"/>
      <c r="AL558" s="1207"/>
      <c r="AM558" s="1207"/>
      <c r="AN558" s="1207"/>
      <c r="AO558" s="1207"/>
      <c r="AP558" s="1207"/>
      <c r="AQ558" s="1207"/>
      <c r="AR558" s="1207"/>
      <c r="AS558" s="1207"/>
      <c r="AT558" s="1207"/>
      <c r="AU558" s="1207"/>
      <c r="AV558" s="1207"/>
      <c r="AW558" s="1207"/>
      <c r="AX558" s="1207"/>
      <c r="AY558" s="1207"/>
      <c r="AZ558" s="1207"/>
      <c r="BA558" s="1207"/>
      <c r="BB558" s="1207"/>
      <c r="BC558" s="1207"/>
      <c r="BD558" s="1207"/>
      <c r="BE558" s="1207"/>
      <c r="BF558" s="1207"/>
      <c r="BG558" s="1207"/>
      <c r="BH558" s="1207"/>
      <c r="BI558" s="1207"/>
      <c r="BJ558" s="1207"/>
      <c r="BK558" s="1207"/>
      <c r="BL558" s="1207"/>
      <c r="BM558" s="1207"/>
      <c r="BN558" s="1207"/>
      <c r="BO558" s="1207"/>
      <c r="BP558" s="1207"/>
      <c r="BQ558" s="1207"/>
      <c r="BR558" s="1207"/>
      <c r="BS558" s="1207"/>
      <c r="BT558" s="1207"/>
      <c r="BU558" s="1207"/>
      <c r="BV558" s="1207"/>
      <c r="BW558" s="1207"/>
      <c r="BX558" s="1207"/>
      <c r="BY558" s="1207"/>
      <c r="BZ558" s="1207"/>
      <c r="CA558" s="1207"/>
      <c r="CB558" s="1207"/>
      <c r="CC558" s="1207"/>
      <c r="CD558" s="1207"/>
      <c r="CE558" s="1207"/>
      <c r="CF558" s="1207"/>
    </row>
    <row r="559" spans="1:84" ht="60" x14ac:dyDescent="0.2">
      <c r="A559" s="1355">
        <v>2022542</v>
      </c>
      <c r="B559" s="1172" t="s">
        <v>459</v>
      </c>
      <c r="C559" s="1356"/>
      <c r="D559" s="1190" t="s">
        <v>691</v>
      </c>
      <c r="E559" s="1174" t="s">
        <v>1173</v>
      </c>
      <c r="F559" s="1389" t="s">
        <v>1174</v>
      </c>
      <c r="G559" s="1390">
        <v>44562</v>
      </c>
      <c r="H559" s="1390">
        <v>44592</v>
      </c>
      <c r="I559" s="1176">
        <v>3</v>
      </c>
      <c r="J559" s="1176" t="s">
        <v>701</v>
      </c>
      <c r="K559" s="1177" t="s">
        <v>676</v>
      </c>
      <c r="L559" s="1178"/>
      <c r="M559" s="1179">
        <v>4200000</v>
      </c>
      <c r="N559" s="1386"/>
      <c r="O559" s="1174"/>
      <c r="P559" s="1163" t="s">
        <v>750</v>
      </c>
      <c r="Q559" s="1163"/>
      <c r="R559" s="1357"/>
      <c r="S559" s="1357"/>
      <c r="T559" s="1357">
        <f>+Tabla16[[#This Row],[CDPS A 31 JULIO 2022]]-Tabla16[[#This Row],[CDP]]</f>
        <v>0</v>
      </c>
      <c r="U559" s="1357"/>
      <c r="V559" s="1357"/>
      <c r="W559" s="1357"/>
      <c r="X559" s="1207"/>
      <c r="Y559" s="1207"/>
      <c r="Z559" s="1207"/>
      <c r="AA559" s="1207"/>
      <c r="AB559" s="1207"/>
      <c r="AC559" s="1207"/>
      <c r="AD559" s="1207"/>
      <c r="AE559" s="1207"/>
      <c r="AF559" s="1207"/>
      <c r="AG559" s="1207"/>
      <c r="AH559" s="1207"/>
      <c r="AI559" s="1207"/>
      <c r="AJ559" s="1207"/>
      <c r="AK559" s="1207"/>
      <c r="AL559" s="1207"/>
      <c r="AM559" s="1207"/>
      <c r="AN559" s="1207"/>
      <c r="AO559" s="1207"/>
      <c r="AP559" s="1207"/>
      <c r="AQ559" s="1207"/>
      <c r="AR559" s="1207"/>
      <c r="AS559" s="1207"/>
      <c r="AT559" s="1207"/>
      <c r="AU559" s="1207"/>
      <c r="AV559" s="1207"/>
      <c r="AW559" s="1207"/>
      <c r="AX559" s="1207"/>
      <c r="AY559" s="1207"/>
      <c r="AZ559" s="1207"/>
      <c r="BA559" s="1207"/>
      <c r="BB559" s="1207"/>
      <c r="BC559" s="1207"/>
      <c r="BD559" s="1207"/>
      <c r="BE559" s="1207"/>
      <c r="BF559" s="1207"/>
      <c r="BG559" s="1207"/>
      <c r="BH559" s="1207"/>
      <c r="BI559" s="1207"/>
      <c r="BJ559" s="1207"/>
      <c r="BK559" s="1207"/>
      <c r="BL559" s="1207"/>
      <c r="BM559" s="1207"/>
      <c r="BN559" s="1207"/>
      <c r="BO559" s="1207"/>
      <c r="BP559" s="1207"/>
      <c r="BQ559" s="1207"/>
      <c r="BR559" s="1207"/>
      <c r="BS559" s="1207"/>
      <c r="BT559" s="1207"/>
      <c r="BU559" s="1207"/>
      <c r="BV559" s="1207"/>
      <c r="BW559" s="1207"/>
      <c r="BX559" s="1207"/>
      <c r="BY559" s="1207"/>
      <c r="BZ559" s="1207"/>
      <c r="CA559" s="1207"/>
      <c r="CB559" s="1207"/>
      <c r="CC559" s="1207"/>
      <c r="CD559" s="1207"/>
      <c r="CE559" s="1207"/>
      <c r="CF559" s="1207"/>
    </row>
    <row r="560" spans="1:84" ht="60" x14ac:dyDescent="0.2">
      <c r="A560" s="1355">
        <v>2022543</v>
      </c>
      <c r="B560" s="1172" t="s">
        <v>459</v>
      </c>
      <c r="C560" s="1356"/>
      <c r="D560" s="1190" t="s">
        <v>691</v>
      </c>
      <c r="E560" s="1174" t="s">
        <v>1173</v>
      </c>
      <c r="F560" s="1389" t="s">
        <v>1175</v>
      </c>
      <c r="G560" s="1390">
        <v>44621</v>
      </c>
      <c r="H560" s="1390">
        <v>44651</v>
      </c>
      <c r="I560" s="1176">
        <v>6</v>
      </c>
      <c r="J560" s="1176" t="s">
        <v>701</v>
      </c>
      <c r="K560" s="1177" t="s">
        <v>676</v>
      </c>
      <c r="L560" s="1178"/>
      <c r="M560" s="1179">
        <v>6799000</v>
      </c>
      <c r="N560" s="1386"/>
      <c r="O560" s="1174"/>
      <c r="P560" s="1163" t="s">
        <v>680</v>
      </c>
      <c r="Q560" s="1163"/>
      <c r="R560" s="1357"/>
      <c r="S560" s="1357"/>
      <c r="T560" s="1357">
        <f>+Tabla16[[#This Row],[CDPS A 31 JULIO 2022]]-Tabla16[[#This Row],[CDP]]</f>
        <v>0</v>
      </c>
      <c r="U560" s="1357"/>
      <c r="V560" s="1357"/>
      <c r="W560" s="1357"/>
      <c r="X560" s="1207"/>
      <c r="Y560" s="1207"/>
      <c r="Z560" s="1207"/>
      <c r="AA560" s="1207"/>
      <c r="AB560" s="1207"/>
      <c r="AC560" s="1207"/>
      <c r="AD560" s="1207"/>
      <c r="AE560" s="1207"/>
      <c r="AF560" s="1207"/>
      <c r="AG560" s="1207"/>
      <c r="AH560" s="1207"/>
      <c r="AI560" s="1207"/>
      <c r="AJ560" s="1207"/>
      <c r="AK560" s="1207"/>
      <c r="AL560" s="1207"/>
      <c r="AM560" s="1207"/>
      <c r="AN560" s="1207"/>
      <c r="AO560" s="1207"/>
      <c r="AP560" s="1207"/>
      <c r="AQ560" s="1207"/>
      <c r="AR560" s="1207"/>
      <c r="AS560" s="1207"/>
      <c r="AT560" s="1207"/>
      <c r="AU560" s="1207"/>
      <c r="AV560" s="1207"/>
      <c r="AW560" s="1207"/>
      <c r="AX560" s="1207"/>
      <c r="AY560" s="1207"/>
      <c r="AZ560" s="1207"/>
      <c r="BA560" s="1207"/>
      <c r="BB560" s="1207"/>
      <c r="BC560" s="1207"/>
      <c r="BD560" s="1207"/>
      <c r="BE560" s="1207"/>
      <c r="BF560" s="1207"/>
      <c r="BG560" s="1207"/>
      <c r="BH560" s="1207"/>
      <c r="BI560" s="1207"/>
      <c r="BJ560" s="1207"/>
      <c r="BK560" s="1207"/>
      <c r="BL560" s="1207"/>
      <c r="BM560" s="1207"/>
      <c r="BN560" s="1207"/>
      <c r="BO560" s="1207"/>
      <c r="BP560" s="1207"/>
      <c r="BQ560" s="1207"/>
      <c r="BR560" s="1207"/>
      <c r="BS560" s="1207"/>
      <c r="BT560" s="1207"/>
      <c r="BU560" s="1207"/>
      <c r="BV560" s="1207"/>
      <c r="BW560" s="1207"/>
      <c r="BX560" s="1207"/>
      <c r="BY560" s="1207"/>
      <c r="BZ560" s="1207"/>
      <c r="CA560" s="1207"/>
      <c r="CB560" s="1207"/>
      <c r="CC560" s="1207"/>
      <c r="CD560" s="1207"/>
      <c r="CE560" s="1207"/>
      <c r="CF560" s="1207"/>
    </row>
    <row r="561" spans="1:84" ht="60" x14ac:dyDescent="0.2">
      <c r="A561" s="1355">
        <v>2022545</v>
      </c>
      <c r="B561" s="1172" t="s">
        <v>459</v>
      </c>
      <c r="C561" s="1356"/>
      <c r="D561" s="1190" t="s">
        <v>691</v>
      </c>
      <c r="E561" s="1174" t="s">
        <v>1173</v>
      </c>
      <c r="F561" s="1389" t="s">
        <v>1176</v>
      </c>
      <c r="G561" s="1390">
        <v>44562</v>
      </c>
      <c r="H561" s="1390">
        <v>44592</v>
      </c>
      <c r="I561" s="1176">
        <v>11</v>
      </c>
      <c r="J561" s="1176" t="s">
        <v>722</v>
      </c>
      <c r="K561" s="1177" t="s">
        <v>676</v>
      </c>
      <c r="L561" s="1178"/>
      <c r="M561" s="1179">
        <v>87000000</v>
      </c>
      <c r="N561" s="1386"/>
      <c r="O561" s="1174"/>
      <c r="P561" s="1163" t="s">
        <v>680</v>
      </c>
      <c r="Q561" s="1163"/>
      <c r="R561" s="1357"/>
      <c r="S561" s="1357"/>
      <c r="T561" s="1357">
        <f>+Tabla16[[#This Row],[CDPS A 31 JULIO 2022]]-Tabla16[[#This Row],[CDP]]</f>
        <v>0</v>
      </c>
      <c r="U561" s="1357"/>
      <c r="V561" s="1357"/>
      <c r="W561" s="1357"/>
      <c r="X561" s="1207"/>
      <c r="Y561" s="1207"/>
      <c r="Z561" s="1207"/>
      <c r="AA561" s="1207"/>
      <c r="AB561" s="1207"/>
      <c r="AC561" s="1207"/>
      <c r="AD561" s="1207"/>
      <c r="AE561" s="1207"/>
      <c r="AF561" s="1207"/>
      <c r="AG561" s="1207"/>
      <c r="AH561" s="1207"/>
      <c r="AI561" s="1207"/>
      <c r="AJ561" s="1207"/>
      <c r="AK561" s="1207"/>
      <c r="AL561" s="1207"/>
      <c r="AM561" s="1207"/>
      <c r="AN561" s="1207"/>
      <c r="AO561" s="1207"/>
      <c r="AP561" s="1207"/>
      <c r="AQ561" s="1207"/>
      <c r="AR561" s="1207"/>
      <c r="AS561" s="1207"/>
      <c r="AT561" s="1207"/>
      <c r="AU561" s="1207"/>
      <c r="AV561" s="1207"/>
      <c r="AW561" s="1207"/>
      <c r="AX561" s="1207"/>
      <c r="AY561" s="1207"/>
      <c r="AZ561" s="1207"/>
      <c r="BA561" s="1207"/>
      <c r="BB561" s="1207"/>
      <c r="BC561" s="1207"/>
      <c r="BD561" s="1207"/>
      <c r="BE561" s="1207"/>
      <c r="BF561" s="1207"/>
      <c r="BG561" s="1207"/>
      <c r="BH561" s="1207"/>
      <c r="BI561" s="1207"/>
      <c r="BJ561" s="1207"/>
      <c r="BK561" s="1207"/>
      <c r="BL561" s="1207"/>
      <c r="BM561" s="1207"/>
      <c r="BN561" s="1207"/>
      <c r="BO561" s="1207"/>
      <c r="BP561" s="1207"/>
      <c r="BQ561" s="1207"/>
      <c r="BR561" s="1207"/>
      <c r="BS561" s="1207"/>
      <c r="BT561" s="1207"/>
      <c r="BU561" s="1207"/>
      <c r="BV561" s="1207"/>
      <c r="BW561" s="1207"/>
      <c r="BX561" s="1207"/>
      <c r="BY561" s="1207"/>
      <c r="BZ561" s="1207"/>
      <c r="CA561" s="1207"/>
      <c r="CB561" s="1207"/>
      <c r="CC561" s="1207"/>
      <c r="CD561" s="1207"/>
      <c r="CE561" s="1207"/>
      <c r="CF561" s="1207"/>
    </row>
    <row r="562" spans="1:84" ht="60" x14ac:dyDescent="0.2">
      <c r="A562" s="1355">
        <v>2022546</v>
      </c>
      <c r="B562" s="1172" t="s">
        <v>459</v>
      </c>
      <c r="C562" s="1356"/>
      <c r="D562" s="1190" t="s">
        <v>691</v>
      </c>
      <c r="E562" s="1174" t="s">
        <v>1173</v>
      </c>
      <c r="F562" s="1389" t="s">
        <v>1174</v>
      </c>
      <c r="G562" s="1390">
        <v>44562</v>
      </c>
      <c r="H562" s="1390">
        <v>44592</v>
      </c>
      <c r="I562" s="1176">
        <v>3</v>
      </c>
      <c r="J562" s="1176" t="s">
        <v>701</v>
      </c>
      <c r="K562" s="1177" t="s">
        <v>676</v>
      </c>
      <c r="L562" s="1178"/>
      <c r="M562" s="1179">
        <v>5600000</v>
      </c>
      <c r="N562" s="1386"/>
      <c r="O562" s="1174"/>
      <c r="P562" s="1163" t="s">
        <v>750</v>
      </c>
      <c r="Q562" s="1163"/>
      <c r="R562" s="1357"/>
      <c r="S562" s="1357"/>
      <c r="T562" s="1357">
        <f>+Tabla16[[#This Row],[CDPS A 31 JULIO 2022]]-Tabla16[[#This Row],[CDP]]</f>
        <v>0</v>
      </c>
      <c r="U562" s="1357"/>
      <c r="V562" s="1357"/>
      <c r="W562" s="1357"/>
      <c r="X562" s="1207"/>
      <c r="Y562" s="1207"/>
      <c r="Z562" s="1207"/>
      <c r="AA562" s="1207"/>
      <c r="AB562" s="1207"/>
      <c r="AC562" s="1207"/>
      <c r="AD562" s="1207"/>
      <c r="AE562" s="1207"/>
      <c r="AF562" s="1207"/>
      <c r="AG562" s="1207"/>
      <c r="AH562" s="1207"/>
      <c r="AI562" s="1207"/>
      <c r="AJ562" s="1207"/>
      <c r="AK562" s="1207"/>
      <c r="AL562" s="1207"/>
      <c r="AM562" s="1207"/>
      <c r="AN562" s="1207"/>
      <c r="AO562" s="1207"/>
      <c r="AP562" s="1207"/>
      <c r="AQ562" s="1207"/>
      <c r="AR562" s="1207"/>
      <c r="AS562" s="1207"/>
      <c r="AT562" s="1207"/>
      <c r="AU562" s="1207"/>
      <c r="AV562" s="1207"/>
      <c r="AW562" s="1207"/>
      <c r="AX562" s="1207"/>
      <c r="AY562" s="1207"/>
      <c r="AZ562" s="1207"/>
      <c r="BA562" s="1207"/>
      <c r="BB562" s="1207"/>
      <c r="BC562" s="1207"/>
      <c r="BD562" s="1207"/>
      <c r="BE562" s="1207"/>
      <c r="BF562" s="1207"/>
      <c r="BG562" s="1207"/>
      <c r="BH562" s="1207"/>
      <c r="BI562" s="1207"/>
      <c r="BJ562" s="1207"/>
      <c r="BK562" s="1207"/>
      <c r="BL562" s="1207"/>
      <c r="BM562" s="1207"/>
      <c r="BN562" s="1207"/>
      <c r="BO562" s="1207"/>
      <c r="BP562" s="1207"/>
      <c r="BQ562" s="1207"/>
      <c r="BR562" s="1207"/>
      <c r="BS562" s="1207"/>
      <c r="BT562" s="1207"/>
      <c r="BU562" s="1207"/>
      <c r="BV562" s="1207"/>
      <c r="BW562" s="1207"/>
      <c r="BX562" s="1207"/>
      <c r="BY562" s="1207"/>
      <c r="BZ562" s="1207"/>
      <c r="CA562" s="1207"/>
      <c r="CB562" s="1207"/>
      <c r="CC562" s="1207"/>
      <c r="CD562" s="1207"/>
      <c r="CE562" s="1207"/>
      <c r="CF562" s="1207"/>
    </row>
    <row r="563" spans="1:84" ht="60" x14ac:dyDescent="0.2">
      <c r="A563" s="1355">
        <v>2022547</v>
      </c>
      <c r="B563" s="1172" t="s">
        <v>459</v>
      </c>
      <c r="C563" s="1356"/>
      <c r="D563" s="1190" t="s">
        <v>691</v>
      </c>
      <c r="E563" s="1174" t="s">
        <v>1173</v>
      </c>
      <c r="F563" s="1389" t="s">
        <v>1177</v>
      </c>
      <c r="G563" s="1390">
        <v>44621</v>
      </c>
      <c r="H563" s="1390">
        <v>44651</v>
      </c>
      <c r="I563" s="1176">
        <v>6</v>
      </c>
      <c r="J563" s="1176" t="s">
        <v>701</v>
      </c>
      <c r="K563" s="1177" t="s">
        <v>676</v>
      </c>
      <c r="L563" s="1178"/>
      <c r="M563" s="1179">
        <v>28400000</v>
      </c>
      <c r="N563" s="1386"/>
      <c r="O563" s="1174"/>
      <c r="P563" s="1163" t="s">
        <v>680</v>
      </c>
      <c r="Q563" s="1163"/>
      <c r="R563" s="1357"/>
      <c r="S563" s="1357"/>
      <c r="T563" s="1357">
        <f>+Tabla16[[#This Row],[CDPS A 31 JULIO 2022]]-Tabla16[[#This Row],[CDP]]</f>
        <v>0</v>
      </c>
      <c r="U563" s="1357"/>
      <c r="V563" s="1357"/>
      <c r="W563" s="1357"/>
      <c r="X563" s="1207"/>
      <c r="Y563" s="1207"/>
      <c r="Z563" s="1207"/>
      <c r="AA563" s="1207"/>
      <c r="AB563" s="1207"/>
      <c r="AC563" s="1207"/>
      <c r="AD563" s="1207"/>
      <c r="AE563" s="1207"/>
      <c r="AF563" s="1207"/>
      <c r="AG563" s="1207"/>
      <c r="AH563" s="1207"/>
      <c r="AI563" s="1207"/>
      <c r="AJ563" s="1207"/>
      <c r="AK563" s="1207"/>
      <c r="AL563" s="1207"/>
      <c r="AM563" s="1207"/>
      <c r="AN563" s="1207"/>
      <c r="AO563" s="1207"/>
      <c r="AP563" s="1207"/>
      <c r="AQ563" s="1207"/>
      <c r="AR563" s="1207"/>
      <c r="AS563" s="1207"/>
      <c r="AT563" s="1207"/>
      <c r="AU563" s="1207"/>
      <c r="AV563" s="1207"/>
      <c r="AW563" s="1207"/>
      <c r="AX563" s="1207"/>
      <c r="AY563" s="1207"/>
      <c r="AZ563" s="1207"/>
      <c r="BA563" s="1207"/>
      <c r="BB563" s="1207"/>
      <c r="BC563" s="1207"/>
      <c r="BD563" s="1207"/>
      <c r="BE563" s="1207"/>
      <c r="BF563" s="1207"/>
      <c r="BG563" s="1207"/>
      <c r="BH563" s="1207"/>
      <c r="BI563" s="1207"/>
      <c r="BJ563" s="1207"/>
      <c r="BK563" s="1207"/>
      <c r="BL563" s="1207"/>
      <c r="BM563" s="1207"/>
      <c r="BN563" s="1207"/>
      <c r="BO563" s="1207"/>
      <c r="BP563" s="1207"/>
      <c r="BQ563" s="1207"/>
      <c r="BR563" s="1207"/>
      <c r="BS563" s="1207"/>
      <c r="BT563" s="1207"/>
      <c r="BU563" s="1207"/>
      <c r="BV563" s="1207"/>
      <c r="BW563" s="1207"/>
      <c r="BX563" s="1207"/>
      <c r="BY563" s="1207"/>
      <c r="BZ563" s="1207"/>
      <c r="CA563" s="1207"/>
      <c r="CB563" s="1207"/>
      <c r="CC563" s="1207"/>
      <c r="CD563" s="1207"/>
      <c r="CE563" s="1207"/>
      <c r="CF563" s="1207"/>
    </row>
    <row r="564" spans="1:84" ht="120" x14ac:dyDescent="0.2">
      <c r="A564" s="1355">
        <v>2022548</v>
      </c>
      <c r="B564" s="1172" t="s">
        <v>459</v>
      </c>
      <c r="C564" s="1356"/>
      <c r="D564" s="1190" t="s">
        <v>691</v>
      </c>
      <c r="E564" s="1174" t="s">
        <v>1178</v>
      </c>
      <c r="F564" s="1389" t="s">
        <v>1179</v>
      </c>
      <c r="G564" s="1390">
        <v>44562</v>
      </c>
      <c r="H564" s="1390">
        <v>44592</v>
      </c>
      <c r="I564" s="1176">
        <v>11</v>
      </c>
      <c r="J564" s="1176" t="s">
        <v>722</v>
      </c>
      <c r="K564" s="1177" t="s">
        <v>676</v>
      </c>
      <c r="L564" s="1178"/>
      <c r="M564" s="1179">
        <f>100000000-20000000-15000000</f>
        <v>65000000</v>
      </c>
      <c r="N564" s="1386"/>
      <c r="O564" s="1174"/>
      <c r="P564" s="1207" t="s">
        <v>680</v>
      </c>
      <c r="Q564" s="1163"/>
      <c r="R564" s="1357"/>
      <c r="S564" s="1357"/>
      <c r="T564" s="1357">
        <f>+Tabla16[[#This Row],[CDPS A 31 JULIO 2022]]-Tabla16[[#This Row],[CDP]]</f>
        <v>0</v>
      </c>
      <c r="U564" s="1357"/>
      <c r="V564" s="1357"/>
      <c r="W564" s="1357"/>
      <c r="X564" s="1207"/>
      <c r="Y564" s="1207"/>
      <c r="Z564" s="1207"/>
      <c r="AA564" s="1207"/>
      <c r="AB564" s="1207"/>
      <c r="AC564" s="1207"/>
      <c r="AD564" s="1207"/>
      <c r="AE564" s="1207"/>
      <c r="AF564" s="1207"/>
      <c r="AG564" s="1207"/>
      <c r="AH564" s="1207"/>
      <c r="AI564" s="1207"/>
      <c r="AJ564" s="1207"/>
      <c r="AK564" s="1207"/>
      <c r="AL564" s="1207"/>
      <c r="AM564" s="1207"/>
      <c r="AN564" s="1207"/>
      <c r="AO564" s="1207"/>
      <c r="AP564" s="1207"/>
      <c r="AQ564" s="1207"/>
      <c r="AR564" s="1207"/>
      <c r="AS564" s="1207"/>
      <c r="AT564" s="1207"/>
      <c r="AU564" s="1207"/>
      <c r="AV564" s="1207"/>
      <c r="AW564" s="1207"/>
      <c r="AX564" s="1207"/>
      <c r="AY564" s="1207"/>
      <c r="AZ564" s="1207"/>
      <c r="BA564" s="1207"/>
      <c r="BB564" s="1207"/>
      <c r="BC564" s="1207"/>
      <c r="BD564" s="1207"/>
      <c r="BE564" s="1207"/>
      <c r="BF564" s="1207"/>
      <c r="BG564" s="1207"/>
      <c r="BH564" s="1207"/>
      <c r="BI564" s="1207"/>
      <c r="BJ564" s="1207"/>
      <c r="BK564" s="1207"/>
      <c r="BL564" s="1207"/>
      <c r="BM564" s="1207"/>
      <c r="BN564" s="1207"/>
      <c r="BO564" s="1207"/>
      <c r="BP564" s="1207"/>
      <c r="BQ564" s="1207"/>
      <c r="BR564" s="1207"/>
      <c r="BS564" s="1207"/>
      <c r="BT564" s="1207"/>
      <c r="BU564" s="1207"/>
      <c r="BV564" s="1207"/>
      <c r="BW564" s="1207"/>
      <c r="BX564" s="1207"/>
      <c r="BY564" s="1207"/>
      <c r="BZ564" s="1207"/>
      <c r="CA564" s="1207"/>
      <c r="CB564" s="1207"/>
      <c r="CC564" s="1207"/>
      <c r="CD564" s="1207"/>
      <c r="CE564" s="1207"/>
      <c r="CF564" s="1207"/>
    </row>
    <row r="565" spans="1:84" ht="120" x14ac:dyDescent="0.2">
      <c r="A565" s="1355">
        <v>2022549</v>
      </c>
      <c r="B565" s="1172" t="s">
        <v>459</v>
      </c>
      <c r="C565" s="1356"/>
      <c r="D565" s="1190" t="s">
        <v>691</v>
      </c>
      <c r="E565" s="1174" t="s">
        <v>1178</v>
      </c>
      <c r="F565" s="1389" t="s">
        <v>1180</v>
      </c>
      <c r="G565" s="1390">
        <v>44621</v>
      </c>
      <c r="H565" s="1390">
        <v>44651</v>
      </c>
      <c r="I565" s="1176">
        <v>6</v>
      </c>
      <c r="J565" s="1176" t="s">
        <v>701</v>
      </c>
      <c r="K565" s="1177" t="s">
        <v>676</v>
      </c>
      <c r="L565" s="1178"/>
      <c r="M565" s="1179">
        <f>10000000+20000000</f>
        <v>30000000</v>
      </c>
      <c r="N565" s="1386"/>
      <c r="O565" s="1174"/>
      <c r="P565" s="1207" t="s">
        <v>680</v>
      </c>
      <c r="Q565" s="1163"/>
      <c r="R565" s="1357"/>
      <c r="S565" s="1357"/>
      <c r="T565" s="1357">
        <f>+Tabla16[[#This Row],[CDPS A 31 JULIO 2022]]-Tabla16[[#This Row],[CDP]]</f>
        <v>0</v>
      </c>
      <c r="U565" s="1357"/>
      <c r="V565" s="1357"/>
      <c r="W565" s="1357"/>
      <c r="X565" s="1207"/>
      <c r="Y565" s="1207"/>
      <c r="Z565" s="1207"/>
      <c r="AA565" s="1207"/>
      <c r="AB565" s="1207"/>
      <c r="AC565" s="1207"/>
      <c r="AD565" s="1207"/>
      <c r="AE565" s="1207"/>
      <c r="AF565" s="1207"/>
      <c r="AG565" s="1207"/>
      <c r="AH565" s="1207"/>
      <c r="AI565" s="1207"/>
      <c r="AJ565" s="1207"/>
      <c r="AK565" s="1207"/>
      <c r="AL565" s="1207"/>
      <c r="AM565" s="1207"/>
      <c r="AN565" s="1207"/>
      <c r="AO565" s="1207"/>
      <c r="AP565" s="1207"/>
      <c r="AQ565" s="1207"/>
      <c r="AR565" s="1207"/>
      <c r="AS565" s="1207"/>
      <c r="AT565" s="1207"/>
      <c r="AU565" s="1207"/>
      <c r="AV565" s="1207"/>
      <c r="AW565" s="1207"/>
      <c r="AX565" s="1207"/>
      <c r="AY565" s="1207"/>
      <c r="AZ565" s="1207"/>
      <c r="BA565" s="1207"/>
      <c r="BB565" s="1207"/>
      <c r="BC565" s="1207"/>
      <c r="BD565" s="1207"/>
      <c r="BE565" s="1207"/>
      <c r="BF565" s="1207"/>
      <c r="BG565" s="1207"/>
      <c r="BH565" s="1207"/>
      <c r="BI565" s="1207"/>
      <c r="BJ565" s="1207"/>
      <c r="BK565" s="1207"/>
      <c r="BL565" s="1207"/>
      <c r="BM565" s="1207"/>
      <c r="BN565" s="1207"/>
      <c r="BO565" s="1207"/>
      <c r="BP565" s="1207"/>
      <c r="BQ565" s="1207"/>
      <c r="BR565" s="1207"/>
      <c r="BS565" s="1207"/>
      <c r="BT565" s="1207"/>
      <c r="BU565" s="1207"/>
      <c r="BV565" s="1207"/>
      <c r="BW565" s="1207"/>
      <c r="BX565" s="1207"/>
      <c r="BY565" s="1207"/>
      <c r="BZ565" s="1207"/>
      <c r="CA565" s="1207"/>
      <c r="CB565" s="1207"/>
      <c r="CC565" s="1207"/>
      <c r="CD565" s="1207"/>
      <c r="CE565" s="1207"/>
      <c r="CF565" s="1207"/>
    </row>
    <row r="566" spans="1:84" ht="60" x14ac:dyDescent="0.2">
      <c r="A566" s="1355">
        <v>2022550</v>
      </c>
      <c r="B566" s="1172" t="s">
        <v>459</v>
      </c>
      <c r="C566" s="1356"/>
      <c r="D566" s="1190" t="s">
        <v>691</v>
      </c>
      <c r="E566" s="1174" t="s">
        <v>1173</v>
      </c>
      <c r="F566" s="1389" t="s">
        <v>991</v>
      </c>
      <c r="G566" s="1390">
        <v>44562</v>
      </c>
      <c r="H566" s="1390">
        <v>44592</v>
      </c>
      <c r="I566" s="1176">
        <v>11</v>
      </c>
      <c r="J566" s="1176" t="s">
        <v>722</v>
      </c>
      <c r="K566" s="1177" t="s">
        <v>676</v>
      </c>
      <c r="L566" s="1178"/>
      <c r="M566" s="1179">
        <v>42542000</v>
      </c>
      <c r="N566" s="1386"/>
      <c r="O566" s="1174"/>
      <c r="P566" s="1207" t="s">
        <v>680</v>
      </c>
      <c r="Q566" s="1163"/>
      <c r="R566" s="1357"/>
      <c r="S566" s="1357"/>
      <c r="T566" s="1357">
        <f>+Tabla16[[#This Row],[CDPS A 31 JULIO 2022]]-Tabla16[[#This Row],[CDP]]</f>
        <v>0</v>
      </c>
      <c r="U566" s="1357"/>
      <c r="V566" s="1357"/>
      <c r="W566" s="1357"/>
      <c r="X566" s="1207"/>
      <c r="Y566" s="1207"/>
      <c r="Z566" s="1207"/>
      <c r="AA566" s="1207"/>
      <c r="AB566" s="1207"/>
      <c r="AC566" s="1207"/>
      <c r="AD566" s="1207"/>
      <c r="AE566" s="1207"/>
      <c r="AF566" s="1207"/>
      <c r="AG566" s="1207"/>
      <c r="AH566" s="1207"/>
      <c r="AI566" s="1207"/>
      <c r="AJ566" s="1207"/>
      <c r="AK566" s="1207"/>
      <c r="AL566" s="1207"/>
      <c r="AM566" s="1207"/>
      <c r="AN566" s="1207"/>
      <c r="AO566" s="1207"/>
      <c r="AP566" s="1207"/>
      <c r="AQ566" s="1207"/>
      <c r="AR566" s="1207"/>
      <c r="AS566" s="1207"/>
      <c r="AT566" s="1207"/>
      <c r="AU566" s="1207"/>
      <c r="AV566" s="1207"/>
      <c r="AW566" s="1207"/>
      <c r="AX566" s="1207"/>
      <c r="AY566" s="1207"/>
      <c r="AZ566" s="1207"/>
      <c r="BA566" s="1207"/>
      <c r="BB566" s="1207"/>
      <c r="BC566" s="1207"/>
      <c r="BD566" s="1207"/>
      <c r="BE566" s="1207"/>
      <c r="BF566" s="1207"/>
      <c r="BG566" s="1207"/>
      <c r="BH566" s="1207"/>
      <c r="BI566" s="1207"/>
      <c r="BJ566" s="1207"/>
      <c r="BK566" s="1207"/>
      <c r="BL566" s="1207"/>
      <c r="BM566" s="1207"/>
      <c r="BN566" s="1207"/>
      <c r="BO566" s="1207"/>
      <c r="BP566" s="1207"/>
      <c r="BQ566" s="1207"/>
      <c r="BR566" s="1207"/>
      <c r="BS566" s="1207"/>
      <c r="BT566" s="1207"/>
      <c r="BU566" s="1207"/>
      <c r="BV566" s="1207"/>
      <c r="BW566" s="1207"/>
      <c r="BX566" s="1207"/>
      <c r="BY566" s="1207"/>
      <c r="BZ566" s="1207"/>
      <c r="CA566" s="1207"/>
      <c r="CB566" s="1207"/>
      <c r="CC566" s="1207"/>
      <c r="CD566" s="1207"/>
      <c r="CE566" s="1207"/>
      <c r="CF566" s="1207"/>
    </row>
    <row r="567" spans="1:84" ht="60" x14ac:dyDescent="0.2">
      <c r="A567" s="1355">
        <v>2022551</v>
      </c>
      <c r="B567" s="1172" t="s">
        <v>459</v>
      </c>
      <c r="C567" s="1356"/>
      <c r="D567" s="1190" t="s">
        <v>691</v>
      </c>
      <c r="E567" s="1174" t="s">
        <v>1173</v>
      </c>
      <c r="F567" s="1389" t="s">
        <v>989</v>
      </c>
      <c r="G567" s="1390">
        <v>44562</v>
      </c>
      <c r="H567" s="1390">
        <v>44592</v>
      </c>
      <c r="I567" s="1176">
        <v>1</v>
      </c>
      <c r="J567" s="1176" t="s">
        <v>722</v>
      </c>
      <c r="K567" s="1177" t="s">
        <v>676</v>
      </c>
      <c r="L567" s="1178"/>
      <c r="M567" s="1179">
        <v>2345000</v>
      </c>
      <c r="N567" s="1386"/>
      <c r="O567" s="1174"/>
      <c r="P567" s="1207" t="s">
        <v>759</v>
      </c>
      <c r="Q567" s="1163"/>
      <c r="R567" s="1357"/>
      <c r="S567" s="1357"/>
      <c r="T567" s="1357">
        <f>+Tabla16[[#This Row],[CDPS A 31 JULIO 2022]]-Tabla16[[#This Row],[CDP]]</f>
        <v>0</v>
      </c>
      <c r="U567" s="1357"/>
      <c r="V567" s="1357"/>
      <c r="W567" s="1357"/>
      <c r="X567" s="1207"/>
      <c r="Y567" s="1207"/>
      <c r="Z567" s="1207"/>
      <c r="AA567" s="1207"/>
      <c r="AB567" s="1207"/>
      <c r="AC567" s="1207"/>
      <c r="AD567" s="1207"/>
      <c r="AE567" s="1207"/>
      <c r="AF567" s="1207"/>
      <c r="AG567" s="1207"/>
      <c r="AH567" s="1207"/>
      <c r="AI567" s="1207"/>
      <c r="AJ567" s="1207"/>
      <c r="AK567" s="1207"/>
      <c r="AL567" s="1207"/>
      <c r="AM567" s="1207"/>
      <c r="AN567" s="1207"/>
      <c r="AO567" s="1207"/>
      <c r="AP567" s="1207"/>
      <c r="AQ567" s="1207"/>
      <c r="AR567" s="1207"/>
      <c r="AS567" s="1207"/>
      <c r="AT567" s="1207"/>
      <c r="AU567" s="1207"/>
      <c r="AV567" s="1207"/>
      <c r="AW567" s="1207"/>
      <c r="AX567" s="1207"/>
      <c r="AY567" s="1207"/>
      <c r="AZ567" s="1207"/>
      <c r="BA567" s="1207"/>
      <c r="BB567" s="1207"/>
      <c r="BC567" s="1207"/>
      <c r="BD567" s="1207"/>
      <c r="BE567" s="1207"/>
      <c r="BF567" s="1207"/>
      <c r="BG567" s="1207"/>
      <c r="BH567" s="1207"/>
      <c r="BI567" s="1207"/>
      <c r="BJ567" s="1207"/>
      <c r="BK567" s="1207"/>
      <c r="BL567" s="1207"/>
      <c r="BM567" s="1207"/>
      <c r="BN567" s="1207"/>
      <c r="BO567" s="1207"/>
      <c r="BP567" s="1207"/>
      <c r="BQ567" s="1207"/>
      <c r="BR567" s="1207"/>
      <c r="BS567" s="1207"/>
      <c r="BT567" s="1207"/>
      <c r="BU567" s="1207"/>
      <c r="BV567" s="1207"/>
      <c r="BW567" s="1207"/>
      <c r="BX567" s="1207"/>
      <c r="BY567" s="1207"/>
      <c r="BZ567" s="1207"/>
      <c r="CA567" s="1207"/>
      <c r="CB567" s="1207"/>
      <c r="CC567" s="1207"/>
      <c r="CD567" s="1207"/>
      <c r="CE567" s="1207"/>
      <c r="CF567" s="1207"/>
    </row>
    <row r="568" spans="1:84" ht="60" x14ac:dyDescent="0.2">
      <c r="A568" s="1355">
        <v>2022552</v>
      </c>
      <c r="B568" s="1172" t="s">
        <v>459</v>
      </c>
      <c r="C568" s="1356"/>
      <c r="D568" s="1190" t="s">
        <v>691</v>
      </c>
      <c r="E568" s="1174" t="s">
        <v>1173</v>
      </c>
      <c r="F568" s="1389" t="s">
        <v>989</v>
      </c>
      <c r="G568" s="1390">
        <v>44562</v>
      </c>
      <c r="H568" s="1390">
        <v>44592</v>
      </c>
      <c r="I568" s="1176">
        <v>1</v>
      </c>
      <c r="J568" s="1176" t="s">
        <v>722</v>
      </c>
      <c r="K568" s="1177" t="s">
        <v>676</v>
      </c>
      <c r="L568" s="1178"/>
      <c r="M568" s="1179">
        <v>1450000</v>
      </c>
      <c r="N568" s="1386"/>
      <c r="O568" s="1174"/>
      <c r="P568" s="1207" t="s">
        <v>759</v>
      </c>
      <c r="Q568" s="1163"/>
      <c r="R568" s="1357"/>
      <c r="S568" s="1357"/>
      <c r="T568" s="1357">
        <f>+Tabla16[[#This Row],[CDPS A 31 JULIO 2022]]-Tabla16[[#This Row],[CDP]]</f>
        <v>0</v>
      </c>
      <c r="U568" s="1357"/>
      <c r="V568" s="1357"/>
      <c r="W568" s="1357"/>
      <c r="X568" s="1207"/>
      <c r="Y568" s="1207"/>
      <c r="Z568" s="1207"/>
      <c r="AA568" s="1207"/>
      <c r="AB568" s="1207"/>
      <c r="AC568" s="1207"/>
      <c r="AD568" s="1207"/>
      <c r="AE568" s="1207"/>
      <c r="AF568" s="1207"/>
      <c r="AG568" s="1207"/>
      <c r="AH568" s="1207"/>
      <c r="AI568" s="1207"/>
      <c r="AJ568" s="1207"/>
      <c r="AK568" s="1207"/>
      <c r="AL568" s="1207"/>
      <c r="AM568" s="1207"/>
      <c r="AN568" s="1207"/>
      <c r="AO568" s="1207"/>
      <c r="AP568" s="1207"/>
      <c r="AQ568" s="1207"/>
      <c r="AR568" s="1207"/>
      <c r="AS568" s="1207"/>
      <c r="AT568" s="1207"/>
      <c r="AU568" s="1207"/>
      <c r="AV568" s="1207"/>
      <c r="AW568" s="1207"/>
      <c r="AX568" s="1207"/>
      <c r="AY568" s="1207"/>
      <c r="AZ568" s="1207"/>
      <c r="BA568" s="1207"/>
      <c r="BB568" s="1207"/>
      <c r="BC568" s="1207"/>
      <c r="BD568" s="1207"/>
      <c r="BE568" s="1207"/>
      <c r="BF568" s="1207"/>
      <c r="BG568" s="1207"/>
      <c r="BH568" s="1207"/>
      <c r="BI568" s="1207"/>
      <c r="BJ568" s="1207"/>
      <c r="BK568" s="1207"/>
      <c r="BL568" s="1207"/>
      <c r="BM568" s="1207"/>
      <c r="BN568" s="1207"/>
      <c r="BO568" s="1207"/>
      <c r="BP568" s="1207"/>
      <c r="BQ568" s="1207"/>
      <c r="BR568" s="1207"/>
      <c r="BS568" s="1207"/>
      <c r="BT568" s="1207"/>
      <c r="BU568" s="1207"/>
      <c r="BV568" s="1207"/>
      <c r="BW568" s="1207"/>
      <c r="BX568" s="1207"/>
      <c r="BY568" s="1207"/>
      <c r="BZ568" s="1207"/>
      <c r="CA568" s="1207"/>
      <c r="CB568" s="1207"/>
      <c r="CC568" s="1207"/>
      <c r="CD568" s="1207"/>
      <c r="CE568" s="1207"/>
      <c r="CF568" s="1207"/>
    </row>
    <row r="569" spans="1:84" ht="60" x14ac:dyDescent="0.2">
      <c r="A569" s="1355">
        <v>2022553</v>
      </c>
      <c r="B569" s="1172" t="s">
        <v>459</v>
      </c>
      <c r="C569" s="1356"/>
      <c r="D569" s="1190" t="s">
        <v>691</v>
      </c>
      <c r="E569" s="1174" t="s">
        <v>1173</v>
      </c>
      <c r="F569" s="1389" t="s">
        <v>991</v>
      </c>
      <c r="G569" s="1390">
        <v>44562</v>
      </c>
      <c r="H569" s="1390">
        <v>44592</v>
      </c>
      <c r="I569" s="1176">
        <v>11</v>
      </c>
      <c r="J569" s="1176" t="s">
        <v>722</v>
      </c>
      <c r="K569" s="1177" t="s">
        <v>676</v>
      </c>
      <c r="L569" s="1178"/>
      <c r="M569" s="1179">
        <v>11550000</v>
      </c>
      <c r="N569" s="1386"/>
      <c r="O569" s="1174"/>
      <c r="P569" s="1207" t="s">
        <v>680</v>
      </c>
      <c r="Q569" s="1163"/>
      <c r="R569" s="1357"/>
      <c r="S569" s="1357"/>
      <c r="T569" s="1357">
        <f>+Tabla16[[#This Row],[CDPS A 31 JULIO 2022]]-Tabla16[[#This Row],[CDP]]</f>
        <v>0</v>
      </c>
      <c r="U569" s="1357"/>
      <c r="V569" s="1357"/>
      <c r="W569" s="1357"/>
      <c r="X569" s="1207"/>
      <c r="Y569" s="1207"/>
      <c r="Z569" s="1207"/>
      <c r="AA569" s="1207"/>
      <c r="AB569" s="1207"/>
      <c r="AC569" s="1207"/>
      <c r="AD569" s="1207"/>
      <c r="AE569" s="1207"/>
      <c r="AF569" s="1207"/>
      <c r="AG569" s="1207"/>
      <c r="AH569" s="1207"/>
      <c r="AI569" s="1207"/>
      <c r="AJ569" s="1207"/>
      <c r="AK569" s="1207"/>
      <c r="AL569" s="1207"/>
      <c r="AM569" s="1207"/>
      <c r="AN569" s="1207"/>
      <c r="AO569" s="1207"/>
      <c r="AP569" s="1207"/>
      <c r="AQ569" s="1207"/>
      <c r="AR569" s="1207"/>
      <c r="AS569" s="1207"/>
      <c r="AT569" s="1207"/>
      <c r="AU569" s="1207"/>
      <c r="AV569" s="1207"/>
      <c r="AW569" s="1207"/>
      <c r="AX569" s="1207"/>
      <c r="AY569" s="1207"/>
      <c r="AZ569" s="1207"/>
      <c r="BA569" s="1207"/>
      <c r="BB569" s="1207"/>
      <c r="BC569" s="1207"/>
      <c r="BD569" s="1207"/>
      <c r="BE569" s="1207"/>
      <c r="BF569" s="1207"/>
      <c r="BG569" s="1207"/>
      <c r="BH569" s="1207"/>
      <c r="BI569" s="1207"/>
      <c r="BJ569" s="1207"/>
      <c r="BK569" s="1207"/>
      <c r="BL569" s="1207"/>
      <c r="BM569" s="1207"/>
      <c r="BN569" s="1207"/>
      <c r="BO569" s="1207"/>
      <c r="BP569" s="1207"/>
      <c r="BQ569" s="1207"/>
      <c r="BR569" s="1207"/>
      <c r="BS569" s="1207"/>
      <c r="BT569" s="1207"/>
      <c r="BU569" s="1207"/>
      <c r="BV569" s="1207"/>
      <c r="BW569" s="1207"/>
      <c r="BX569" s="1207"/>
      <c r="BY569" s="1207"/>
      <c r="BZ569" s="1207"/>
      <c r="CA569" s="1207"/>
      <c r="CB569" s="1207"/>
      <c r="CC569" s="1207"/>
      <c r="CD569" s="1207"/>
      <c r="CE569" s="1207"/>
      <c r="CF569" s="1207"/>
    </row>
    <row r="570" spans="1:84" ht="60" x14ac:dyDescent="0.2">
      <c r="A570" s="1355">
        <v>2022554</v>
      </c>
      <c r="B570" s="1172" t="s">
        <v>459</v>
      </c>
      <c r="C570" s="1356"/>
      <c r="D570" s="1190" t="s">
        <v>691</v>
      </c>
      <c r="E570" s="1174" t="s">
        <v>1173</v>
      </c>
      <c r="F570" s="1389" t="s">
        <v>1174</v>
      </c>
      <c r="G570" s="1390">
        <v>44562</v>
      </c>
      <c r="H570" s="1390">
        <v>44592</v>
      </c>
      <c r="I570" s="1176">
        <v>3</v>
      </c>
      <c r="J570" s="1176" t="s">
        <v>701</v>
      </c>
      <c r="K570" s="1177" t="s">
        <v>676</v>
      </c>
      <c r="L570" s="1178"/>
      <c r="M570" s="1179">
        <v>2800000</v>
      </c>
      <c r="N570" s="1386"/>
      <c r="O570" s="1174"/>
      <c r="P570" s="1207" t="s">
        <v>759</v>
      </c>
      <c r="Q570" s="1163"/>
      <c r="R570" s="1357"/>
      <c r="S570" s="1357"/>
      <c r="T570" s="1357">
        <f>+Tabla16[[#This Row],[CDPS A 31 JULIO 2022]]-Tabla16[[#This Row],[CDP]]</f>
        <v>0</v>
      </c>
      <c r="U570" s="1357"/>
      <c r="V570" s="1357"/>
      <c r="W570" s="1357"/>
      <c r="X570" s="1207"/>
      <c r="Y570" s="1207"/>
      <c r="Z570" s="1207"/>
      <c r="AA570" s="1207"/>
      <c r="AB570" s="1207"/>
      <c r="AC570" s="1207"/>
      <c r="AD570" s="1207"/>
      <c r="AE570" s="1207"/>
      <c r="AF570" s="1207"/>
      <c r="AG570" s="1207"/>
      <c r="AH570" s="1207"/>
      <c r="AI570" s="1207"/>
      <c r="AJ570" s="1207"/>
      <c r="AK570" s="1207"/>
      <c r="AL570" s="1207"/>
      <c r="AM570" s="1207"/>
      <c r="AN570" s="1207"/>
      <c r="AO570" s="1207"/>
      <c r="AP570" s="1207"/>
      <c r="AQ570" s="1207"/>
      <c r="AR570" s="1207"/>
      <c r="AS570" s="1207"/>
      <c r="AT570" s="1207"/>
      <c r="AU570" s="1207"/>
      <c r="AV570" s="1207"/>
      <c r="AW570" s="1207"/>
      <c r="AX570" s="1207"/>
      <c r="AY570" s="1207"/>
      <c r="AZ570" s="1207"/>
      <c r="BA570" s="1207"/>
      <c r="BB570" s="1207"/>
      <c r="BC570" s="1207"/>
      <c r="BD570" s="1207"/>
      <c r="BE570" s="1207"/>
      <c r="BF570" s="1207"/>
      <c r="BG570" s="1207"/>
      <c r="BH570" s="1207"/>
      <c r="BI570" s="1207"/>
      <c r="BJ570" s="1207"/>
      <c r="BK570" s="1207"/>
      <c r="BL570" s="1207"/>
      <c r="BM570" s="1207"/>
      <c r="BN570" s="1207"/>
      <c r="BO570" s="1207"/>
      <c r="BP570" s="1207"/>
      <c r="BQ570" s="1207"/>
      <c r="BR570" s="1207"/>
      <c r="BS570" s="1207"/>
      <c r="BT570" s="1207"/>
      <c r="BU570" s="1207"/>
      <c r="BV570" s="1207"/>
      <c r="BW570" s="1207"/>
      <c r="BX570" s="1207"/>
      <c r="BY570" s="1207"/>
      <c r="BZ570" s="1207"/>
      <c r="CA570" s="1207"/>
      <c r="CB570" s="1207"/>
      <c r="CC570" s="1207"/>
      <c r="CD570" s="1207"/>
      <c r="CE570" s="1207"/>
      <c r="CF570" s="1207"/>
    </row>
    <row r="571" spans="1:84" ht="60" x14ac:dyDescent="0.2">
      <c r="A571" s="1355">
        <v>2022555</v>
      </c>
      <c r="B571" s="1172" t="s">
        <v>459</v>
      </c>
      <c r="C571" s="1356"/>
      <c r="D571" s="1190" t="s">
        <v>691</v>
      </c>
      <c r="E571" s="1174" t="s">
        <v>1173</v>
      </c>
      <c r="F571" s="1389" t="s">
        <v>1181</v>
      </c>
      <c r="G571" s="1390">
        <v>44621</v>
      </c>
      <c r="H571" s="1390">
        <v>44651</v>
      </c>
      <c r="I571" s="1176">
        <v>6</v>
      </c>
      <c r="J571" s="1176" t="s">
        <v>701</v>
      </c>
      <c r="K571" s="1177" t="s">
        <v>676</v>
      </c>
      <c r="L571" s="1178"/>
      <c r="M571" s="1179">
        <v>5204000</v>
      </c>
      <c r="N571" s="1386"/>
      <c r="O571" s="1174"/>
      <c r="P571" s="1207" t="s">
        <v>680</v>
      </c>
      <c r="Q571" s="1163"/>
      <c r="R571" s="1357"/>
      <c r="S571" s="1357"/>
      <c r="T571" s="1357">
        <f>+Tabla16[[#This Row],[CDPS A 31 JULIO 2022]]-Tabla16[[#This Row],[CDP]]</f>
        <v>0</v>
      </c>
      <c r="U571" s="1357"/>
      <c r="V571" s="1357"/>
      <c r="W571" s="1357"/>
      <c r="X571" s="1207"/>
      <c r="Y571" s="1207"/>
      <c r="Z571" s="1207"/>
      <c r="AA571" s="1207"/>
      <c r="AB571" s="1207"/>
      <c r="AC571" s="1207"/>
      <c r="AD571" s="1207"/>
      <c r="AE571" s="1207"/>
      <c r="AF571" s="1207"/>
      <c r="AG571" s="1207"/>
      <c r="AH571" s="1207"/>
      <c r="AI571" s="1207"/>
      <c r="AJ571" s="1207"/>
      <c r="AK571" s="1207"/>
      <c r="AL571" s="1207"/>
      <c r="AM571" s="1207"/>
      <c r="AN571" s="1207"/>
      <c r="AO571" s="1207"/>
      <c r="AP571" s="1207"/>
      <c r="AQ571" s="1207"/>
      <c r="AR571" s="1207"/>
      <c r="AS571" s="1207"/>
      <c r="AT571" s="1207"/>
      <c r="AU571" s="1207"/>
      <c r="AV571" s="1207"/>
      <c r="AW571" s="1207"/>
      <c r="AX571" s="1207"/>
      <c r="AY571" s="1207"/>
      <c r="AZ571" s="1207"/>
      <c r="BA571" s="1207"/>
      <c r="BB571" s="1207"/>
      <c r="BC571" s="1207"/>
      <c r="BD571" s="1207"/>
      <c r="BE571" s="1207"/>
      <c r="BF571" s="1207"/>
      <c r="BG571" s="1207"/>
      <c r="BH571" s="1207"/>
      <c r="BI571" s="1207"/>
      <c r="BJ571" s="1207"/>
      <c r="BK571" s="1207"/>
      <c r="BL571" s="1207"/>
      <c r="BM571" s="1207"/>
      <c r="BN571" s="1207"/>
      <c r="BO571" s="1207"/>
      <c r="BP571" s="1207"/>
      <c r="BQ571" s="1207"/>
      <c r="BR571" s="1207"/>
      <c r="BS571" s="1207"/>
      <c r="BT571" s="1207"/>
      <c r="BU571" s="1207"/>
      <c r="BV571" s="1207"/>
      <c r="BW571" s="1207"/>
      <c r="BX571" s="1207"/>
      <c r="BY571" s="1207"/>
      <c r="BZ571" s="1207"/>
      <c r="CA571" s="1207"/>
      <c r="CB571" s="1207"/>
      <c r="CC571" s="1207"/>
      <c r="CD571" s="1207"/>
      <c r="CE571" s="1207"/>
      <c r="CF571" s="1207"/>
    </row>
    <row r="572" spans="1:84" ht="60" x14ac:dyDescent="0.2">
      <c r="A572" s="1355">
        <v>2022557</v>
      </c>
      <c r="B572" s="1172" t="s">
        <v>459</v>
      </c>
      <c r="C572" s="1356"/>
      <c r="D572" s="1190" t="s">
        <v>691</v>
      </c>
      <c r="E572" s="1174" t="s">
        <v>1173</v>
      </c>
      <c r="F572" s="1389" t="s">
        <v>991</v>
      </c>
      <c r="G572" s="1390">
        <v>44562</v>
      </c>
      <c r="H572" s="1390">
        <v>44592</v>
      </c>
      <c r="I572" s="1176">
        <v>11</v>
      </c>
      <c r="J572" s="1176" t="s">
        <v>722</v>
      </c>
      <c r="K572" s="1177" t="s">
        <v>676</v>
      </c>
      <c r="L572" s="1178"/>
      <c r="M572" s="1179">
        <v>14692000</v>
      </c>
      <c r="N572" s="1386"/>
      <c r="O572" s="1174"/>
      <c r="P572" s="1207" t="s">
        <v>680</v>
      </c>
      <c r="Q572" s="1163"/>
      <c r="R572" s="1357"/>
      <c r="S572" s="1357"/>
      <c r="T572" s="1357">
        <f>+Tabla16[[#This Row],[CDPS A 31 JULIO 2022]]-Tabla16[[#This Row],[CDP]]</f>
        <v>0</v>
      </c>
      <c r="U572" s="1357"/>
      <c r="V572" s="1357"/>
      <c r="W572" s="1357"/>
      <c r="X572" s="1207"/>
      <c r="Y572" s="1207"/>
      <c r="Z572" s="1207"/>
      <c r="AA572" s="1207"/>
      <c r="AB572" s="1207"/>
      <c r="AC572" s="1207"/>
      <c r="AD572" s="1207"/>
      <c r="AE572" s="1207"/>
      <c r="AF572" s="1207"/>
      <c r="AG572" s="1207"/>
      <c r="AH572" s="1207"/>
      <c r="AI572" s="1207"/>
      <c r="AJ572" s="1207"/>
      <c r="AK572" s="1207"/>
      <c r="AL572" s="1207"/>
      <c r="AM572" s="1207"/>
      <c r="AN572" s="1207"/>
      <c r="AO572" s="1207"/>
      <c r="AP572" s="1207"/>
      <c r="AQ572" s="1207"/>
      <c r="AR572" s="1207"/>
      <c r="AS572" s="1207"/>
      <c r="AT572" s="1207"/>
      <c r="AU572" s="1207"/>
      <c r="AV572" s="1207"/>
      <c r="AW572" s="1207"/>
      <c r="AX572" s="1207"/>
      <c r="AY572" s="1207"/>
      <c r="AZ572" s="1207"/>
      <c r="BA572" s="1207"/>
      <c r="BB572" s="1207"/>
      <c r="BC572" s="1207"/>
      <c r="BD572" s="1207"/>
      <c r="BE572" s="1207"/>
      <c r="BF572" s="1207"/>
      <c r="BG572" s="1207"/>
      <c r="BH572" s="1207"/>
      <c r="BI572" s="1207"/>
      <c r="BJ572" s="1207"/>
      <c r="BK572" s="1207"/>
      <c r="BL572" s="1207"/>
      <c r="BM572" s="1207"/>
      <c r="BN572" s="1207"/>
      <c r="BO572" s="1207"/>
      <c r="BP572" s="1207"/>
      <c r="BQ572" s="1207"/>
      <c r="BR572" s="1207"/>
      <c r="BS572" s="1207"/>
      <c r="BT572" s="1207"/>
      <c r="BU572" s="1207"/>
      <c r="BV572" s="1207"/>
      <c r="BW572" s="1207"/>
      <c r="BX572" s="1207"/>
      <c r="BY572" s="1207"/>
      <c r="BZ572" s="1207"/>
      <c r="CA572" s="1207"/>
      <c r="CB572" s="1207"/>
      <c r="CC572" s="1207"/>
      <c r="CD572" s="1207"/>
      <c r="CE572" s="1207"/>
      <c r="CF572" s="1207"/>
    </row>
    <row r="573" spans="1:84" ht="60" x14ac:dyDescent="0.2">
      <c r="A573" s="1355">
        <v>2022558</v>
      </c>
      <c r="B573" s="1172" t="s">
        <v>459</v>
      </c>
      <c r="C573" s="1356"/>
      <c r="D573" s="1190" t="s">
        <v>691</v>
      </c>
      <c r="E573" s="1174" t="s">
        <v>1173</v>
      </c>
      <c r="F573" s="1389" t="s">
        <v>1182</v>
      </c>
      <c r="G573" s="1390">
        <v>44562</v>
      </c>
      <c r="H573" s="1390">
        <v>44592</v>
      </c>
      <c r="I573" s="1176">
        <v>3</v>
      </c>
      <c r="J573" s="1176" t="s">
        <v>701</v>
      </c>
      <c r="K573" s="1177" t="s">
        <v>676</v>
      </c>
      <c r="L573" s="1178"/>
      <c r="M573" s="1179">
        <v>1400000</v>
      </c>
      <c r="N573" s="1386"/>
      <c r="O573" s="1174"/>
      <c r="P573" s="1207" t="s">
        <v>759</v>
      </c>
      <c r="Q573" s="1163"/>
      <c r="R573" s="1357"/>
      <c r="S573" s="1357"/>
      <c r="T573" s="1357">
        <f>+Tabla16[[#This Row],[CDPS A 31 JULIO 2022]]-Tabla16[[#This Row],[CDP]]</f>
        <v>0</v>
      </c>
      <c r="U573" s="1357"/>
      <c r="V573" s="1357"/>
      <c r="W573" s="1357"/>
      <c r="X573" s="1207"/>
      <c r="Y573" s="1207"/>
      <c r="Z573" s="1207"/>
      <c r="AA573" s="1207"/>
      <c r="AB573" s="1207"/>
      <c r="AC573" s="1207"/>
      <c r="AD573" s="1207"/>
      <c r="AE573" s="1207"/>
      <c r="AF573" s="1207"/>
      <c r="AG573" s="1207"/>
      <c r="AH573" s="1207"/>
      <c r="AI573" s="1207"/>
      <c r="AJ573" s="1207"/>
      <c r="AK573" s="1207"/>
      <c r="AL573" s="1207"/>
      <c r="AM573" s="1207"/>
      <c r="AN573" s="1207"/>
      <c r="AO573" s="1207"/>
      <c r="AP573" s="1207"/>
      <c r="AQ573" s="1207"/>
      <c r="AR573" s="1207"/>
      <c r="AS573" s="1207"/>
      <c r="AT573" s="1207"/>
      <c r="AU573" s="1207"/>
      <c r="AV573" s="1207"/>
      <c r="AW573" s="1207"/>
      <c r="AX573" s="1207"/>
      <c r="AY573" s="1207"/>
      <c r="AZ573" s="1207"/>
      <c r="BA573" s="1207"/>
      <c r="BB573" s="1207"/>
      <c r="BC573" s="1207"/>
      <c r="BD573" s="1207"/>
      <c r="BE573" s="1207"/>
      <c r="BF573" s="1207"/>
      <c r="BG573" s="1207"/>
      <c r="BH573" s="1207"/>
      <c r="BI573" s="1207"/>
      <c r="BJ573" s="1207"/>
      <c r="BK573" s="1207"/>
      <c r="BL573" s="1207"/>
      <c r="BM573" s="1207"/>
      <c r="BN573" s="1207"/>
      <c r="BO573" s="1207"/>
      <c r="BP573" s="1207"/>
      <c r="BQ573" s="1207"/>
      <c r="BR573" s="1207"/>
      <c r="BS573" s="1207"/>
      <c r="BT573" s="1207"/>
      <c r="BU573" s="1207"/>
      <c r="BV573" s="1207"/>
      <c r="BW573" s="1207"/>
      <c r="BX573" s="1207"/>
      <c r="BY573" s="1207"/>
      <c r="BZ573" s="1207"/>
      <c r="CA573" s="1207"/>
      <c r="CB573" s="1207"/>
      <c r="CC573" s="1207"/>
      <c r="CD573" s="1207"/>
      <c r="CE573" s="1207"/>
      <c r="CF573" s="1207"/>
    </row>
    <row r="574" spans="1:84" ht="60" x14ac:dyDescent="0.2">
      <c r="A574" s="1355">
        <v>2022559</v>
      </c>
      <c r="B574" s="1172" t="s">
        <v>459</v>
      </c>
      <c r="C574" s="1356"/>
      <c r="D574" s="1190" t="s">
        <v>691</v>
      </c>
      <c r="E574" s="1174" t="s">
        <v>1173</v>
      </c>
      <c r="F574" s="1389" t="s">
        <v>1181</v>
      </c>
      <c r="G574" s="1390">
        <v>44621</v>
      </c>
      <c r="H574" s="1390">
        <v>44651</v>
      </c>
      <c r="I574" s="1176">
        <v>6</v>
      </c>
      <c r="J574" s="1176" t="s">
        <v>701</v>
      </c>
      <c r="K574" s="1177" t="s">
        <v>676</v>
      </c>
      <c r="L574" s="1178"/>
      <c r="M574" s="1179">
        <v>9600000</v>
      </c>
      <c r="N574" s="1386"/>
      <c r="O574" s="1174"/>
      <c r="P574" s="1207" t="s">
        <v>680</v>
      </c>
      <c r="Q574" s="1163"/>
      <c r="R574" s="1357"/>
      <c r="S574" s="1357"/>
      <c r="T574" s="1357">
        <f>+Tabla16[[#This Row],[CDPS A 31 JULIO 2022]]-Tabla16[[#This Row],[CDP]]</f>
        <v>0</v>
      </c>
      <c r="U574" s="1357"/>
      <c r="V574" s="1357"/>
      <c r="W574" s="1357"/>
      <c r="X574" s="1207"/>
      <c r="Y574" s="1207"/>
      <c r="Z574" s="1207"/>
      <c r="AA574" s="1207"/>
      <c r="AB574" s="1207"/>
      <c r="AC574" s="1207"/>
      <c r="AD574" s="1207"/>
      <c r="AE574" s="1207"/>
      <c r="AF574" s="1207"/>
      <c r="AG574" s="1207"/>
      <c r="AH574" s="1207"/>
      <c r="AI574" s="1207"/>
      <c r="AJ574" s="1207"/>
      <c r="AK574" s="1207"/>
      <c r="AL574" s="1207"/>
      <c r="AM574" s="1207"/>
      <c r="AN574" s="1207"/>
      <c r="AO574" s="1207"/>
      <c r="AP574" s="1207"/>
      <c r="AQ574" s="1207"/>
      <c r="AR574" s="1207"/>
      <c r="AS574" s="1207"/>
      <c r="AT574" s="1207"/>
      <c r="AU574" s="1207"/>
      <c r="AV574" s="1207"/>
      <c r="AW574" s="1207"/>
      <c r="AX574" s="1207"/>
      <c r="AY574" s="1207"/>
      <c r="AZ574" s="1207"/>
      <c r="BA574" s="1207"/>
      <c r="BB574" s="1207"/>
      <c r="BC574" s="1207"/>
      <c r="BD574" s="1207"/>
      <c r="BE574" s="1207"/>
      <c r="BF574" s="1207"/>
      <c r="BG574" s="1207"/>
      <c r="BH574" s="1207"/>
      <c r="BI574" s="1207"/>
      <c r="BJ574" s="1207"/>
      <c r="BK574" s="1207"/>
      <c r="BL574" s="1207"/>
      <c r="BM574" s="1207"/>
      <c r="BN574" s="1207"/>
      <c r="BO574" s="1207"/>
      <c r="BP574" s="1207"/>
      <c r="BQ574" s="1207"/>
      <c r="BR574" s="1207"/>
      <c r="BS574" s="1207"/>
      <c r="BT574" s="1207"/>
      <c r="BU574" s="1207"/>
      <c r="BV574" s="1207"/>
      <c r="BW574" s="1207"/>
      <c r="BX574" s="1207"/>
      <c r="BY574" s="1207"/>
      <c r="BZ574" s="1207"/>
      <c r="CA574" s="1207"/>
      <c r="CB574" s="1207"/>
      <c r="CC574" s="1207"/>
      <c r="CD574" s="1207"/>
      <c r="CE574" s="1207"/>
      <c r="CF574" s="1207"/>
    </row>
    <row r="575" spans="1:84" ht="120" x14ac:dyDescent="0.2">
      <c r="A575" s="1355">
        <v>2022560</v>
      </c>
      <c r="B575" s="1172" t="s">
        <v>459</v>
      </c>
      <c r="C575" s="1356"/>
      <c r="D575" s="1190" t="s">
        <v>691</v>
      </c>
      <c r="E575" s="1174" t="s">
        <v>1183</v>
      </c>
      <c r="F575" s="1389" t="s">
        <v>1184</v>
      </c>
      <c r="G575" s="1390">
        <v>44682</v>
      </c>
      <c r="H575" s="1390">
        <v>44712</v>
      </c>
      <c r="I575" s="1176">
        <v>7</v>
      </c>
      <c r="J575" s="1176" t="s">
        <v>675</v>
      </c>
      <c r="K575" s="1177" t="s">
        <v>676</v>
      </c>
      <c r="L575" s="1178"/>
      <c r="M575" s="1179">
        <v>79500000</v>
      </c>
      <c r="N575" s="1386"/>
      <c r="O575" s="1174"/>
      <c r="P575" s="1207" t="s">
        <v>680</v>
      </c>
      <c r="Q575" s="1163"/>
      <c r="R575" s="1357"/>
      <c r="S575" s="1357"/>
      <c r="T575" s="1357">
        <f>+Tabla16[[#This Row],[CDPS A 31 JULIO 2022]]-Tabla16[[#This Row],[CDP]]</f>
        <v>0</v>
      </c>
      <c r="U575" s="1357"/>
      <c r="V575" s="1357"/>
      <c r="W575" s="1357"/>
      <c r="X575" s="1207"/>
      <c r="Y575" s="1207"/>
      <c r="Z575" s="1207"/>
      <c r="AA575" s="1207"/>
      <c r="AB575" s="1207"/>
      <c r="AC575" s="1207"/>
      <c r="AD575" s="1207"/>
      <c r="AE575" s="1207"/>
      <c r="AF575" s="1207"/>
      <c r="AG575" s="1207"/>
      <c r="AH575" s="1207"/>
      <c r="AI575" s="1207"/>
      <c r="AJ575" s="1207"/>
      <c r="AK575" s="1207"/>
      <c r="AL575" s="1207"/>
      <c r="AM575" s="1207"/>
      <c r="AN575" s="1207"/>
      <c r="AO575" s="1207"/>
      <c r="AP575" s="1207"/>
      <c r="AQ575" s="1207"/>
      <c r="AR575" s="1207"/>
      <c r="AS575" s="1207"/>
      <c r="AT575" s="1207"/>
      <c r="AU575" s="1207"/>
      <c r="AV575" s="1207"/>
      <c r="AW575" s="1207"/>
      <c r="AX575" s="1207"/>
      <c r="AY575" s="1207"/>
      <c r="AZ575" s="1207"/>
      <c r="BA575" s="1207"/>
      <c r="BB575" s="1207"/>
      <c r="BC575" s="1207"/>
      <c r="BD575" s="1207"/>
      <c r="BE575" s="1207"/>
      <c r="BF575" s="1207"/>
      <c r="BG575" s="1207"/>
      <c r="BH575" s="1207"/>
      <c r="BI575" s="1207"/>
      <c r="BJ575" s="1207"/>
      <c r="BK575" s="1207"/>
      <c r="BL575" s="1207"/>
      <c r="BM575" s="1207"/>
      <c r="BN575" s="1207"/>
      <c r="BO575" s="1207"/>
      <c r="BP575" s="1207"/>
      <c r="BQ575" s="1207"/>
      <c r="BR575" s="1207"/>
      <c r="BS575" s="1207"/>
      <c r="BT575" s="1207"/>
      <c r="BU575" s="1207"/>
      <c r="BV575" s="1207"/>
      <c r="BW575" s="1207"/>
      <c r="BX575" s="1207"/>
      <c r="BY575" s="1207"/>
      <c r="BZ575" s="1207"/>
      <c r="CA575" s="1207"/>
      <c r="CB575" s="1207"/>
      <c r="CC575" s="1207"/>
      <c r="CD575" s="1207"/>
      <c r="CE575" s="1207"/>
      <c r="CF575" s="1207"/>
    </row>
    <row r="576" spans="1:84" ht="135" x14ac:dyDescent="0.2">
      <c r="A576" s="1355">
        <v>2022561</v>
      </c>
      <c r="B576" s="1172" t="s">
        <v>459</v>
      </c>
      <c r="C576" s="1356"/>
      <c r="D576" s="1190" t="s">
        <v>691</v>
      </c>
      <c r="E576" s="1174" t="s">
        <v>1183</v>
      </c>
      <c r="F576" s="1389" t="s">
        <v>1185</v>
      </c>
      <c r="G576" s="1390">
        <v>44593</v>
      </c>
      <c r="H576" s="1390">
        <v>44620</v>
      </c>
      <c r="I576" s="1176">
        <v>3.21</v>
      </c>
      <c r="J576" s="1176" t="s">
        <v>675</v>
      </c>
      <c r="K576" s="1177" t="s">
        <v>676</v>
      </c>
      <c r="L576" s="1178"/>
      <c r="M576" s="1179">
        <v>41500000</v>
      </c>
      <c r="N576" s="1386"/>
      <c r="O576" s="1174"/>
      <c r="P576" s="1207" t="s">
        <v>759</v>
      </c>
      <c r="Q576" s="1163"/>
      <c r="R576" s="1357"/>
      <c r="S576" s="1357"/>
      <c r="T576" s="1357">
        <f>+Tabla16[[#This Row],[CDPS A 31 JULIO 2022]]-Tabla16[[#This Row],[CDP]]</f>
        <v>0</v>
      </c>
      <c r="U576" s="1357"/>
      <c r="V576" s="1357"/>
      <c r="W576" s="1357"/>
      <c r="X576" s="1207"/>
      <c r="Y576" s="1207"/>
      <c r="Z576" s="1207"/>
      <c r="AA576" s="1207"/>
      <c r="AB576" s="1207"/>
      <c r="AC576" s="1207"/>
      <c r="AD576" s="1207"/>
      <c r="AE576" s="1207"/>
      <c r="AF576" s="1207"/>
      <c r="AG576" s="1207"/>
      <c r="AH576" s="1207"/>
      <c r="AI576" s="1207"/>
      <c r="AJ576" s="1207"/>
      <c r="AK576" s="1207"/>
      <c r="AL576" s="1207"/>
      <c r="AM576" s="1207"/>
      <c r="AN576" s="1207"/>
      <c r="AO576" s="1207"/>
      <c r="AP576" s="1207"/>
      <c r="AQ576" s="1207"/>
      <c r="AR576" s="1207"/>
      <c r="AS576" s="1207"/>
      <c r="AT576" s="1207"/>
      <c r="AU576" s="1207"/>
      <c r="AV576" s="1207"/>
      <c r="AW576" s="1207"/>
      <c r="AX576" s="1207"/>
      <c r="AY576" s="1207"/>
      <c r="AZ576" s="1207"/>
      <c r="BA576" s="1207"/>
      <c r="BB576" s="1207"/>
      <c r="BC576" s="1207"/>
      <c r="BD576" s="1207"/>
      <c r="BE576" s="1207"/>
      <c r="BF576" s="1207"/>
      <c r="BG576" s="1207"/>
      <c r="BH576" s="1207"/>
      <c r="BI576" s="1207"/>
      <c r="BJ576" s="1207"/>
      <c r="BK576" s="1207"/>
      <c r="BL576" s="1207"/>
      <c r="BM576" s="1207"/>
      <c r="BN576" s="1207"/>
      <c r="BO576" s="1207"/>
      <c r="BP576" s="1207"/>
      <c r="BQ576" s="1207"/>
      <c r="BR576" s="1207"/>
      <c r="BS576" s="1207"/>
      <c r="BT576" s="1207"/>
      <c r="BU576" s="1207"/>
      <c r="BV576" s="1207"/>
      <c r="BW576" s="1207"/>
      <c r="BX576" s="1207"/>
      <c r="BY576" s="1207"/>
      <c r="BZ576" s="1207"/>
      <c r="CA576" s="1207"/>
      <c r="CB576" s="1207"/>
      <c r="CC576" s="1207"/>
      <c r="CD576" s="1207"/>
      <c r="CE576" s="1207"/>
      <c r="CF576" s="1207"/>
    </row>
    <row r="577" spans="1:84" ht="45" x14ac:dyDescent="0.2">
      <c r="A577" s="1355">
        <v>2022562</v>
      </c>
      <c r="B577" s="1172" t="s">
        <v>459</v>
      </c>
      <c r="C577" s="1356"/>
      <c r="D577" s="1190" t="s">
        <v>691</v>
      </c>
      <c r="E577" s="1174" t="s">
        <v>1186</v>
      </c>
      <c r="F577" s="1389" t="s">
        <v>1187</v>
      </c>
      <c r="G577" s="1390">
        <v>44593</v>
      </c>
      <c r="H577" s="1390">
        <v>44620</v>
      </c>
      <c r="I577" s="1176">
        <v>12</v>
      </c>
      <c r="J577" s="1176" t="s">
        <v>647</v>
      </c>
      <c r="K577" s="1177" t="s">
        <v>676</v>
      </c>
      <c r="L577" s="1178"/>
      <c r="M577" s="1179">
        <f>1500000000-225179326-158379938</f>
        <v>1116440736</v>
      </c>
      <c r="N577" s="1386"/>
      <c r="O577" s="1174"/>
      <c r="P577" s="1207" t="s">
        <v>680</v>
      </c>
      <c r="Q577" s="1163"/>
      <c r="R577" s="1357"/>
      <c r="S577" s="1357"/>
      <c r="T577" s="1357">
        <f>+Tabla16[[#This Row],[CDPS A 31 JULIO 2022]]-Tabla16[[#This Row],[CDP]]</f>
        <v>0</v>
      </c>
      <c r="U577" s="1357"/>
      <c r="V577" s="1357"/>
      <c r="W577" s="1357"/>
      <c r="X577" s="1207"/>
      <c r="Y577" s="1207"/>
      <c r="Z577" s="1207"/>
      <c r="AA577" s="1207"/>
      <c r="AB577" s="1207"/>
      <c r="AC577" s="1207"/>
      <c r="AD577" s="1207"/>
      <c r="AE577" s="1207"/>
      <c r="AF577" s="1207"/>
      <c r="AG577" s="1207"/>
      <c r="AH577" s="1207"/>
      <c r="AI577" s="1207"/>
      <c r="AJ577" s="1207"/>
      <c r="AK577" s="1207"/>
      <c r="AL577" s="1207"/>
      <c r="AM577" s="1207"/>
      <c r="AN577" s="1207"/>
      <c r="AO577" s="1207"/>
      <c r="AP577" s="1207"/>
      <c r="AQ577" s="1207"/>
      <c r="AR577" s="1207"/>
      <c r="AS577" s="1207"/>
      <c r="AT577" s="1207"/>
      <c r="AU577" s="1207"/>
      <c r="AV577" s="1207"/>
      <c r="AW577" s="1207"/>
      <c r="AX577" s="1207"/>
      <c r="AY577" s="1207"/>
      <c r="AZ577" s="1207"/>
      <c r="BA577" s="1207"/>
      <c r="BB577" s="1207"/>
      <c r="BC577" s="1207"/>
      <c r="BD577" s="1207"/>
      <c r="BE577" s="1207"/>
      <c r="BF577" s="1207"/>
      <c r="BG577" s="1207"/>
      <c r="BH577" s="1207"/>
      <c r="BI577" s="1207"/>
      <c r="BJ577" s="1207"/>
      <c r="BK577" s="1207"/>
      <c r="BL577" s="1207"/>
      <c r="BM577" s="1207"/>
      <c r="BN577" s="1207"/>
      <c r="BO577" s="1207"/>
      <c r="BP577" s="1207"/>
      <c r="BQ577" s="1207"/>
      <c r="BR577" s="1207"/>
      <c r="BS577" s="1207"/>
      <c r="BT577" s="1207"/>
      <c r="BU577" s="1207"/>
      <c r="BV577" s="1207"/>
      <c r="BW577" s="1207"/>
      <c r="BX577" s="1207"/>
      <c r="BY577" s="1207"/>
      <c r="BZ577" s="1207"/>
      <c r="CA577" s="1207"/>
      <c r="CB577" s="1207"/>
      <c r="CC577" s="1207"/>
      <c r="CD577" s="1207"/>
      <c r="CE577" s="1207"/>
      <c r="CF577" s="1207"/>
    </row>
    <row r="578" spans="1:84" ht="45" x14ac:dyDescent="0.2">
      <c r="A578" s="1355">
        <v>2022563</v>
      </c>
      <c r="B578" s="1172" t="s">
        <v>459</v>
      </c>
      <c r="C578" s="1356"/>
      <c r="D578" s="1190" t="s">
        <v>691</v>
      </c>
      <c r="E578" s="1174" t="s">
        <v>1186</v>
      </c>
      <c r="F578" s="1389" t="s">
        <v>1187</v>
      </c>
      <c r="G578" s="1390">
        <v>44593</v>
      </c>
      <c r="H578" s="1390">
        <v>44620</v>
      </c>
      <c r="I578" s="1176">
        <v>12</v>
      </c>
      <c r="J578" s="1176" t="s">
        <v>647</v>
      </c>
      <c r="K578" s="1177" t="s">
        <v>676</v>
      </c>
      <c r="L578" s="1178"/>
      <c r="M578" s="1179">
        <f>550000000-82565753-58072645</f>
        <v>409361602</v>
      </c>
      <c r="N578" s="1386"/>
      <c r="O578" s="1174"/>
      <c r="P578" s="1207" t="s">
        <v>680</v>
      </c>
      <c r="Q578" s="1163"/>
      <c r="R578" s="1357"/>
      <c r="S578" s="1357"/>
      <c r="T578" s="1357">
        <f>+Tabla16[[#This Row],[CDPS A 31 JULIO 2022]]-Tabla16[[#This Row],[CDP]]</f>
        <v>0</v>
      </c>
      <c r="U578" s="1357"/>
      <c r="V578" s="1357"/>
      <c r="W578" s="1357"/>
      <c r="X578" s="1207"/>
      <c r="Y578" s="1207"/>
      <c r="Z578" s="1207"/>
      <c r="AA578" s="1207"/>
      <c r="AB578" s="1207"/>
      <c r="AC578" s="1207"/>
      <c r="AD578" s="1207"/>
      <c r="AE578" s="1207"/>
      <c r="AF578" s="1207"/>
      <c r="AG578" s="1207"/>
      <c r="AH578" s="1207"/>
      <c r="AI578" s="1207"/>
      <c r="AJ578" s="1207"/>
      <c r="AK578" s="1207"/>
      <c r="AL578" s="1207"/>
      <c r="AM578" s="1207"/>
      <c r="AN578" s="1207"/>
      <c r="AO578" s="1207"/>
      <c r="AP578" s="1207"/>
      <c r="AQ578" s="1207"/>
      <c r="AR578" s="1207"/>
      <c r="AS578" s="1207"/>
      <c r="AT578" s="1207"/>
      <c r="AU578" s="1207"/>
      <c r="AV578" s="1207"/>
      <c r="AW578" s="1207"/>
      <c r="AX578" s="1207"/>
      <c r="AY578" s="1207"/>
      <c r="AZ578" s="1207"/>
      <c r="BA578" s="1207"/>
      <c r="BB578" s="1207"/>
      <c r="BC578" s="1207"/>
      <c r="BD578" s="1207"/>
      <c r="BE578" s="1207"/>
      <c r="BF578" s="1207"/>
      <c r="BG578" s="1207"/>
      <c r="BH578" s="1207"/>
      <c r="BI578" s="1207"/>
      <c r="BJ578" s="1207"/>
      <c r="BK578" s="1207"/>
      <c r="BL578" s="1207"/>
      <c r="BM578" s="1207"/>
      <c r="BN578" s="1207"/>
      <c r="BO578" s="1207"/>
      <c r="BP578" s="1207"/>
      <c r="BQ578" s="1207"/>
      <c r="BR578" s="1207"/>
      <c r="BS578" s="1207"/>
      <c r="BT578" s="1207"/>
      <c r="BU578" s="1207"/>
      <c r="BV578" s="1207"/>
      <c r="BW578" s="1207"/>
      <c r="BX578" s="1207"/>
      <c r="BY578" s="1207"/>
      <c r="BZ578" s="1207"/>
      <c r="CA578" s="1207"/>
      <c r="CB578" s="1207"/>
      <c r="CC578" s="1207"/>
      <c r="CD578" s="1207"/>
      <c r="CE578" s="1207"/>
      <c r="CF578" s="1207"/>
    </row>
    <row r="579" spans="1:84" ht="45" x14ac:dyDescent="0.2">
      <c r="A579" s="1355">
        <v>2022564</v>
      </c>
      <c r="B579" s="1172" t="s">
        <v>459</v>
      </c>
      <c r="C579" s="1356"/>
      <c r="D579" s="1190" t="s">
        <v>691</v>
      </c>
      <c r="E579" s="1174" t="s">
        <v>1186</v>
      </c>
      <c r="F579" s="1389" t="s">
        <v>1187</v>
      </c>
      <c r="G579" s="1390">
        <v>44593</v>
      </c>
      <c r="H579" s="1390">
        <v>44620</v>
      </c>
      <c r="I579" s="1176">
        <v>12</v>
      </c>
      <c r="J579" s="1176" t="s">
        <v>647</v>
      </c>
      <c r="K579" s="1177" t="s">
        <v>676</v>
      </c>
      <c r="L579" s="1178"/>
      <c r="M579" s="1179">
        <f>733000000-110037631-77394997</f>
        <v>545567372</v>
      </c>
      <c r="N579" s="1386"/>
      <c r="O579" s="1174"/>
      <c r="P579" s="1207" t="s">
        <v>680</v>
      </c>
      <c r="Q579" s="1163"/>
      <c r="R579" s="1357"/>
      <c r="S579" s="1357"/>
      <c r="T579" s="1357">
        <f>+Tabla16[[#This Row],[CDPS A 31 JULIO 2022]]-Tabla16[[#This Row],[CDP]]</f>
        <v>0</v>
      </c>
      <c r="U579" s="1357"/>
      <c r="V579" s="1357"/>
      <c r="W579" s="1357"/>
      <c r="X579" s="1207"/>
      <c r="Y579" s="1207"/>
      <c r="Z579" s="1207"/>
      <c r="AA579" s="1207"/>
      <c r="AB579" s="1207"/>
      <c r="AC579" s="1207"/>
      <c r="AD579" s="1207"/>
      <c r="AE579" s="1207"/>
      <c r="AF579" s="1207"/>
      <c r="AG579" s="1207"/>
      <c r="AH579" s="1207"/>
      <c r="AI579" s="1207"/>
      <c r="AJ579" s="1207"/>
      <c r="AK579" s="1207"/>
      <c r="AL579" s="1207"/>
      <c r="AM579" s="1207"/>
      <c r="AN579" s="1207"/>
      <c r="AO579" s="1207"/>
      <c r="AP579" s="1207"/>
      <c r="AQ579" s="1207"/>
      <c r="AR579" s="1207"/>
      <c r="AS579" s="1207"/>
      <c r="AT579" s="1207"/>
      <c r="AU579" s="1207"/>
      <c r="AV579" s="1207"/>
      <c r="AW579" s="1207"/>
      <c r="AX579" s="1207"/>
      <c r="AY579" s="1207"/>
      <c r="AZ579" s="1207"/>
      <c r="BA579" s="1207"/>
      <c r="BB579" s="1207"/>
      <c r="BC579" s="1207"/>
      <c r="BD579" s="1207"/>
      <c r="BE579" s="1207"/>
      <c r="BF579" s="1207"/>
      <c r="BG579" s="1207"/>
      <c r="BH579" s="1207"/>
      <c r="BI579" s="1207"/>
      <c r="BJ579" s="1207"/>
      <c r="BK579" s="1207"/>
      <c r="BL579" s="1207"/>
      <c r="BM579" s="1207"/>
      <c r="BN579" s="1207"/>
      <c r="BO579" s="1207"/>
      <c r="BP579" s="1207"/>
      <c r="BQ579" s="1207"/>
      <c r="BR579" s="1207"/>
      <c r="BS579" s="1207"/>
      <c r="BT579" s="1207"/>
      <c r="BU579" s="1207"/>
      <c r="BV579" s="1207"/>
      <c r="BW579" s="1207"/>
      <c r="BX579" s="1207"/>
      <c r="BY579" s="1207"/>
      <c r="BZ579" s="1207"/>
      <c r="CA579" s="1207"/>
      <c r="CB579" s="1207"/>
      <c r="CC579" s="1207"/>
      <c r="CD579" s="1207"/>
      <c r="CE579" s="1207"/>
      <c r="CF579" s="1207"/>
    </row>
    <row r="580" spans="1:84" ht="45" x14ac:dyDescent="0.2">
      <c r="A580" s="1355">
        <v>2022565</v>
      </c>
      <c r="B580" s="1172" t="s">
        <v>459</v>
      </c>
      <c r="C580" s="1356"/>
      <c r="D580" s="1190" t="s">
        <v>691</v>
      </c>
      <c r="E580" s="1174" t="s">
        <v>1186</v>
      </c>
      <c r="F580" s="1389" t="s">
        <v>1187</v>
      </c>
      <c r="G580" s="1390">
        <v>44593</v>
      </c>
      <c r="H580" s="1390">
        <v>44620</v>
      </c>
      <c r="I580" s="1176">
        <v>12</v>
      </c>
      <c r="J580" s="1176" t="s">
        <v>647</v>
      </c>
      <c r="K580" s="1177" t="s">
        <v>676</v>
      </c>
      <c r="L580" s="1178"/>
      <c r="M580" s="1179">
        <f>150000000-22517933-15837994</f>
        <v>111644073</v>
      </c>
      <c r="N580" s="1386"/>
      <c r="O580" s="1174"/>
      <c r="P580" s="1207" t="s">
        <v>680</v>
      </c>
      <c r="Q580" s="1163"/>
      <c r="R580" s="1357"/>
      <c r="S580" s="1357"/>
      <c r="T580" s="1357">
        <f>+Tabla16[[#This Row],[CDPS A 31 JULIO 2022]]-Tabla16[[#This Row],[CDP]]</f>
        <v>0</v>
      </c>
      <c r="U580" s="1357"/>
      <c r="V580" s="1357"/>
      <c r="W580" s="1357"/>
      <c r="X580" s="1207"/>
      <c r="Y580" s="1207"/>
      <c r="Z580" s="1207"/>
      <c r="AA580" s="1207"/>
      <c r="AB580" s="1207"/>
      <c r="AC580" s="1207"/>
      <c r="AD580" s="1207"/>
      <c r="AE580" s="1207"/>
      <c r="AF580" s="1207"/>
      <c r="AG580" s="1207"/>
      <c r="AH580" s="1207"/>
      <c r="AI580" s="1207"/>
      <c r="AJ580" s="1207"/>
      <c r="AK580" s="1207"/>
      <c r="AL580" s="1207"/>
      <c r="AM580" s="1207"/>
      <c r="AN580" s="1207"/>
      <c r="AO580" s="1207"/>
      <c r="AP580" s="1207"/>
      <c r="AQ580" s="1207"/>
      <c r="AR580" s="1207"/>
      <c r="AS580" s="1207"/>
      <c r="AT580" s="1207"/>
      <c r="AU580" s="1207"/>
      <c r="AV580" s="1207"/>
      <c r="AW580" s="1207"/>
      <c r="AX580" s="1207"/>
      <c r="AY580" s="1207"/>
      <c r="AZ580" s="1207"/>
      <c r="BA580" s="1207"/>
      <c r="BB580" s="1207"/>
      <c r="BC580" s="1207"/>
      <c r="BD580" s="1207"/>
      <c r="BE580" s="1207"/>
      <c r="BF580" s="1207"/>
      <c r="BG580" s="1207"/>
      <c r="BH580" s="1207"/>
      <c r="BI580" s="1207"/>
      <c r="BJ580" s="1207"/>
      <c r="BK580" s="1207"/>
      <c r="BL580" s="1207"/>
      <c r="BM580" s="1207"/>
      <c r="BN580" s="1207"/>
      <c r="BO580" s="1207"/>
      <c r="BP580" s="1207"/>
      <c r="BQ580" s="1207"/>
      <c r="BR580" s="1207"/>
      <c r="BS580" s="1207"/>
      <c r="BT580" s="1207"/>
      <c r="BU580" s="1207"/>
      <c r="BV580" s="1207"/>
      <c r="BW580" s="1207"/>
      <c r="BX580" s="1207"/>
      <c r="BY580" s="1207"/>
      <c r="BZ580" s="1207"/>
      <c r="CA580" s="1207"/>
      <c r="CB580" s="1207"/>
      <c r="CC580" s="1207"/>
      <c r="CD580" s="1207"/>
      <c r="CE580" s="1207"/>
      <c r="CF580" s="1207"/>
    </row>
    <row r="581" spans="1:84" ht="45" x14ac:dyDescent="0.2">
      <c r="A581" s="1355">
        <v>2022566</v>
      </c>
      <c r="B581" s="1172" t="s">
        <v>459</v>
      </c>
      <c r="C581" s="1356"/>
      <c r="D581" s="1190" t="s">
        <v>691</v>
      </c>
      <c r="E581" s="1174" t="s">
        <v>1186</v>
      </c>
      <c r="F581" s="1389" t="s">
        <v>1187</v>
      </c>
      <c r="G581" s="1390">
        <v>44593</v>
      </c>
      <c r="H581" s="1390">
        <v>44620</v>
      </c>
      <c r="I581" s="1176">
        <v>12</v>
      </c>
      <c r="J581" s="1176" t="s">
        <v>647</v>
      </c>
      <c r="K581" s="1177" t="s">
        <v>676</v>
      </c>
      <c r="L581" s="1178"/>
      <c r="M581" s="1179">
        <f>300000000-45035865-31675987</f>
        <v>223288148</v>
      </c>
      <c r="N581" s="1386"/>
      <c r="O581" s="1174"/>
      <c r="P581" s="1207" t="s">
        <v>680</v>
      </c>
      <c r="Q581" s="1163"/>
      <c r="R581" s="1357"/>
      <c r="S581" s="1357"/>
      <c r="T581" s="1357">
        <f>+Tabla16[[#This Row],[CDPS A 31 JULIO 2022]]-Tabla16[[#This Row],[CDP]]</f>
        <v>0</v>
      </c>
      <c r="U581" s="1357"/>
      <c r="V581" s="1357"/>
      <c r="W581" s="1357"/>
      <c r="X581" s="1207"/>
      <c r="Y581" s="1207"/>
      <c r="Z581" s="1207"/>
      <c r="AA581" s="1207"/>
      <c r="AB581" s="1207"/>
      <c r="AC581" s="1207"/>
      <c r="AD581" s="1207"/>
      <c r="AE581" s="1207"/>
      <c r="AF581" s="1207"/>
      <c r="AG581" s="1207"/>
      <c r="AH581" s="1207"/>
      <c r="AI581" s="1207"/>
      <c r="AJ581" s="1207"/>
      <c r="AK581" s="1207"/>
      <c r="AL581" s="1207"/>
      <c r="AM581" s="1207"/>
      <c r="AN581" s="1207"/>
      <c r="AO581" s="1207"/>
      <c r="AP581" s="1207"/>
      <c r="AQ581" s="1207"/>
      <c r="AR581" s="1207"/>
      <c r="AS581" s="1207"/>
      <c r="AT581" s="1207"/>
      <c r="AU581" s="1207"/>
      <c r="AV581" s="1207"/>
      <c r="AW581" s="1207"/>
      <c r="AX581" s="1207"/>
      <c r="AY581" s="1207"/>
      <c r="AZ581" s="1207"/>
      <c r="BA581" s="1207"/>
      <c r="BB581" s="1207"/>
      <c r="BC581" s="1207"/>
      <c r="BD581" s="1207"/>
      <c r="BE581" s="1207"/>
      <c r="BF581" s="1207"/>
      <c r="BG581" s="1207"/>
      <c r="BH581" s="1207"/>
      <c r="BI581" s="1207"/>
      <c r="BJ581" s="1207"/>
      <c r="BK581" s="1207"/>
      <c r="BL581" s="1207"/>
      <c r="BM581" s="1207"/>
      <c r="BN581" s="1207"/>
      <c r="BO581" s="1207"/>
      <c r="BP581" s="1207"/>
      <c r="BQ581" s="1207"/>
      <c r="BR581" s="1207"/>
      <c r="BS581" s="1207"/>
      <c r="BT581" s="1207"/>
      <c r="BU581" s="1207"/>
      <c r="BV581" s="1207"/>
      <c r="BW581" s="1207"/>
      <c r="BX581" s="1207"/>
      <c r="BY581" s="1207"/>
      <c r="BZ581" s="1207"/>
      <c r="CA581" s="1207"/>
      <c r="CB581" s="1207"/>
      <c r="CC581" s="1207"/>
      <c r="CD581" s="1207"/>
      <c r="CE581" s="1207"/>
      <c r="CF581" s="1207"/>
    </row>
    <row r="582" spans="1:84" ht="45" x14ac:dyDescent="0.2">
      <c r="A582" s="1355">
        <v>2022567</v>
      </c>
      <c r="B582" s="1172" t="s">
        <v>459</v>
      </c>
      <c r="C582" s="1356"/>
      <c r="D582" s="1190" t="s">
        <v>691</v>
      </c>
      <c r="E582" s="1174" t="s">
        <v>1186</v>
      </c>
      <c r="F582" s="1389" t="s">
        <v>1187</v>
      </c>
      <c r="G582" s="1390">
        <v>44593</v>
      </c>
      <c r="H582" s="1390">
        <v>44620</v>
      </c>
      <c r="I582" s="1176">
        <v>12</v>
      </c>
      <c r="J582" s="1176" t="s">
        <v>647</v>
      </c>
      <c r="K582" s="1177" t="s">
        <v>676</v>
      </c>
      <c r="L582" s="1178"/>
      <c r="M582" s="1179">
        <f>67000000-10058010-7074304</f>
        <v>49867686</v>
      </c>
      <c r="N582" s="1386"/>
      <c r="O582" s="1174"/>
      <c r="P582" s="1207" t="s">
        <v>680</v>
      </c>
      <c r="Q582" s="1163"/>
      <c r="R582" s="1357"/>
      <c r="S582" s="1357"/>
      <c r="T582" s="1357">
        <f>+Tabla16[[#This Row],[CDPS A 31 JULIO 2022]]-Tabla16[[#This Row],[CDP]]</f>
        <v>0</v>
      </c>
      <c r="U582" s="1357"/>
      <c r="V582" s="1357"/>
      <c r="W582" s="1357"/>
      <c r="X582" s="1207"/>
      <c r="Y582" s="1207"/>
      <c r="Z582" s="1207"/>
      <c r="AA582" s="1207"/>
      <c r="AB582" s="1207"/>
      <c r="AC582" s="1207"/>
      <c r="AD582" s="1207"/>
      <c r="AE582" s="1207"/>
      <c r="AF582" s="1207"/>
      <c r="AG582" s="1207"/>
      <c r="AH582" s="1207"/>
      <c r="AI582" s="1207"/>
      <c r="AJ582" s="1207"/>
      <c r="AK582" s="1207"/>
      <c r="AL582" s="1207"/>
      <c r="AM582" s="1207"/>
      <c r="AN582" s="1207"/>
      <c r="AO582" s="1207"/>
      <c r="AP582" s="1207"/>
      <c r="AQ582" s="1207"/>
      <c r="AR582" s="1207"/>
      <c r="AS582" s="1207"/>
      <c r="AT582" s="1207"/>
      <c r="AU582" s="1207"/>
      <c r="AV582" s="1207"/>
      <c r="AW582" s="1207"/>
      <c r="AX582" s="1207"/>
      <c r="AY582" s="1207"/>
      <c r="AZ582" s="1207"/>
      <c r="BA582" s="1207"/>
      <c r="BB582" s="1207"/>
      <c r="BC582" s="1207"/>
      <c r="BD582" s="1207"/>
      <c r="BE582" s="1207"/>
      <c r="BF582" s="1207"/>
      <c r="BG582" s="1207"/>
      <c r="BH582" s="1207"/>
      <c r="BI582" s="1207"/>
      <c r="BJ582" s="1207"/>
      <c r="BK582" s="1207"/>
      <c r="BL582" s="1207"/>
      <c r="BM582" s="1207"/>
      <c r="BN582" s="1207"/>
      <c r="BO582" s="1207"/>
      <c r="BP582" s="1207"/>
      <c r="BQ582" s="1207"/>
      <c r="BR582" s="1207"/>
      <c r="BS582" s="1207"/>
      <c r="BT582" s="1207"/>
      <c r="BU582" s="1207"/>
      <c r="BV582" s="1207"/>
      <c r="BW582" s="1207"/>
      <c r="BX582" s="1207"/>
      <c r="BY582" s="1207"/>
      <c r="BZ582" s="1207"/>
      <c r="CA582" s="1207"/>
      <c r="CB582" s="1207"/>
      <c r="CC582" s="1207"/>
      <c r="CD582" s="1207"/>
      <c r="CE582" s="1207"/>
      <c r="CF582" s="1207"/>
    </row>
    <row r="583" spans="1:84" ht="30" x14ac:dyDescent="0.2">
      <c r="A583" s="1355">
        <v>2022568</v>
      </c>
      <c r="B583" s="1172" t="s">
        <v>459</v>
      </c>
      <c r="C583" s="1356"/>
      <c r="D583" s="1190" t="s">
        <v>691</v>
      </c>
      <c r="E583" s="1174" t="s">
        <v>1188</v>
      </c>
      <c r="F583" s="1389" t="s">
        <v>1189</v>
      </c>
      <c r="G583" s="1390">
        <v>44713</v>
      </c>
      <c r="H583" s="1390">
        <v>44742</v>
      </c>
      <c r="I583" s="1176">
        <v>7</v>
      </c>
      <c r="J583" s="1176" t="s">
        <v>675</v>
      </c>
      <c r="K583" s="1177" t="s">
        <v>676</v>
      </c>
      <c r="L583" s="1178"/>
      <c r="M583" s="1179">
        <v>124000000</v>
      </c>
      <c r="N583" s="1386"/>
      <c r="O583" s="1174"/>
      <c r="P583" s="1207" t="s">
        <v>680</v>
      </c>
      <c r="Q583" s="1163"/>
      <c r="R583" s="1357"/>
      <c r="S583" s="1357"/>
      <c r="T583" s="1357">
        <f>+Tabla16[[#This Row],[CDPS A 31 JULIO 2022]]-Tabla16[[#This Row],[CDP]]</f>
        <v>0</v>
      </c>
      <c r="U583" s="1357"/>
      <c r="V583" s="1357"/>
      <c r="W583" s="1357"/>
      <c r="X583" s="1207"/>
      <c r="Y583" s="1207"/>
      <c r="Z583" s="1207"/>
      <c r="AA583" s="1207"/>
      <c r="AB583" s="1207"/>
      <c r="AC583" s="1207"/>
      <c r="AD583" s="1207"/>
      <c r="AE583" s="1207"/>
      <c r="AF583" s="1207"/>
      <c r="AG583" s="1207"/>
      <c r="AH583" s="1207"/>
      <c r="AI583" s="1207"/>
      <c r="AJ583" s="1207"/>
      <c r="AK583" s="1207"/>
      <c r="AL583" s="1207"/>
      <c r="AM583" s="1207"/>
      <c r="AN583" s="1207"/>
      <c r="AO583" s="1207"/>
      <c r="AP583" s="1207"/>
      <c r="AQ583" s="1207"/>
      <c r="AR583" s="1207"/>
      <c r="AS583" s="1207"/>
      <c r="AT583" s="1207"/>
      <c r="AU583" s="1207"/>
      <c r="AV583" s="1207"/>
      <c r="AW583" s="1207"/>
      <c r="AX583" s="1207"/>
      <c r="AY583" s="1207"/>
      <c r="AZ583" s="1207"/>
      <c r="BA583" s="1207"/>
      <c r="BB583" s="1207"/>
      <c r="BC583" s="1207"/>
      <c r="BD583" s="1207"/>
      <c r="BE583" s="1207"/>
      <c r="BF583" s="1207"/>
      <c r="BG583" s="1207"/>
      <c r="BH583" s="1207"/>
      <c r="BI583" s="1207"/>
      <c r="BJ583" s="1207"/>
      <c r="BK583" s="1207"/>
      <c r="BL583" s="1207"/>
      <c r="BM583" s="1207"/>
      <c r="BN583" s="1207"/>
      <c r="BO583" s="1207"/>
      <c r="BP583" s="1207"/>
      <c r="BQ583" s="1207"/>
      <c r="BR583" s="1207"/>
      <c r="BS583" s="1207"/>
      <c r="BT583" s="1207"/>
      <c r="BU583" s="1207"/>
      <c r="BV583" s="1207"/>
      <c r="BW583" s="1207"/>
      <c r="BX583" s="1207"/>
      <c r="BY583" s="1207"/>
      <c r="BZ583" s="1207"/>
      <c r="CA583" s="1207"/>
      <c r="CB583" s="1207"/>
      <c r="CC583" s="1207"/>
      <c r="CD583" s="1207"/>
      <c r="CE583" s="1207"/>
      <c r="CF583" s="1207"/>
    </row>
    <row r="584" spans="1:84" ht="30" x14ac:dyDescent="0.2">
      <c r="A584" s="1355">
        <v>2022569</v>
      </c>
      <c r="B584" s="1172" t="s">
        <v>459</v>
      </c>
      <c r="C584" s="1356"/>
      <c r="D584" s="1190" t="s">
        <v>691</v>
      </c>
      <c r="E584" s="1174" t="s">
        <v>1188</v>
      </c>
      <c r="F584" s="1389" t="s">
        <v>1190</v>
      </c>
      <c r="G584" s="1390">
        <v>44562</v>
      </c>
      <c r="H584" s="1390">
        <v>44592</v>
      </c>
      <c r="I584" s="1176">
        <v>12</v>
      </c>
      <c r="J584" s="1176" t="s">
        <v>675</v>
      </c>
      <c r="K584" s="1177" t="s">
        <v>676</v>
      </c>
      <c r="L584" s="1178"/>
      <c r="M584" s="1179">
        <v>109000000</v>
      </c>
      <c r="N584" s="1386"/>
      <c r="O584" s="1174"/>
      <c r="P584" s="1207" t="s">
        <v>680</v>
      </c>
      <c r="Q584" s="1163"/>
      <c r="R584" s="1357"/>
      <c r="S584" s="1357"/>
      <c r="T584" s="1357">
        <f>+Tabla16[[#This Row],[CDPS A 31 JULIO 2022]]-Tabla16[[#This Row],[CDP]]</f>
        <v>0</v>
      </c>
      <c r="U584" s="1357"/>
      <c r="V584" s="1357"/>
      <c r="W584" s="1357"/>
      <c r="X584" s="1207"/>
      <c r="Y584" s="1207"/>
      <c r="Z584" s="1207"/>
      <c r="AA584" s="1207"/>
      <c r="AB584" s="1207"/>
      <c r="AC584" s="1207"/>
      <c r="AD584" s="1207"/>
      <c r="AE584" s="1207"/>
      <c r="AF584" s="1207"/>
      <c r="AG584" s="1207"/>
      <c r="AH584" s="1207"/>
      <c r="AI584" s="1207"/>
      <c r="AJ584" s="1207"/>
      <c r="AK584" s="1207"/>
      <c r="AL584" s="1207"/>
      <c r="AM584" s="1207"/>
      <c r="AN584" s="1207"/>
      <c r="AO584" s="1207"/>
      <c r="AP584" s="1207"/>
      <c r="AQ584" s="1207"/>
      <c r="AR584" s="1207"/>
      <c r="AS584" s="1207"/>
      <c r="AT584" s="1207"/>
      <c r="AU584" s="1207"/>
      <c r="AV584" s="1207"/>
      <c r="AW584" s="1207"/>
      <c r="AX584" s="1207"/>
      <c r="AY584" s="1207"/>
      <c r="AZ584" s="1207"/>
      <c r="BA584" s="1207"/>
      <c r="BB584" s="1207"/>
      <c r="BC584" s="1207"/>
      <c r="BD584" s="1207"/>
      <c r="BE584" s="1207"/>
      <c r="BF584" s="1207"/>
      <c r="BG584" s="1207"/>
      <c r="BH584" s="1207"/>
      <c r="BI584" s="1207"/>
      <c r="BJ584" s="1207"/>
      <c r="BK584" s="1207"/>
      <c r="BL584" s="1207"/>
      <c r="BM584" s="1207"/>
      <c r="BN584" s="1207"/>
      <c r="BO584" s="1207"/>
      <c r="BP584" s="1207"/>
      <c r="BQ584" s="1207"/>
      <c r="BR584" s="1207"/>
      <c r="BS584" s="1207"/>
      <c r="BT584" s="1207"/>
      <c r="BU584" s="1207"/>
      <c r="BV584" s="1207"/>
      <c r="BW584" s="1207"/>
      <c r="BX584" s="1207"/>
      <c r="BY584" s="1207"/>
      <c r="BZ584" s="1207"/>
      <c r="CA584" s="1207"/>
      <c r="CB584" s="1207"/>
      <c r="CC584" s="1207"/>
      <c r="CD584" s="1207"/>
      <c r="CE584" s="1207"/>
      <c r="CF584" s="1207"/>
    </row>
    <row r="585" spans="1:84" ht="45" x14ac:dyDescent="0.2">
      <c r="A585" s="1355">
        <v>2022570</v>
      </c>
      <c r="B585" s="1172" t="s">
        <v>459</v>
      </c>
      <c r="C585" s="1356"/>
      <c r="D585" s="1190" t="s">
        <v>691</v>
      </c>
      <c r="E585" s="1174" t="s">
        <v>782</v>
      </c>
      <c r="F585" s="1389" t="s">
        <v>1191</v>
      </c>
      <c r="G585" s="1390">
        <v>44743</v>
      </c>
      <c r="H585" s="1390">
        <v>44772</v>
      </c>
      <c r="I585" s="1176">
        <v>11.5</v>
      </c>
      <c r="J585" s="1176" t="s">
        <v>675</v>
      </c>
      <c r="K585" s="1177" t="s">
        <v>676</v>
      </c>
      <c r="L585" s="1178"/>
      <c r="M585" s="1179">
        <v>350000000</v>
      </c>
      <c r="N585" s="1386"/>
      <c r="O585" s="1174"/>
      <c r="P585" s="1207" t="s">
        <v>680</v>
      </c>
      <c r="Q585" s="1163"/>
      <c r="R585" s="1357"/>
      <c r="S585" s="1357"/>
      <c r="T585" s="1357">
        <f>+Tabla16[[#This Row],[CDPS A 31 JULIO 2022]]-Tabla16[[#This Row],[CDP]]</f>
        <v>0</v>
      </c>
      <c r="U585" s="1357"/>
      <c r="V585" s="1357"/>
      <c r="W585" s="1357"/>
      <c r="X585" s="1207"/>
      <c r="Y585" s="1207"/>
      <c r="Z585" s="1207"/>
      <c r="AA585" s="1207"/>
      <c r="AB585" s="1207"/>
      <c r="AC585" s="1207"/>
      <c r="AD585" s="1207"/>
      <c r="AE585" s="1207"/>
      <c r="AF585" s="1207"/>
      <c r="AG585" s="1207"/>
      <c r="AH585" s="1207"/>
      <c r="AI585" s="1207"/>
      <c r="AJ585" s="1207"/>
      <c r="AK585" s="1207"/>
      <c r="AL585" s="1207"/>
      <c r="AM585" s="1207"/>
      <c r="AN585" s="1207"/>
      <c r="AO585" s="1207"/>
      <c r="AP585" s="1207"/>
      <c r="AQ585" s="1207"/>
      <c r="AR585" s="1207"/>
      <c r="AS585" s="1207"/>
      <c r="AT585" s="1207"/>
      <c r="AU585" s="1207"/>
      <c r="AV585" s="1207"/>
      <c r="AW585" s="1207"/>
      <c r="AX585" s="1207"/>
      <c r="AY585" s="1207"/>
      <c r="AZ585" s="1207"/>
      <c r="BA585" s="1207"/>
      <c r="BB585" s="1207"/>
      <c r="BC585" s="1207"/>
      <c r="BD585" s="1207"/>
      <c r="BE585" s="1207"/>
      <c r="BF585" s="1207"/>
      <c r="BG585" s="1207"/>
      <c r="BH585" s="1207"/>
      <c r="BI585" s="1207"/>
      <c r="BJ585" s="1207"/>
      <c r="BK585" s="1207"/>
      <c r="BL585" s="1207"/>
      <c r="BM585" s="1207"/>
      <c r="BN585" s="1207"/>
      <c r="BO585" s="1207"/>
      <c r="BP585" s="1207"/>
      <c r="BQ585" s="1207"/>
      <c r="BR585" s="1207"/>
      <c r="BS585" s="1207"/>
      <c r="BT585" s="1207"/>
      <c r="BU585" s="1207"/>
      <c r="BV585" s="1207"/>
      <c r="BW585" s="1207"/>
      <c r="BX585" s="1207"/>
      <c r="BY585" s="1207"/>
      <c r="BZ585" s="1207"/>
      <c r="CA585" s="1207"/>
      <c r="CB585" s="1207"/>
      <c r="CC585" s="1207"/>
      <c r="CD585" s="1207"/>
      <c r="CE585" s="1207"/>
      <c r="CF585" s="1207"/>
    </row>
    <row r="586" spans="1:84" ht="30" x14ac:dyDescent="0.2">
      <c r="A586" s="1355">
        <v>2022574</v>
      </c>
      <c r="B586" s="1172" t="s">
        <v>459</v>
      </c>
      <c r="C586" s="1356"/>
      <c r="D586" s="1190" t="s">
        <v>691</v>
      </c>
      <c r="E586" s="1174" t="s">
        <v>1193</v>
      </c>
      <c r="F586" s="1389" t="s">
        <v>1194</v>
      </c>
      <c r="G586" s="1390">
        <v>44713</v>
      </c>
      <c r="H586" s="1390">
        <v>44742</v>
      </c>
      <c r="I586" s="1176">
        <v>6</v>
      </c>
      <c r="J586" s="1176" t="s">
        <v>675</v>
      </c>
      <c r="K586" s="1177" t="s">
        <v>676</v>
      </c>
      <c r="L586" s="1178"/>
      <c r="M586" s="1179">
        <f>4019274+664250+524098+294046</f>
        <v>5501668</v>
      </c>
      <c r="N586" s="1386"/>
      <c r="O586" s="1174"/>
      <c r="P586" s="1207" t="s">
        <v>680</v>
      </c>
      <c r="Q586" s="1163"/>
      <c r="R586" s="1357"/>
      <c r="S586" s="1357"/>
      <c r="T586" s="1357">
        <f>+Tabla16[[#This Row],[CDPS A 31 JULIO 2022]]-Tabla16[[#This Row],[CDP]]</f>
        <v>0</v>
      </c>
      <c r="U586" s="1357"/>
      <c r="V586" s="1357"/>
      <c r="W586" s="1357"/>
      <c r="X586" s="1207"/>
      <c r="Y586" s="1207"/>
      <c r="Z586" s="1207"/>
      <c r="AA586" s="1207"/>
      <c r="AB586" s="1207"/>
      <c r="AC586" s="1207"/>
      <c r="AD586" s="1207"/>
      <c r="AE586" s="1207"/>
      <c r="AF586" s="1207"/>
      <c r="AG586" s="1207"/>
      <c r="AH586" s="1207"/>
      <c r="AI586" s="1207"/>
      <c r="AJ586" s="1207"/>
      <c r="AK586" s="1207"/>
      <c r="AL586" s="1207"/>
      <c r="AM586" s="1207"/>
      <c r="AN586" s="1207"/>
      <c r="AO586" s="1207"/>
      <c r="AP586" s="1207"/>
      <c r="AQ586" s="1207"/>
      <c r="AR586" s="1207"/>
      <c r="AS586" s="1207"/>
      <c r="AT586" s="1207"/>
      <c r="AU586" s="1207"/>
      <c r="AV586" s="1207"/>
      <c r="AW586" s="1207"/>
      <c r="AX586" s="1207"/>
      <c r="AY586" s="1207"/>
      <c r="AZ586" s="1207"/>
      <c r="BA586" s="1207"/>
      <c r="BB586" s="1207"/>
      <c r="BC586" s="1207"/>
      <c r="BD586" s="1207"/>
      <c r="BE586" s="1207"/>
      <c r="BF586" s="1207"/>
      <c r="BG586" s="1207"/>
      <c r="BH586" s="1207"/>
      <c r="BI586" s="1207"/>
      <c r="BJ586" s="1207"/>
      <c r="BK586" s="1207"/>
      <c r="BL586" s="1207"/>
      <c r="BM586" s="1207"/>
      <c r="BN586" s="1207"/>
      <c r="BO586" s="1207"/>
      <c r="BP586" s="1207"/>
      <c r="BQ586" s="1207"/>
      <c r="BR586" s="1207"/>
      <c r="BS586" s="1207"/>
      <c r="BT586" s="1207"/>
      <c r="BU586" s="1207"/>
      <c r="BV586" s="1207"/>
      <c r="BW586" s="1207"/>
      <c r="BX586" s="1207"/>
      <c r="BY586" s="1207"/>
      <c r="BZ586" s="1207"/>
      <c r="CA586" s="1207"/>
      <c r="CB586" s="1207"/>
      <c r="CC586" s="1207"/>
      <c r="CD586" s="1207"/>
      <c r="CE586" s="1207"/>
      <c r="CF586" s="1207"/>
    </row>
    <row r="587" spans="1:84" ht="45" x14ac:dyDescent="0.2">
      <c r="A587" s="1355">
        <v>2022575</v>
      </c>
      <c r="B587" s="1172" t="s">
        <v>459</v>
      </c>
      <c r="C587" s="1356"/>
      <c r="D587" s="1190" t="s">
        <v>691</v>
      </c>
      <c r="E587" s="1174" t="s">
        <v>1195</v>
      </c>
      <c r="F587" s="1389" t="s">
        <v>1196</v>
      </c>
      <c r="G587" s="1390">
        <v>44562</v>
      </c>
      <c r="H587" s="1390">
        <v>44592</v>
      </c>
      <c r="I587" s="1176">
        <v>5</v>
      </c>
      <c r="J587" s="1176" t="s">
        <v>675</v>
      </c>
      <c r="K587" s="1177" t="s">
        <v>676</v>
      </c>
      <c r="L587" s="1178"/>
      <c r="M587" s="1179">
        <f>8664250-664250</f>
        <v>8000000</v>
      </c>
      <c r="N587" s="1386"/>
      <c r="O587" s="1174"/>
      <c r="P587" s="1207" t="s">
        <v>759</v>
      </c>
      <c r="Q587" s="1163"/>
      <c r="R587" s="1357"/>
      <c r="S587" s="1357"/>
      <c r="T587" s="1357">
        <f>+Tabla16[[#This Row],[CDPS A 31 JULIO 2022]]-Tabla16[[#This Row],[CDP]]</f>
        <v>0</v>
      </c>
      <c r="U587" s="1357"/>
      <c r="V587" s="1357"/>
      <c r="W587" s="1357"/>
      <c r="X587" s="1207"/>
      <c r="Y587" s="1207"/>
      <c r="Z587" s="1207"/>
      <c r="AA587" s="1207"/>
      <c r="AB587" s="1207"/>
      <c r="AC587" s="1207"/>
      <c r="AD587" s="1207"/>
      <c r="AE587" s="1207"/>
      <c r="AF587" s="1207"/>
      <c r="AG587" s="1207"/>
      <c r="AH587" s="1207"/>
      <c r="AI587" s="1207"/>
      <c r="AJ587" s="1207"/>
      <c r="AK587" s="1207"/>
      <c r="AL587" s="1207"/>
      <c r="AM587" s="1207"/>
      <c r="AN587" s="1207"/>
      <c r="AO587" s="1207"/>
      <c r="AP587" s="1207"/>
      <c r="AQ587" s="1207"/>
      <c r="AR587" s="1207"/>
      <c r="AS587" s="1207"/>
      <c r="AT587" s="1207"/>
      <c r="AU587" s="1207"/>
      <c r="AV587" s="1207"/>
      <c r="AW587" s="1207"/>
      <c r="AX587" s="1207"/>
      <c r="AY587" s="1207"/>
      <c r="AZ587" s="1207"/>
      <c r="BA587" s="1207"/>
      <c r="BB587" s="1207"/>
      <c r="BC587" s="1207"/>
      <c r="BD587" s="1207"/>
      <c r="BE587" s="1207"/>
      <c r="BF587" s="1207"/>
      <c r="BG587" s="1207"/>
      <c r="BH587" s="1207"/>
      <c r="BI587" s="1207"/>
      <c r="BJ587" s="1207"/>
      <c r="BK587" s="1207"/>
      <c r="BL587" s="1207"/>
      <c r="BM587" s="1207"/>
      <c r="BN587" s="1207"/>
      <c r="BO587" s="1207"/>
      <c r="BP587" s="1207"/>
      <c r="BQ587" s="1207"/>
      <c r="BR587" s="1207"/>
      <c r="BS587" s="1207"/>
      <c r="BT587" s="1207"/>
      <c r="BU587" s="1207"/>
      <c r="BV587" s="1207"/>
      <c r="BW587" s="1207"/>
      <c r="BX587" s="1207"/>
      <c r="BY587" s="1207"/>
      <c r="BZ587" s="1207"/>
      <c r="CA587" s="1207"/>
      <c r="CB587" s="1207"/>
      <c r="CC587" s="1207"/>
      <c r="CD587" s="1207"/>
      <c r="CE587" s="1207"/>
      <c r="CF587" s="1207"/>
    </row>
    <row r="588" spans="1:84" ht="30" x14ac:dyDescent="0.2">
      <c r="A588" s="1355">
        <v>2022576</v>
      </c>
      <c r="B588" s="1172" t="s">
        <v>459</v>
      </c>
      <c r="C588" s="1356"/>
      <c r="D588" s="1190" t="s">
        <v>691</v>
      </c>
      <c r="E588" s="1174" t="s">
        <v>1193</v>
      </c>
      <c r="F588" s="1389" t="s">
        <v>1197</v>
      </c>
      <c r="G588" s="1390">
        <v>44713</v>
      </c>
      <c r="H588" s="1390">
        <v>44742</v>
      </c>
      <c r="I588" s="1176">
        <v>9</v>
      </c>
      <c r="J588" s="1176" t="s">
        <v>675</v>
      </c>
      <c r="K588" s="1177" t="s">
        <v>676</v>
      </c>
      <c r="L588" s="1178"/>
      <c r="M588" s="1179">
        <f>13335750-524098</f>
        <v>12811652</v>
      </c>
      <c r="N588" s="1386"/>
      <c r="O588" s="1174"/>
      <c r="P588" s="1207" t="s">
        <v>680</v>
      </c>
      <c r="Q588" s="1163"/>
      <c r="R588" s="1357"/>
      <c r="S588" s="1357"/>
      <c r="T588" s="1357">
        <f>+Tabla16[[#This Row],[CDPS A 31 JULIO 2022]]-Tabla16[[#This Row],[CDP]]</f>
        <v>0</v>
      </c>
      <c r="U588" s="1357"/>
      <c r="V588" s="1357"/>
      <c r="W588" s="1357"/>
      <c r="X588" s="1207"/>
      <c r="Y588" s="1207"/>
      <c r="Z588" s="1207"/>
      <c r="AA588" s="1207"/>
      <c r="AB588" s="1207"/>
      <c r="AC588" s="1207"/>
      <c r="AD588" s="1207"/>
      <c r="AE588" s="1207"/>
      <c r="AF588" s="1207"/>
      <c r="AG588" s="1207"/>
      <c r="AH588" s="1207"/>
      <c r="AI588" s="1207"/>
      <c r="AJ588" s="1207"/>
      <c r="AK588" s="1207"/>
      <c r="AL588" s="1207"/>
      <c r="AM588" s="1207"/>
      <c r="AN588" s="1207"/>
      <c r="AO588" s="1207"/>
      <c r="AP588" s="1207"/>
      <c r="AQ588" s="1207"/>
      <c r="AR588" s="1207"/>
      <c r="AS588" s="1207"/>
      <c r="AT588" s="1207"/>
      <c r="AU588" s="1207"/>
      <c r="AV588" s="1207"/>
      <c r="AW588" s="1207"/>
      <c r="AX588" s="1207"/>
      <c r="AY588" s="1207"/>
      <c r="AZ588" s="1207"/>
      <c r="BA588" s="1207"/>
      <c r="BB588" s="1207"/>
      <c r="BC588" s="1207"/>
      <c r="BD588" s="1207"/>
      <c r="BE588" s="1207"/>
      <c r="BF588" s="1207"/>
      <c r="BG588" s="1207"/>
      <c r="BH588" s="1207"/>
      <c r="BI588" s="1207"/>
      <c r="BJ588" s="1207"/>
      <c r="BK588" s="1207"/>
      <c r="BL588" s="1207"/>
      <c r="BM588" s="1207"/>
      <c r="BN588" s="1207"/>
      <c r="BO588" s="1207"/>
      <c r="BP588" s="1207"/>
      <c r="BQ588" s="1207"/>
      <c r="BR588" s="1207"/>
      <c r="BS588" s="1207"/>
      <c r="BT588" s="1207"/>
      <c r="BU588" s="1207"/>
      <c r="BV588" s="1207"/>
      <c r="BW588" s="1207"/>
      <c r="BX588" s="1207"/>
      <c r="BY588" s="1207"/>
      <c r="BZ588" s="1207"/>
      <c r="CA588" s="1207"/>
      <c r="CB588" s="1207"/>
      <c r="CC588" s="1207"/>
      <c r="CD588" s="1207"/>
      <c r="CE588" s="1207"/>
      <c r="CF588" s="1207"/>
    </row>
    <row r="589" spans="1:84" ht="30" x14ac:dyDescent="0.2">
      <c r="A589" s="1355">
        <v>2022577</v>
      </c>
      <c r="B589" s="1172" t="s">
        <v>459</v>
      </c>
      <c r="C589" s="1356"/>
      <c r="D589" s="1190" t="s">
        <v>691</v>
      </c>
      <c r="E589" s="1174" t="s">
        <v>1195</v>
      </c>
      <c r="F589" s="1389" t="s">
        <v>1194</v>
      </c>
      <c r="G589" s="1390">
        <v>44774</v>
      </c>
      <c r="H589" s="1390">
        <v>44804</v>
      </c>
      <c r="I589" s="1176">
        <v>6</v>
      </c>
      <c r="J589" s="1176" t="s">
        <v>675</v>
      </c>
      <c r="K589" s="1177" t="s">
        <v>676</v>
      </c>
      <c r="L589" s="1178"/>
      <c r="M589" s="1179">
        <f>3980726-294046</f>
        <v>3686680</v>
      </c>
      <c r="N589" s="1386"/>
      <c r="O589" s="1174"/>
      <c r="P589" s="1207" t="s">
        <v>680</v>
      </c>
      <c r="Q589" s="1163"/>
      <c r="R589" s="1357"/>
      <c r="S589" s="1357"/>
      <c r="T589" s="1357">
        <f>+Tabla16[[#This Row],[CDPS A 31 JULIO 2022]]-Tabla16[[#This Row],[CDP]]</f>
        <v>0</v>
      </c>
      <c r="U589" s="1357"/>
      <c r="V589" s="1357"/>
      <c r="W589" s="1357"/>
      <c r="X589" s="1207"/>
      <c r="Y589" s="1207"/>
      <c r="Z589" s="1207"/>
      <c r="AA589" s="1207"/>
      <c r="AB589" s="1207"/>
      <c r="AC589" s="1207"/>
      <c r="AD589" s="1207"/>
      <c r="AE589" s="1207"/>
      <c r="AF589" s="1207"/>
      <c r="AG589" s="1207"/>
      <c r="AH589" s="1207"/>
      <c r="AI589" s="1207"/>
      <c r="AJ589" s="1207"/>
      <c r="AK589" s="1207"/>
      <c r="AL589" s="1207"/>
      <c r="AM589" s="1207"/>
      <c r="AN589" s="1207"/>
      <c r="AO589" s="1207"/>
      <c r="AP589" s="1207"/>
      <c r="AQ589" s="1207"/>
      <c r="AR589" s="1207"/>
      <c r="AS589" s="1207"/>
      <c r="AT589" s="1207"/>
      <c r="AU589" s="1207"/>
      <c r="AV589" s="1207"/>
      <c r="AW589" s="1207"/>
      <c r="AX589" s="1207"/>
      <c r="AY589" s="1207"/>
      <c r="AZ589" s="1207"/>
      <c r="BA589" s="1207"/>
      <c r="BB589" s="1207"/>
      <c r="BC589" s="1207"/>
      <c r="BD589" s="1207"/>
      <c r="BE589" s="1207"/>
      <c r="BF589" s="1207"/>
      <c r="BG589" s="1207"/>
      <c r="BH589" s="1207"/>
      <c r="BI589" s="1207"/>
      <c r="BJ589" s="1207"/>
      <c r="BK589" s="1207"/>
      <c r="BL589" s="1207"/>
      <c r="BM589" s="1207"/>
      <c r="BN589" s="1207"/>
      <c r="BO589" s="1207"/>
      <c r="BP589" s="1207"/>
      <c r="BQ589" s="1207"/>
      <c r="BR589" s="1207"/>
      <c r="BS589" s="1207"/>
      <c r="BT589" s="1207"/>
      <c r="BU589" s="1207"/>
      <c r="BV589" s="1207"/>
      <c r="BW589" s="1207"/>
      <c r="BX589" s="1207"/>
      <c r="BY589" s="1207"/>
      <c r="BZ589" s="1207"/>
      <c r="CA589" s="1207"/>
      <c r="CB589" s="1207"/>
      <c r="CC589" s="1207"/>
      <c r="CD589" s="1207"/>
      <c r="CE589" s="1207"/>
      <c r="CF589" s="1207"/>
    </row>
    <row r="590" spans="1:84" ht="60" x14ac:dyDescent="0.2">
      <c r="A590" s="1355">
        <v>2022578</v>
      </c>
      <c r="B590" s="1172" t="s">
        <v>459</v>
      </c>
      <c r="C590" s="1356"/>
      <c r="D590" s="1190" t="s">
        <v>691</v>
      </c>
      <c r="E590" s="1174" t="s">
        <v>810</v>
      </c>
      <c r="F590" s="1389" t="s">
        <v>811</v>
      </c>
      <c r="G590" s="1390">
        <v>44562</v>
      </c>
      <c r="H590" s="1390">
        <v>44592</v>
      </c>
      <c r="I590" s="1176"/>
      <c r="J590" s="1176" t="s">
        <v>698</v>
      </c>
      <c r="K590" s="1177" t="s">
        <v>676</v>
      </c>
      <c r="L590" s="1178"/>
      <c r="M590" s="1179">
        <v>20000000</v>
      </c>
      <c r="N590" s="1386"/>
      <c r="O590" s="1174"/>
      <c r="P590" s="1207" t="s">
        <v>759</v>
      </c>
      <c r="Q590" s="1163"/>
      <c r="R590" s="1357"/>
      <c r="S590" s="1357"/>
      <c r="T590" s="1357">
        <f>+Tabla16[[#This Row],[CDPS A 31 JULIO 2022]]-Tabla16[[#This Row],[CDP]]</f>
        <v>0</v>
      </c>
      <c r="U590" s="1357"/>
      <c r="V590" s="1357"/>
      <c r="W590" s="1357"/>
      <c r="X590" s="1207"/>
      <c r="Y590" s="1207"/>
      <c r="Z590" s="1207"/>
      <c r="AA590" s="1207"/>
      <c r="AB590" s="1207"/>
      <c r="AC590" s="1207"/>
      <c r="AD590" s="1207"/>
      <c r="AE590" s="1207"/>
      <c r="AF590" s="1207"/>
      <c r="AG590" s="1207"/>
      <c r="AH590" s="1207"/>
      <c r="AI590" s="1207"/>
      <c r="AJ590" s="1207"/>
      <c r="AK590" s="1207"/>
      <c r="AL590" s="1207"/>
      <c r="AM590" s="1207"/>
      <c r="AN590" s="1207"/>
      <c r="AO590" s="1207"/>
      <c r="AP590" s="1207"/>
      <c r="AQ590" s="1207"/>
      <c r="AR590" s="1207"/>
      <c r="AS590" s="1207"/>
      <c r="AT590" s="1207"/>
      <c r="AU590" s="1207"/>
      <c r="AV590" s="1207"/>
      <c r="AW590" s="1207"/>
      <c r="AX590" s="1207"/>
      <c r="AY590" s="1207"/>
      <c r="AZ590" s="1207"/>
      <c r="BA590" s="1207"/>
      <c r="BB590" s="1207"/>
      <c r="BC590" s="1207"/>
      <c r="BD590" s="1207"/>
      <c r="BE590" s="1207"/>
      <c r="BF590" s="1207"/>
      <c r="BG590" s="1207"/>
      <c r="BH590" s="1207"/>
      <c r="BI590" s="1207"/>
      <c r="BJ590" s="1207"/>
      <c r="BK590" s="1207"/>
      <c r="BL590" s="1207"/>
      <c r="BM590" s="1207"/>
      <c r="BN590" s="1207"/>
      <c r="BO590" s="1207"/>
      <c r="BP590" s="1207"/>
      <c r="BQ590" s="1207"/>
      <c r="BR590" s="1207"/>
      <c r="BS590" s="1207"/>
      <c r="BT590" s="1207"/>
      <c r="BU590" s="1207"/>
      <c r="BV590" s="1207"/>
      <c r="BW590" s="1207"/>
      <c r="BX590" s="1207"/>
      <c r="BY590" s="1207"/>
      <c r="BZ590" s="1207"/>
      <c r="CA590" s="1207"/>
      <c r="CB590" s="1207"/>
      <c r="CC590" s="1207"/>
      <c r="CD590" s="1207"/>
      <c r="CE590" s="1207"/>
      <c r="CF590" s="1207"/>
    </row>
    <row r="591" spans="1:84" ht="45" x14ac:dyDescent="0.2">
      <c r="A591" s="1355">
        <v>2022579</v>
      </c>
      <c r="B591" s="1172" t="s">
        <v>459</v>
      </c>
      <c r="C591" s="1356"/>
      <c r="D591" s="1190" t="s">
        <v>691</v>
      </c>
      <c r="E591" s="1174" t="s">
        <v>810</v>
      </c>
      <c r="F591" s="1389" t="s">
        <v>1198</v>
      </c>
      <c r="G591" s="1390">
        <v>44562</v>
      </c>
      <c r="H591" s="1390">
        <v>44592</v>
      </c>
      <c r="I591" s="1176">
        <v>10</v>
      </c>
      <c r="J591" s="1176" t="s">
        <v>689</v>
      </c>
      <c r="K591" s="1177" t="s">
        <v>676</v>
      </c>
      <c r="L591" s="1178"/>
      <c r="M591" s="1179">
        <v>130000000</v>
      </c>
      <c r="N591" s="1386"/>
      <c r="O591" s="1174"/>
      <c r="P591" s="1207" t="s">
        <v>680</v>
      </c>
      <c r="Q591" s="1163"/>
      <c r="R591" s="1357"/>
      <c r="S591" s="1357"/>
      <c r="T591" s="1357">
        <f>+Tabla16[[#This Row],[CDPS A 31 JULIO 2022]]-Tabla16[[#This Row],[CDP]]</f>
        <v>0</v>
      </c>
      <c r="U591" s="1357"/>
      <c r="V591" s="1357"/>
      <c r="W591" s="1357"/>
      <c r="X591" s="1207"/>
      <c r="Y591" s="1207"/>
      <c r="Z591" s="1207"/>
      <c r="AA591" s="1207"/>
      <c r="AB591" s="1207"/>
      <c r="AC591" s="1207"/>
      <c r="AD591" s="1207"/>
      <c r="AE591" s="1207"/>
      <c r="AF591" s="1207"/>
      <c r="AG591" s="1207"/>
      <c r="AH591" s="1207"/>
      <c r="AI591" s="1207"/>
      <c r="AJ591" s="1207"/>
      <c r="AK591" s="1207"/>
      <c r="AL591" s="1207"/>
      <c r="AM591" s="1207"/>
      <c r="AN591" s="1207"/>
      <c r="AO591" s="1207"/>
      <c r="AP591" s="1207"/>
      <c r="AQ591" s="1207"/>
      <c r="AR591" s="1207"/>
      <c r="AS591" s="1207"/>
      <c r="AT591" s="1207"/>
      <c r="AU591" s="1207"/>
      <c r="AV591" s="1207"/>
      <c r="AW591" s="1207"/>
      <c r="AX591" s="1207"/>
      <c r="AY591" s="1207"/>
      <c r="AZ591" s="1207"/>
      <c r="BA591" s="1207"/>
      <c r="BB591" s="1207"/>
      <c r="BC591" s="1207"/>
      <c r="BD591" s="1207"/>
      <c r="BE591" s="1207"/>
      <c r="BF591" s="1207"/>
      <c r="BG591" s="1207"/>
      <c r="BH591" s="1207"/>
      <c r="BI591" s="1207"/>
      <c r="BJ591" s="1207"/>
      <c r="BK591" s="1207"/>
      <c r="BL591" s="1207"/>
      <c r="BM591" s="1207"/>
      <c r="BN591" s="1207"/>
      <c r="BO591" s="1207"/>
      <c r="BP591" s="1207"/>
      <c r="BQ591" s="1207"/>
      <c r="BR591" s="1207"/>
      <c r="BS591" s="1207"/>
      <c r="BT591" s="1207"/>
      <c r="BU591" s="1207"/>
      <c r="BV591" s="1207"/>
      <c r="BW591" s="1207"/>
      <c r="BX591" s="1207"/>
      <c r="BY591" s="1207"/>
      <c r="BZ591" s="1207"/>
      <c r="CA591" s="1207"/>
      <c r="CB591" s="1207"/>
      <c r="CC591" s="1207"/>
      <c r="CD591" s="1207"/>
      <c r="CE591" s="1207"/>
      <c r="CF591" s="1207"/>
    </row>
    <row r="592" spans="1:84" ht="30" x14ac:dyDescent="0.2">
      <c r="A592" s="1355">
        <v>2022580</v>
      </c>
      <c r="B592" s="1172" t="s">
        <v>459</v>
      </c>
      <c r="C592" s="1356"/>
      <c r="D592" s="1190" t="s">
        <v>684</v>
      </c>
      <c r="E592" s="1174" t="s">
        <v>782</v>
      </c>
      <c r="F592" s="1389" t="s">
        <v>1199</v>
      </c>
      <c r="G592" s="1390">
        <v>44562</v>
      </c>
      <c r="H592" s="1390">
        <v>44592</v>
      </c>
      <c r="I592" s="1176">
        <v>8</v>
      </c>
      <c r="J592" s="1176" t="s">
        <v>675</v>
      </c>
      <c r="K592" s="1177" t="s">
        <v>676</v>
      </c>
      <c r="L592" s="1178"/>
      <c r="M592" s="1179">
        <v>85650000</v>
      </c>
      <c r="N592" s="1386"/>
      <c r="O592" s="1174"/>
      <c r="P592" s="1207" t="s">
        <v>680</v>
      </c>
      <c r="Q592" s="1163"/>
      <c r="R592" s="1357"/>
      <c r="S592" s="1357"/>
      <c r="T592" s="1357">
        <f>+Tabla16[[#This Row],[CDPS A 31 JULIO 2022]]-Tabla16[[#This Row],[CDP]]</f>
        <v>0</v>
      </c>
      <c r="U592" s="1357"/>
      <c r="V592" s="1357"/>
      <c r="W592" s="1357"/>
      <c r="X592" s="1207"/>
      <c r="Y592" s="1207"/>
      <c r="Z592" s="1207"/>
      <c r="AA592" s="1207"/>
      <c r="AB592" s="1207"/>
      <c r="AC592" s="1207"/>
      <c r="AD592" s="1207"/>
      <c r="AE592" s="1207"/>
      <c r="AF592" s="1207"/>
      <c r="AG592" s="1207"/>
      <c r="AH592" s="1207"/>
      <c r="AI592" s="1207"/>
      <c r="AJ592" s="1207"/>
      <c r="AK592" s="1207"/>
      <c r="AL592" s="1207"/>
      <c r="AM592" s="1207"/>
      <c r="AN592" s="1207"/>
      <c r="AO592" s="1207"/>
      <c r="AP592" s="1207"/>
      <c r="AQ592" s="1207"/>
      <c r="AR592" s="1207"/>
      <c r="AS592" s="1207"/>
      <c r="AT592" s="1207"/>
      <c r="AU592" s="1207"/>
      <c r="AV592" s="1207"/>
      <c r="AW592" s="1207"/>
      <c r="AX592" s="1207"/>
      <c r="AY592" s="1207"/>
      <c r="AZ592" s="1207"/>
      <c r="BA592" s="1207"/>
      <c r="BB592" s="1207"/>
      <c r="BC592" s="1207"/>
      <c r="BD592" s="1207"/>
      <c r="BE592" s="1207"/>
      <c r="BF592" s="1207"/>
      <c r="BG592" s="1207"/>
      <c r="BH592" s="1207"/>
      <c r="BI592" s="1207"/>
      <c r="BJ592" s="1207"/>
      <c r="BK592" s="1207"/>
      <c r="BL592" s="1207"/>
      <c r="BM592" s="1207"/>
      <c r="BN592" s="1207"/>
      <c r="BO592" s="1207"/>
      <c r="BP592" s="1207"/>
      <c r="BQ592" s="1207"/>
      <c r="BR592" s="1207"/>
      <c r="BS592" s="1207"/>
      <c r="BT592" s="1207"/>
      <c r="BU592" s="1207"/>
      <c r="BV592" s="1207"/>
      <c r="BW592" s="1207"/>
      <c r="BX592" s="1207"/>
      <c r="BY592" s="1207"/>
      <c r="BZ592" s="1207"/>
      <c r="CA592" s="1207"/>
      <c r="CB592" s="1207"/>
      <c r="CC592" s="1207"/>
      <c r="CD592" s="1207"/>
      <c r="CE592" s="1207"/>
      <c r="CF592" s="1207"/>
    </row>
    <row r="593" spans="1:84" ht="45" x14ac:dyDescent="0.2">
      <c r="A593" s="1355">
        <v>2022581</v>
      </c>
      <c r="B593" s="1172" t="s">
        <v>459</v>
      </c>
      <c r="C593" s="1356"/>
      <c r="D593" s="1190" t="s">
        <v>684</v>
      </c>
      <c r="E593" s="1174" t="s">
        <v>782</v>
      </c>
      <c r="F593" s="1389" t="s">
        <v>1200</v>
      </c>
      <c r="G593" s="1390">
        <v>44562</v>
      </c>
      <c r="H593" s="1390">
        <v>44592</v>
      </c>
      <c r="I593" s="1176">
        <v>8</v>
      </c>
      <c r="J593" s="1176" t="s">
        <v>675</v>
      </c>
      <c r="K593" s="1177" t="s">
        <v>676</v>
      </c>
      <c r="L593" s="1178"/>
      <c r="M593" s="1179">
        <v>55350000</v>
      </c>
      <c r="N593" s="1386"/>
      <c r="O593" s="1174"/>
      <c r="P593" s="1207" t="s">
        <v>680</v>
      </c>
      <c r="Q593" s="1163"/>
      <c r="R593" s="1357"/>
      <c r="S593" s="1357"/>
      <c r="T593" s="1357">
        <f>+Tabla16[[#This Row],[CDPS A 31 JULIO 2022]]-Tabla16[[#This Row],[CDP]]</f>
        <v>0</v>
      </c>
      <c r="U593" s="1357"/>
      <c r="V593" s="1357"/>
      <c r="W593" s="1357"/>
      <c r="X593" s="1207"/>
      <c r="Y593" s="1207"/>
      <c r="Z593" s="1207"/>
      <c r="AA593" s="1207"/>
      <c r="AB593" s="1207"/>
      <c r="AC593" s="1207"/>
      <c r="AD593" s="1207"/>
      <c r="AE593" s="1207"/>
      <c r="AF593" s="1207"/>
      <c r="AG593" s="1207"/>
      <c r="AH593" s="1207"/>
      <c r="AI593" s="1207"/>
      <c r="AJ593" s="1207"/>
      <c r="AK593" s="1207"/>
      <c r="AL593" s="1207"/>
      <c r="AM593" s="1207"/>
      <c r="AN593" s="1207"/>
      <c r="AO593" s="1207"/>
      <c r="AP593" s="1207"/>
      <c r="AQ593" s="1207"/>
      <c r="AR593" s="1207"/>
      <c r="AS593" s="1207"/>
      <c r="AT593" s="1207"/>
      <c r="AU593" s="1207"/>
      <c r="AV593" s="1207"/>
      <c r="AW593" s="1207"/>
      <c r="AX593" s="1207"/>
      <c r="AY593" s="1207"/>
      <c r="AZ593" s="1207"/>
      <c r="BA593" s="1207"/>
      <c r="BB593" s="1207"/>
      <c r="BC593" s="1207"/>
      <c r="BD593" s="1207"/>
      <c r="BE593" s="1207"/>
      <c r="BF593" s="1207"/>
      <c r="BG593" s="1207"/>
      <c r="BH593" s="1207"/>
      <c r="BI593" s="1207"/>
      <c r="BJ593" s="1207"/>
      <c r="BK593" s="1207"/>
      <c r="BL593" s="1207"/>
      <c r="BM593" s="1207"/>
      <c r="BN593" s="1207"/>
      <c r="BO593" s="1207"/>
      <c r="BP593" s="1207"/>
      <c r="BQ593" s="1207"/>
      <c r="BR593" s="1207"/>
      <c r="BS593" s="1207"/>
      <c r="BT593" s="1207"/>
      <c r="BU593" s="1207"/>
      <c r="BV593" s="1207"/>
      <c r="BW593" s="1207"/>
      <c r="BX593" s="1207"/>
      <c r="BY593" s="1207"/>
      <c r="BZ593" s="1207"/>
      <c r="CA593" s="1207"/>
      <c r="CB593" s="1207"/>
      <c r="CC593" s="1207"/>
      <c r="CD593" s="1207"/>
      <c r="CE593" s="1207"/>
      <c r="CF593" s="1207"/>
    </row>
    <row r="594" spans="1:84" ht="45" x14ac:dyDescent="0.2">
      <c r="A594" s="1355">
        <v>2022582</v>
      </c>
      <c r="B594" s="1172" t="s">
        <v>459</v>
      </c>
      <c r="C594" s="1356"/>
      <c r="D594" s="1190" t="s">
        <v>684</v>
      </c>
      <c r="E594" s="1174" t="s">
        <v>782</v>
      </c>
      <c r="F594" s="1389" t="s">
        <v>1201</v>
      </c>
      <c r="G594" s="1390">
        <v>44562</v>
      </c>
      <c r="H594" s="1390">
        <v>44592</v>
      </c>
      <c r="I594" s="1176">
        <v>11</v>
      </c>
      <c r="J594" s="1176" t="s">
        <v>675</v>
      </c>
      <c r="K594" s="1177" t="s">
        <v>676</v>
      </c>
      <c r="L594" s="1178"/>
      <c r="M594" s="1179">
        <v>99000000</v>
      </c>
      <c r="N594" s="1386"/>
      <c r="O594" s="1174"/>
      <c r="P594" s="1207" t="s">
        <v>680</v>
      </c>
      <c r="Q594" s="1163"/>
      <c r="R594" s="1357"/>
      <c r="S594" s="1357"/>
      <c r="T594" s="1357">
        <f>+Tabla16[[#This Row],[CDPS A 31 JULIO 2022]]-Tabla16[[#This Row],[CDP]]</f>
        <v>0</v>
      </c>
      <c r="U594" s="1357"/>
      <c r="V594" s="1357"/>
      <c r="W594" s="1357"/>
      <c r="X594" s="1207"/>
      <c r="Y594" s="1207"/>
      <c r="Z594" s="1207"/>
      <c r="AA594" s="1207"/>
      <c r="AB594" s="1207"/>
      <c r="AC594" s="1207"/>
      <c r="AD594" s="1207"/>
      <c r="AE594" s="1207"/>
      <c r="AF594" s="1207"/>
      <c r="AG594" s="1207"/>
      <c r="AH594" s="1207"/>
      <c r="AI594" s="1207"/>
      <c r="AJ594" s="1207"/>
      <c r="AK594" s="1207"/>
      <c r="AL594" s="1207"/>
      <c r="AM594" s="1207"/>
      <c r="AN594" s="1207"/>
      <c r="AO594" s="1207"/>
      <c r="AP594" s="1207"/>
      <c r="AQ594" s="1207"/>
      <c r="AR594" s="1207"/>
      <c r="AS594" s="1207"/>
      <c r="AT594" s="1207"/>
      <c r="AU594" s="1207"/>
      <c r="AV594" s="1207"/>
      <c r="AW594" s="1207"/>
      <c r="AX594" s="1207"/>
      <c r="AY594" s="1207"/>
      <c r="AZ594" s="1207"/>
      <c r="BA594" s="1207"/>
      <c r="BB594" s="1207"/>
      <c r="BC594" s="1207"/>
      <c r="BD594" s="1207"/>
      <c r="BE594" s="1207"/>
      <c r="BF594" s="1207"/>
      <c r="BG594" s="1207"/>
      <c r="BH594" s="1207"/>
      <c r="BI594" s="1207"/>
      <c r="BJ594" s="1207"/>
      <c r="BK594" s="1207"/>
      <c r="BL594" s="1207"/>
      <c r="BM594" s="1207"/>
      <c r="BN594" s="1207"/>
      <c r="BO594" s="1207"/>
      <c r="BP594" s="1207"/>
      <c r="BQ594" s="1207"/>
      <c r="BR594" s="1207"/>
      <c r="BS594" s="1207"/>
      <c r="BT594" s="1207"/>
      <c r="BU594" s="1207"/>
      <c r="BV594" s="1207"/>
      <c r="BW594" s="1207"/>
      <c r="BX594" s="1207"/>
      <c r="BY594" s="1207"/>
      <c r="BZ594" s="1207"/>
      <c r="CA594" s="1207"/>
      <c r="CB594" s="1207"/>
      <c r="CC594" s="1207"/>
      <c r="CD594" s="1207"/>
      <c r="CE594" s="1207"/>
      <c r="CF594" s="1207"/>
    </row>
    <row r="595" spans="1:84" ht="75" x14ac:dyDescent="0.2">
      <c r="A595" s="1355">
        <v>2022583</v>
      </c>
      <c r="B595" s="1172" t="s">
        <v>459</v>
      </c>
      <c r="C595" s="1356"/>
      <c r="D595" s="1190" t="s">
        <v>700</v>
      </c>
      <c r="E595" s="1174" t="s">
        <v>1202</v>
      </c>
      <c r="F595" s="1389" t="s">
        <v>1203</v>
      </c>
      <c r="G595" s="1390">
        <v>44576</v>
      </c>
      <c r="H595" s="1390">
        <v>44592</v>
      </c>
      <c r="I595" s="1176">
        <v>11.5</v>
      </c>
      <c r="J595" s="1176" t="s">
        <v>701</v>
      </c>
      <c r="K595" s="1177" t="s">
        <v>676</v>
      </c>
      <c r="L595" s="1178"/>
      <c r="M595" s="1179">
        <v>22000000</v>
      </c>
      <c r="N595" s="1386"/>
      <c r="O595" s="1174"/>
      <c r="P595" s="1207" t="s">
        <v>680</v>
      </c>
      <c r="Q595" s="1163"/>
      <c r="R595" s="1357"/>
      <c r="S595" s="1357"/>
      <c r="T595" s="1357">
        <f>+Tabla16[[#This Row],[CDPS A 31 JULIO 2022]]-Tabla16[[#This Row],[CDP]]</f>
        <v>0</v>
      </c>
      <c r="U595" s="1357"/>
      <c r="V595" s="1357"/>
      <c r="W595" s="1357"/>
      <c r="X595" s="1207"/>
      <c r="Y595" s="1207"/>
      <c r="Z595" s="1207"/>
      <c r="AA595" s="1207"/>
      <c r="AB595" s="1207"/>
      <c r="AC595" s="1207"/>
      <c r="AD595" s="1207"/>
      <c r="AE595" s="1207"/>
      <c r="AF595" s="1207"/>
      <c r="AG595" s="1207"/>
      <c r="AH595" s="1207"/>
      <c r="AI595" s="1207"/>
      <c r="AJ595" s="1207"/>
      <c r="AK595" s="1207"/>
      <c r="AL595" s="1207"/>
      <c r="AM595" s="1207"/>
      <c r="AN595" s="1207"/>
      <c r="AO595" s="1207"/>
      <c r="AP595" s="1207"/>
      <c r="AQ595" s="1207"/>
      <c r="AR595" s="1207"/>
      <c r="AS595" s="1207"/>
      <c r="AT595" s="1207"/>
      <c r="AU595" s="1207"/>
      <c r="AV595" s="1207"/>
      <c r="AW595" s="1207"/>
      <c r="AX595" s="1207"/>
      <c r="AY595" s="1207"/>
      <c r="AZ595" s="1207"/>
      <c r="BA595" s="1207"/>
      <c r="BB595" s="1207"/>
      <c r="BC595" s="1207"/>
      <c r="BD595" s="1207"/>
      <c r="BE595" s="1207"/>
      <c r="BF595" s="1207"/>
      <c r="BG595" s="1207"/>
      <c r="BH595" s="1207"/>
      <c r="BI595" s="1207"/>
      <c r="BJ595" s="1207"/>
      <c r="BK595" s="1207"/>
      <c r="BL595" s="1207"/>
      <c r="BM595" s="1207"/>
      <c r="BN595" s="1207"/>
      <c r="BO595" s="1207"/>
      <c r="BP595" s="1207"/>
      <c r="BQ595" s="1207"/>
      <c r="BR595" s="1207"/>
      <c r="BS595" s="1207"/>
      <c r="BT595" s="1207"/>
      <c r="BU595" s="1207"/>
      <c r="BV595" s="1207"/>
      <c r="BW595" s="1207"/>
      <c r="BX595" s="1207"/>
      <c r="BY595" s="1207"/>
      <c r="BZ595" s="1207"/>
      <c r="CA595" s="1207"/>
      <c r="CB595" s="1207"/>
      <c r="CC595" s="1207"/>
      <c r="CD595" s="1207"/>
      <c r="CE595" s="1207"/>
      <c r="CF595" s="1207"/>
    </row>
    <row r="596" spans="1:84" ht="45" x14ac:dyDescent="0.2">
      <c r="A596" s="1355">
        <v>2022584</v>
      </c>
      <c r="B596" s="1172" t="s">
        <v>459</v>
      </c>
      <c r="C596" s="1356"/>
      <c r="D596" s="1190" t="s">
        <v>703</v>
      </c>
      <c r="E596" s="1174" t="s">
        <v>1204</v>
      </c>
      <c r="F596" s="1389" t="s">
        <v>1205</v>
      </c>
      <c r="G596" s="1390">
        <v>44747</v>
      </c>
      <c r="H596" s="1390">
        <v>44774</v>
      </c>
      <c r="I596" s="1176">
        <v>6</v>
      </c>
      <c r="J596" s="1176" t="s">
        <v>675</v>
      </c>
      <c r="K596" s="1177" t="s">
        <v>676</v>
      </c>
      <c r="L596" s="1178"/>
      <c r="M596" s="1179">
        <v>700102000</v>
      </c>
      <c r="N596" s="1386"/>
      <c r="O596" s="1174"/>
      <c r="P596" s="1207" t="s">
        <v>680</v>
      </c>
      <c r="Q596" s="1163"/>
      <c r="R596" s="1357"/>
      <c r="S596" s="1357"/>
      <c r="T596" s="1357">
        <f>+Tabla16[[#This Row],[CDPS A 31 JULIO 2022]]-Tabla16[[#This Row],[CDP]]</f>
        <v>0</v>
      </c>
      <c r="U596" s="1357"/>
      <c r="V596" s="1357"/>
      <c r="W596" s="1357"/>
      <c r="X596" s="1207"/>
      <c r="Y596" s="1207"/>
      <c r="Z596" s="1207"/>
      <c r="AA596" s="1207"/>
      <c r="AB596" s="1207"/>
      <c r="AC596" s="1207"/>
      <c r="AD596" s="1207"/>
      <c r="AE596" s="1207"/>
      <c r="AF596" s="1207"/>
      <c r="AG596" s="1207"/>
      <c r="AH596" s="1207"/>
      <c r="AI596" s="1207"/>
      <c r="AJ596" s="1207"/>
      <c r="AK596" s="1207"/>
      <c r="AL596" s="1207"/>
      <c r="AM596" s="1207"/>
      <c r="AN596" s="1207"/>
      <c r="AO596" s="1207"/>
      <c r="AP596" s="1207"/>
      <c r="AQ596" s="1207"/>
      <c r="AR596" s="1207"/>
      <c r="AS596" s="1207"/>
      <c r="AT596" s="1207"/>
      <c r="AU596" s="1207"/>
      <c r="AV596" s="1207"/>
      <c r="AW596" s="1207"/>
      <c r="AX596" s="1207"/>
      <c r="AY596" s="1207"/>
      <c r="AZ596" s="1207"/>
      <c r="BA596" s="1207"/>
      <c r="BB596" s="1207"/>
      <c r="BC596" s="1207"/>
      <c r="BD596" s="1207"/>
      <c r="BE596" s="1207"/>
      <c r="BF596" s="1207"/>
      <c r="BG596" s="1207"/>
      <c r="BH596" s="1207"/>
      <c r="BI596" s="1207"/>
      <c r="BJ596" s="1207"/>
      <c r="BK596" s="1207"/>
      <c r="BL596" s="1207"/>
      <c r="BM596" s="1207"/>
      <c r="BN596" s="1207"/>
      <c r="BO596" s="1207"/>
      <c r="BP596" s="1207"/>
      <c r="BQ596" s="1207"/>
      <c r="BR596" s="1207"/>
      <c r="BS596" s="1207"/>
      <c r="BT596" s="1207"/>
      <c r="BU596" s="1207"/>
      <c r="BV596" s="1207"/>
      <c r="BW596" s="1207"/>
      <c r="BX596" s="1207"/>
      <c r="BY596" s="1207"/>
      <c r="BZ596" s="1207"/>
      <c r="CA596" s="1207"/>
      <c r="CB596" s="1207"/>
      <c r="CC596" s="1207"/>
      <c r="CD596" s="1207"/>
      <c r="CE596" s="1207"/>
      <c r="CF596" s="1207"/>
    </row>
    <row r="597" spans="1:84" ht="180" x14ac:dyDescent="0.2">
      <c r="A597" s="1355">
        <v>2022585</v>
      </c>
      <c r="B597" s="1172" t="s">
        <v>459</v>
      </c>
      <c r="C597" s="1356"/>
      <c r="D597" s="1190" t="s">
        <v>697</v>
      </c>
      <c r="E597" s="1174" t="s">
        <v>1206</v>
      </c>
      <c r="F597" s="1389" t="s">
        <v>1207</v>
      </c>
      <c r="G597" s="1390">
        <v>44713</v>
      </c>
      <c r="H597" s="1390">
        <v>44742</v>
      </c>
      <c r="I597" s="1176">
        <v>6</v>
      </c>
      <c r="J597" s="1176" t="s">
        <v>647</v>
      </c>
      <c r="K597" s="1177" t="s">
        <v>676</v>
      </c>
      <c r="L597" s="1178"/>
      <c r="M597" s="1179">
        <f>40000000-18067800+18067800</f>
        <v>40000000</v>
      </c>
      <c r="N597" s="1386"/>
      <c r="O597" s="1174"/>
      <c r="P597" s="1207" t="s">
        <v>680</v>
      </c>
      <c r="Q597" s="1163"/>
      <c r="R597" s="1357"/>
      <c r="S597" s="1357"/>
      <c r="T597" s="1357">
        <f>+Tabla16[[#This Row],[CDPS A 31 JULIO 2022]]-Tabla16[[#This Row],[CDP]]</f>
        <v>0</v>
      </c>
      <c r="U597" s="1357"/>
      <c r="V597" s="1357"/>
      <c r="W597" s="1357"/>
      <c r="X597" s="1207"/>
      <c r="Y597" s="1207"/>
      <c r="Z597" s="1207"/>
      <c r="AA597" s="1207"/>
      <c r="AB597" s="1207"/>
      <c r="AC597" s="1207"/>
      <c r="AD597" s="1207"/>
      <c r="AE597" s="1207"/>
      <c r="AF597" s="1207"/>
      <c r="AG597" s="1207"/>
      <c r="AH597" s="1207"/>
      <c r="AI597" s="1207"/>
      <c r="AJ597" s="1207"/>
      <c r="AK597" s="1207"/>
      <c r="AL597" s="1207"/>
      <c r="AM597" s="1207"/>
      <c r="AN597" s="1207"/>
      <c r="AO597" s="1207"/>
      <c r="AP597" s="1207"/>
      <c r="AQ597" s="1207"/>
      <c r="AR597" s="1207"/>
      <c r="AS597" s="1207"/>
      <c r="AT597" s="1207"/>
      <c r="AU597" s="1207"/>
      <c r="AV597" s="1207"/>
      <c r="AW597" s="1207"/>
      <c r="AX597" s="1207"/>
      <c r="AY597" s="1207"/>
      <c r="AZ597" s="1207"/>
      <c r="BA597" s="1207"/>
      <c r="BB597" s="1207"/>
      <c r="BC597" s="1207"/>
      <c r="BD597" s="1207"/>
      <c r="BE597" s="1207"/>
      <c r="BF597" s="1207"/>
      <c r="BG597" s="1207"/>
      <c r="BH597" s="1207"/>
      <c r="BI597" s="1207"/>
      <c r="BJ597" s="1207"/>
      <c r="BK597" s="1207"/>
      <c r="BL597" s="1207"/>
      <c r="BM597" s="1207"/>
      <c r="BN597" s="1207"/>
      <c r="BO597" s="1207"/>
      <c r="BP597" s="1207"/>
      <c r="BQ597" s="1207"/>
      <c r="BR597" s="1207"/>
      <c r="BS597" s="1207"/>
      <c r="BT597" s="1207"/>
      <c r="BU597" s="1207"/>
      <c r="BV597" s="1207"/>
      <c r="BW597" s="1207"/>
      <c r="BX597" s="1207"/>
      <c r="BY597" s="1207"/>
      <c r="BZ597" s="1207"/>
      <c r="CA597" s="1207"/>
      <c r="CB597" s="1207"/>
      <c r="CC597" s="1207"/>
      <c r="CD597" s="1207"/>
      <c r="CE597" s="1207"/>
      <c r="CF597" s="1207"/>
    </row>
    <row r="598" spans="1:84" ht="60" x14ac:dyDescent="0.2">
      <c r="A598" s="1355">
        <v>2022586</v>
      </c>
      <c r="B598" s="1172" t="s">
        <v>459</v>
      </c>
      <c r="C598" s="1356"/>
      <c r="D598" s="1190" t="s">
        <v>697</v>
      </c>
      <c r="E598" s="1174" t="s">
        <v>1208</v>
      </c>
      <c r="F598" s="1389" t="s">
        <v>1209</v>
      </c>
      <c r="G598" s="1390">
        <v>44621</v>
      </c>
      <c r="H598" s="1390">
        <v>44651</v>
      </c>
      <c r="I598" s="1176">
        <v>9</v>
      </c>
      <c r="J598" s="1176" t="s">
        <v>647</v>
      </c>
      <c r="K598" s="1177" t="s">
        <v>676</v>
      </c>
      <c r="L598" s="1178"/>
      <c r="M598" s="1179">
        <v>870000000</v>
      </c>
      <c r="N598" s="1386"/>
      <c r="O598" s="1174"/>
      <c r="P598" s="1207" t="s">
        <v>680</v>
      </c>
      <c r="Q598" s="1163"/>
      <c r="R598" s="1357"/>
      <c r="S598" s="1357"/>
      <c r="T598" s="1357">
        <f>+Tabla16[[#This Row],[CDPS A 31 JULIO 2022]]-Tabla16[[#This Row],[CDP]]</f>
        <v>0</v>
      </c>
      <c r="U598" s="1357"/>
      <c r="V598" s="1357"/>
      <c r="W598" s="1357"/>
      <c r="X598" s="1207"/>
      <c r="Y598" s="1207"/>
      <c r="Z598" s="1207"/>
      <c r="AA598" s="1207"/>
      <c r="AB598" s="1207"/>
      <c r="AC598" s="1207"/>
      <c r="AD598" s="1207"/>
      <c r="AE598" s="1207"/>
      <c r="AF598" s="1207"/>
      <c r="AG598" s="1207"/>
      <c r="AH598" s="1207"/>
      <c r="AI598" s="1207"/>
      <c r="AJ598" s="1207"/>
      <c r="AK598" s="1207"/>
      <c r="AL598" s="1207"/>
      <c r="AM598" s="1207"/>
      <c r="AN598" s="1207"/>
      <c r="AO598" s="1207"/>
      <c r="AP598" s="1207"/>
      <c r="AQ598" s="1207"/>
      <c r="AR598" s="1207"/>
      <c r="AS598" s="1207"/>
      <c r="AT598" s="1207"/>
      <c r="AU598" s="1207"/>
      <c r="AV598" s="1207"/>
      <c r="AW598" s="1207"/>
      <c r="AX598" s="1207"/>
      <c r="AY598" s="1207"/>
      <c r="AZ598" s="1207"/>
      <c r="BA598" s="1207"/>
      <c r="BB598" s="1207"/>
      <c r="BC598" s="1207"/>
      <c r="BD598" s="1207"/>
      <c r="BE598" s="1207"/>
      <c r="BF598" s="1207"/>
      <c r="BG598" s="1207"/>
      <c r="BH598" s="1207"/>
      <c r="BI598" s="1207"/>
      <c r="BJ598" s="1207"/>
      <c r="BK598" s="1207"/>
      <c r="BL598" s="1207"/>
      <c r="BM598" s="1207"/>
      <c r="BN598" s="1207"/>
      <c r="BO598" s="1207"/>
      <c r="BP598" s="1207"/>
      <c r="BQ598" s="1207"/>
      <c r="BR598" s="1207"/>
      <c r="BS598" s="1207"/>
      <c r="BT598" s="1207"/>
      <c r="BU598" s="1207"/>
      <c r="BV598" s="1207"/>
      <c r="BW598" s="1207"/>
      <c r="BX598" s="1207"/>
      <c r="BY598" s="1207"/>
      <c r="BZ598" s="1207"/>
      <c r="CA598" s="1207"/>
      <c r="CB598" s="1207"/>
      <c r="CC598" s="1207"/>
      <c r="CD598" s="1207"/>
      <c r="CE598" s="1207"/>
      <c r="CF598" s="1207"/>
    </row>
    <row r="599" spans="1:84" ht="30" x14ac:dyDescent="0.2">
      <c r="A599" s="1355">
        <v>2022587</v>
      </c>
      <c r="B599" s="1172" t="s">
        <v>459</v>
      </c>
      <c r="C599" s="1356"/>
      <c r="D599" s="1190" t="s">
        <v>697</v>
      </c>
      <c r="E599" s="1174" t="s">
        <v>1210</v>
      </c>
      <c r="F599" s="1389" t="s">
        <v>1211</v>
      </c>
      <c r="G599" s="1390">
        <v>44835</v>
      </c>
      <c r="H599" s="1390">
        <v>44865</v>
      </c>
      <c r="I599" s="1176" t="s">
        <v>1212</v>
      </c>
      <c r="J599" s="1176" t="s">
        <v>97</v>
      </c>
      <c r="K599" s="1177" t="s">
        <v>676</v>
      </c>
      <c r="L599" s="1178"/>
      <c r="M599" s="1179">
        <v>150000000</v>
      </c>
      <c r="N599" s="1386"/>
      <c r="O599" s="1174"/>
      <c r="P599" s="1207" t="s">
        <v>680</v>
      </c>
      <c r="Q599" s="1163"/>
      <c r="R599" s="1357"/>
      <c r="S599" s="1357"/>
      <c r="T599" s="1357">
        <f>+Tabla16[[#This Row],[CDPS A 31 JULIO 2022]]-Tabla16[[#This Row],[CDP]]</f>
        <v>0</v>
      </c>
      <c r="U599" s="1357"/>
      <c r="V599" s="1357"/>
      <c r="W599" s="1357"/>
      <c r="X599" s="1207"/>
      <c r="Y599" s="1207"/>
      <c r="Z599" s="1207"/>
      <c r="AA599" s="1207"/>
      <c r="AB599" s="1207"/>
      <c r="AC599" s="1207"/>
      <c r="AD599" s="1207"/>
      <c r="AE599" s="1207"/>
      <c r="AF599" s="1207"/>
      <c r="AG599" s="1207"/>
      <c r="AH599" s="1207"/>
      <c r="AI599" s="1207"/>
      <c r="AJ599" s="1207"/>
      <c r="AK599" s="1207"/>
      <c r="AL599" s="1207"/>
      <c r="AM599" s="1207"/>
      <c r="AN599" s="1207"/>
      <c r="AO599" s="1207"/>
      <c r="AP599" s="1207"/>
      <c r="AQ599" s="1207"/>
      <c r="AR599" s="1207"/>
      <c r="AS599" s="1207"/>
      <c r="AT599" s="1207"/>
      <c r="AU599" s="1207"/>
      <c r="AV599" s="1207"/>
      <c r="AW599" s="1207"/>
      <c r="AX599" s="1207"/>
      <c r="AY599" s="1207"/>
      <c r="AZ599" s="1207"/>
      <c r="BA599" s="1207"/>
      <c r="BB599" s="1207"/>
      <c r="BC599" s="1207"/>
      <c r="BD599" s="1207"/>
      <c r="BE599" s="1207"/>
      <c r="BF599" s="1207"/>
      <c r="BG599" s="1207"/>
      <c r="BH599" s="1207"/>
      <c r="BI599" s="1207"/>
      <c r="BJ599" s="1207"/>
      <c r="BK599" s="1207"/>
      <c r="BL599" s="1207"/>
      <c r="BM599" s="1207"/>
      <c r="BN599" s="1207"/>
      <c r="BO599" s="1207"/>
      <c r="BP599" s="1207"/>
      <c r="BQ599" s="1207"/>
      <c r="BR599" s="1207"/>
      <c r="BS599" s="1207"/>
      <c r="BT599" s="1207"/>
      <c r="BU599" s="1207"/>
      <c r="BV599" s="1207"/>
      <c r="BW599" s="1207"/>
      <c r="BX599" s="1207"/>
      <c r="BY599" s="1207"/>
      <c r="BZ599" s="1207"/>
      <c r="CA599" s="1207"/>
      <c r="CB599" s="1207"/>
      <c r="CC599" s="1207"/>
      <c r="CD599" s="1207"/>
      <c r="CE599" s="1207"/>
      <c r="CF599" s="1207"/>
    </row>
    <row r="600" spans="1:84" ht="135" x14ac:dyDescent="0.2">
      <c r="A600" s="1355">
        <v>2022588</v>
      </c>
      <c r="B600" s="1172" t="s">
        <v>459</v>
      </c>
      <c r="C600" s="1356"/>
      <c r="D600" s="1190" t="s">
        <v>697</v>
      </c>
      <c r="E600" s="1174" t="s">
        <v>1213</v>
      </c>
      <c r="F600" s="1389" t="s">
        <v>1214</v>
      </c>
      <c r="G600" s="1390">
        <v>44682</v>
      </c>
      <c r="H600" s="1390">
        <v>44712</v>
      </c>
      <c r="I600" s="1176">
        <v>7</v>
      </c>
      <c r="J600" s="1176" t="s">
        <v>689</v>
      </c>
      <c r="K600" s="1177" t="s">
        <v>676</v>
      </c>
      <c r="L600" s="1178"/>
      <c r="M600" s="1179">
        <v>250000000</v>
      </c>
      <c r="N600" s="1386"/>
      <c r="O600" s="1174"/>
      <c r="P600" s="1207" t="s">
        <v>680</v>
      </c>
      <c r="Q600" s="1163"/>
      <c r="R600" s="1357"/>
      <c r="S600" s="1357"/>
      <c r="T600" s="1357">
        <f>+Tabla16[[#This Row],[CDPS A 31 JULIO 2022]]-Tabla16[[#This Row],[CDP]]</f>
        <v>0</v>
      </c>
      <c r="U600" s="1357"/>
      <c r="V600" s="1357"/>
      <c r="W600" s="1357"/>
      <c r="X600" s="1207"/>
      <c r="Y600" s="1207"/>
      <c r="Z600" s="1207"/>
      <c r="AA600" s="1207"/>
      <c r="AB600" s="1207"/>
      <c r="AC600" s="1207"/>
      <c r="AD600" s="1207"/>
      <c r="AE600" s="1207"/>
      <c r="AF600" s="1207"/>
      <c r="AG600" s="1207"/>
      <c r="AH600" s="1207"/>
      <c r="AI600" s="1207"/>
      <c r="AJ600" s="1207"/>
      <c r="AK600" s="1207"/>
      <c r="AL600" s="1207"/>
      <c r="AM600" s="1207"/>
      <c r="AN600" s="1207"/>
      <c r="AO600" s="1207"/>
      <c r="AP600" s="1207"/>
      <c r="AQ600" s="1207"/>
      <c r="AR600" s="1207"/>
      <c r="AS600" s="1207"/>
      <c r="AT600" s="1207"/>
      <c r="AU600" s="1207"/>
      <c r="AV600" s="1207"/>
      <c r="AW600" s="1207"/>
      <c r="AX600" s="1207"/>
      <c r="AY600" s="1207"/>
      <c r="AZ600" s="1207"/>
      <c r="BA600" s="1207"/>
      <c r="BB600" s="1207"/>
      <c r="BC600" s="1207"/>
      <c r="BD600" s="1207"/>
      <c r="BE600" s="1207"/>
      <c r="BF600" s="1207"/>
      <c r="BG600" s="1207"/>
      <c r="BH600" s="1207"/>
      <c r="BI600" s="1207"/>
      <c r="BJ600" s="1207"/>
      <c r="BK600" s="1207"/>
      <c r="BL600" s="1207"/>
      <c r="BM600" s="1207"/>
      <c r="BN600" s="1207"/>
      <c r="BO600" s="1207"/>
      <c r="BP600" s="1207"/>
      <c r="BQ600" s="1207"/>
      <c r="BR600" s="1207"/>
      <c r="BS600" s="1207"/>
      <c r="BT600" s="1207"/>
      <c r="BU600" s="1207"/>
      <c r="BV600" s="1207"/>
      <c r="BW600" s="1207"/>
      <c r="BX600" s="1207"/>
      <c r="BY600" s="1207"/>
      <c r="BZ600" s="1207"/>
      <c r="CA600" s="1207"/>
      <c r="CB600" s="1207"/>
      <c r="CC600" s="1207"/>
      <c r="CD600" s="1207"/>
      <c r="CE600" s="1207"/>
      <c r="CF600" s="1207"/>
    </row>
    <row r="601" spans="1:84" ht="75" x14ac:dyDescent="0.2">
      <c r="A601" s="1355">
        <v>2022589</v>
      </c>
      <c r="B601" s="1172" t="s">
        <v>459</v>
      </c>
      <c r="C601" s="1356"/>
      <c r="D601" s="1190" t="s">
        <v>697</v>
      </c>
      <c r="E601" s="1399" t="s">
        <v>1215</v>
      </c>
      <c r="F601" s="1389" t="s">
        <v>1216</v>
      </c>
      <c r="G601" s="1390">
        <v>44621</v>
      </c>
      <c r="H601" s="1390">
        <v>44651</v>
      </c>
      <c r="I601" s="1176">
        <v>9</v>
      </c>
      <c r="J601" s="1176" t="s">
        <v>701</v>
      </c>
      <c r="K601" s="1177" t="s">
        <v>676</v>
      </c>
      <c r="L601" s="1178"/>
      <c r="M601" s="1179">
        <f>50000000-29250000-12597939</f>
        <v>8152061</v>
      </c>
      <c r="N601" s="1386"/>
      <c r="O601" s="1174"/>
      <c r="P601" s="1207" t="s">
        <v>680</v>
      </c>
      <c r="Q601" s="1163"/>
      <c r="R601" s="1357"/>
      <c r="S601" s="1357"/>
      <c r="T601" s="1357">
        <f>+Tabla16[[#This Row],[CDPS A 31 JULIO 2022]]-Tabla16[[#This Row],[CDP]]</f>
        <v>0</v>
      </c>
      <c r="U601" s="1357"/>
      <c r="V601" s="1357"/>
      <c r="W601" s="1357"/>
      <c r="X601" s="1207"/>
      <c r="Y601" s="1207"/>
      <c r="Z601" s="1207"/>
      <c r="AA601" s="1207"/>
      <c r="AB601" s="1207"/>
      <c r="AC601" s="1207"/>
      <c r="AD601" s="1207"/>
      <c r="AE601" s="1207"/>
      <c r="AF601" s="1207"/>
      <c r="AG601" s="1207"/>
      <c r="AH601" s="1207"/>
      <c r="AI601" s="1207"/>
      <c r="AJ601" s="1207"/>
      <c r="AK601" s="1207"/>
      <c r="AL601" s="1207"/>
      <c r="AM601" s="1207"/>
      <c r="AN601" s="1207"/>
      <c r="AO601" s="1207"/>
      <c r="AP601" s="1207"/>
      <c r="AQ601" s="1207"/>
      <c r="AR601" s="1207"/>
      <c r="AS601" s="1207"/>
      <c r="AT601" s="1207"/>
      <c r="AU601" s="1207"/>
      <c r="AV601" s="1207"/>
      <c r="AW601" s="1207"/>
      <c r="AX601" s="1207"/>
      <c r="AY601" s="1207"/>
      <c r="AZ601" s="1207"/>
      <c r="BA601" s="1207"/>
      <c r="BB601" s="1207"/>
      <c r="BC601" s="1207"/>
      <c r="BD601" s="1207"/>
      <c r="BE601" s="1207"/>
      <c r="BF601" s="1207"/>
      <c r="BG601" s="1207"/>
      <c r="BH601" s="1207"/>
      <c r="BI601" s="1207"/>
      <c r="BJ601" s="1207"/>
      <c r="BK601" s="1207"/>
      <c r="BL601" s="1207"/>
      <c r="BM601" s="1207"/>
      <c r="BN601" s="1207"/>
      <c r="BO601" s="1207"/>
      <c r="BP601" s="1207"/>
      <c r="BQ601" s="1207"/>
      <c r="BR601" s="1207"/>
      <c r="BS601" s="1207"/>
      <c r="BT601" s="1207"/>
      <c r="BU601" s="1207"/>
      <c r="BV601" s="1207"/>
      <c r="BW601" s="1207"/>
      <c r="BX601" s="1207"/>
      <c r="BY601" s="1207"/>
      <c r="BZ601" s="1207"/>
      <c r="CA601" s="1207"/>
      <c r="CB601" s="1207"/>
      <c r="CC601" s="1207"/>
      <c r="CD601" s="1207"/>
      <c r="CE601" s="1207"/>
      <c r="CF601" s="1207"/>
    </row>
    <row r="602" spans="1:84" ht="60" x14ac:dyDescent="0.2">
      <c r="A602" s="1355">
        <v>2022590</v>
      </c>
      <c r="B602" s="1172" t="s">
        <v>459</v>
      </c>
      <c r="C602" s="1356"/>
      <c r="D602" s="1190" t="s">
        <v>697</v>
      </c>
      <c r="E602" s="1174" t="s">
        <v>1212</v>
      </c>
      <c r="F602" s="1389" t="s">
        <v>1217</v>
      </c>
      <c r="G602" s="1390">
        <v>44593</v>
      </c>
      <c r="H602" s="1390">
        <v>44620</v>
      </c>
      <c r="I602" s="1176">
        <v>12</v>
      </c>
      <c r="J602" s="1176" t="s">
        <v>682</v>
      </c>
      <c r="K602" s="1177" t="s">
        <v>676</v>
      </c>
      <c r="L602" s="1178"/>
      <c r="M602" s="1179">
        <f>2476000000-210554286-125041620</f>
        <v>2140404094</v>
      </c>
      <c r="N602" s="1386"/>
      <c r="O602" s="1174"/>
      <c r="P602" s="1207" t="s">
        <v>680</v>
      </c>
      <c r="Q602" s="1163"/>
      <c r="R602" s="1357"/>
      <c r="S602" s="1357"/>
      <c r="T602" s="1357">
        <f>+Tabla16[[#This Row],[CDPS A 31 JULIO 2022]]-Tabla16[[#This Row],[CDP]]</f>
        <v>0</v>
      </c>
      <c r="U602" s="1357"/>
      <c r="V602" s="1357"/>
      <c r="W602" s="1357"/>
      <c r="X602" s="1207"/>
      <c r="Y602" s="1207"/>
      <c r="Z602" s="1207"/>
      <c r="AA602" s="1207"/>
      <c r="AB602" s="1207"/>
      <c r="AC602" s="1207"/>
      <c r="AD602" s="1207"/>
      <c r="AE602" s="1207"/>
      <c r="AF602" s="1207"/>
      <c r="AG602" s="1207"/>
      <c r="AH602" s="1207"/>
      <c r="AI602" s="1207"/>
      <c r="AJ602" s="1207"/>
      <c r="AK602" s="1207"/>
      <c r="AL602" s="1207"/>
      <c r="AM602" s="1207"/>
      <c r="AN602" s="1207"/>
      <c r="AO602" s="1207"/>
      <c r="AP602" s="1207"/>
      <c r="AQ602" s="1207"/>
      <c r="AR602" s="1207"/>
      <c r="AS602" s="1207"/>
      <c r="AT602" s="1207"/>
      <c r="AU602" s="1207"/>
      <c r="AV602" s="1207"/>
      <c r="AW602" s="1207"/>
      <c r="AX602" s="1207"/>
      <c r="AY602" s="1207"/>
      <c r="AZ602" s="1207"/>
      <c r="BA602" s="1207"/>
      <c r="BB602" s="1207"/>
      <c r="BC602" s="1207"/>
      <c r="BD602" s="1207"/>
      <c r="BE602" s="1207"/>
      <c r="BF602" s="1207"/>
      <c r="BG602" s="1207"/>
      <c r="BH602" s="1207"/>
      <c r="BI602" s="1207"/>
      <c r="BJ602" s="1207"/>
      <c r="BK602" s="1207"/>
      <c r="BL602" s="1207"/>
      <c r="BM602" s="1207"/>
      <c r="BN602" s="1207"/>
      <c r="BO602" s="1207"/>
      <c r="BP602" s="1207"/>
      <c r="BQ602" s="1207"/>
      <c r="BR602" s="1207"/>
      <c r="BS602" s="1207"/>
      <c r="BT602" s="1207"/>
      <c r="BU602" s="1207"/>
      <c r="BV602" s="1207"/>
      <c r="BW602" s="1207"/>
      <c r="BX602" s="1207"/>
      <c r="BY602" s="1207"/>
      <c r="BZ602" s="1207"/>
      <c r="CA602" s="1207"/>
      <c r="CB602" s="1207"/>
      <c r="CC602" s="1207"/>
      <c r="CD602" s="1207"/>
      <c r="CE602" s="1207"/>
      <c r="CF602" s="1207"/>
    </row>
    <row r="603" spans="1:84" ht="45" x14ac:dyDescent="0.2">
      <c r="A603" s="1355">
        <v>2022592</v>
      </c>
      <c r="B603" s="1172" t="s">
        <v>459</v>
      </c>
      <c r="C603" s="1356"/>
      <c r="D603" s="1190" t="s">
        <v>673</v>
      </c>
      <c r="E603" s="1174" t="s">
        <v>1218</v>
      </c>
      <c r="F603" s="1389" t="s">
        <v>1220</v>
      </c>
      <c r="G603" s="1390">
        <v>44562</v>
      </c>
      <c r="H603" s="1390">
        <v>44592</v>
      </c>
      <c r="I603" s="1176">
        <v>2</v>
      </c>
      <c r="J603" s="1176" t="s">
        <v>701</v>
      </c>
      <c r="K603" s="1177" t="s">
        <v>676</v>
      </c>
      <c r="L603" s="1178"/>
      <c r="M603" s="1179">
        <v>19810000</v>
      </c>
      <c r="N603" s="1386"/>
      <c r="O603" s="1174"/>
      <c r="P603" s="1207" t="s">
        <v>680</v>
      </c>
      <c r="Q603" s="1163"/>
      <c r="R603" s="1357"/>
      <c r="S603" s="1357"/>
      <c r="T603" s="1357">
        <f>+Tabla16[[#This Row],[CDPS A 31 JULIO 2022]]-Tabla16[[#This Row],[CDP]]</f>
        <v>0</v>
      </c>
      <c r="U603" s="1357"/>
      <c r="V603" s="1357"/>
      <c r="W603" s="1357"/>
      <c r="X603" s="1207"/>
      <c r="Y603" s="1207"/>
      <c r="Z603" s="1207"/>
      <c r="AA603" s="1207"/>
      <c r="AB603" s="1207"/>
      <c r="AC603" s="1207"/>
      <c r="AD603" s="1207"/>
      <c r="AE603" s="1207"/>
      <c r="AF603" s="1207"/>
      <c r="AG603" s="1207"/>
      <c r="AH603" s="1207"/>
      <c r="AI603" s="1207"/>
      <c r="AJ603" s="1207"/>
      <c r="AK603" s="1207"/>
      <c r="AL603" s="1207"/>
      <c r="AM603" s="1207"/>
      <c r="AN603" s="1207"/>
      <c r="AO603" s="1207"/>
      <c r="AP603" s="1207"/>
      <c r="AQ603" s="1207"/>
      <c r="AR603" s="1207"/>
      <c r="AS603" s="1207"/>
      <c r="AT603" s="1207"/>
      <c r="AU603" s="1207"/>
      <c r="AV603" s="1207"/>
      <c r="AW603" s="1207"/>
      <c r="AX603" s="1207"/>
      <c r="AY603" s="1207"/>
      <c r="AZ603" s="1207"/>
      <c r="BA603" s="1207"/>
      <c r="BB603" s="1207"/>
      <c r="BC603" s="1207"/>
      <c r="BD603" s="1207"/>
      <c r="BE603" s="1207"/>
      <c r="BF603" s="1207"/>
      <c r="BG603" s="1207"/>
      <c r="BH603" s="1207"/>
      <c r="BI603" s="1207"/>
      <c r="BJ603" s="1207"/>
      <c r="BK603" s="1207"/>
      <c r="BL603" s="1207"/>
      <c r="BM603" s="1207"/>
      <c r="BN603" s="1207"/>
      <c r="BO603" s="1207"/>
      <c r="BP603" s="1207"/>
      <c r="BQ603" s="1207"/>
      <c r="BR603" s="1207"/>
      <c r="BS603" s="1207"/>
      <c r="BT603" s="1207"/>
      <c r="BU603" s="1207"/>
      <c r="BV603" s="1207"/>
      <c r="BW603" s="1207"/>
      <c r="BX603" s="1207"/>
      <c r="BY603" s="1207"/>
      <c r="BZ603" s="1207"/>
      <c r="CA603" s="1207"/>
      <c r="CB603" s="1207"/>
      <c r="CC603" s="1207"/>
      <c r="CD603" s="1207"/>
      <c r="CE603" s="1207"/>
      <c r="CF603" s="1207"/>
    </row>
    <row r="604" spans="1:84" ht="45" x14ac:dyDescent="0.2">
      <c r="A604" s="1355">
        <v>2022593</v>
      </c>
      <c r="B604" s="1172" t="s">
        <v>459</v>
      </c>
      <c r="C604" s="1356"/>
      <c r="D604" s="1190" t="s">
        <v>673</v>
      </c>
      <c r="E604" s="1174" t="s">
        <v>1221</v>
      </c>
      <c r="F604" s="1389" t="s">
        <v>1222</v>
      </c>
      <c r="G604" s="1390">
        <v>44562</v>
      </c>
      <c r="H604" s="1390">
        <v>44592</v>
      </c>
      <c r="I604" s="1176">
        <v>3.5</v>
      </c>
      <c r="J604" s="1176" t="s">
        <v>675</v>
      </c>
      <c r="K604" s="1177" t="s">
        <v>676</v>
      </c>
      <c r="L604" s="1178"/>
      <c r="M604" s="1179">
        <v>10000000</v>
      </c>
      <c r="N604" s="1386"/>
      <c r="O604" s="1174"/>
      <c r="P604" s="1207" t="s">
        <v>759</v>
      </c>
      <c r="Q604" s="1163"/>
      <c r="R604" s="1357"/>
      <c r="S604" s="1357"/>
      <c r="T604" s="1357">
        <f>+Tabla16[[#This Row],[CDPS A 31 JULIO 2022]]-Tabla16[[#This Row],[CDP]]</f>
        <v>0</v>
      </c>
      <c r="U604" s="1357"/>
      <c r="V604" s="1357"/>
      <c r="W604" s="1357"/>
      <c r="X604" s="1207"/>
      <c r="Y604" s="1207"/>
      <c r="Z604" s="1207"/>
      <c r="AA604" s="1207"/>
      <c r="AB604" s="1207"/>
      <c r="AC604" s="1207"/>
      <c r="AD604" s="1207"/>
      <c r="AE604" s="1207"/>
      <c r="AF604" s="1207"/>
      <c r="AG604" s="1207"/>
      <c r="AH604" s="1207"/>
      <c r="AI604" s="1207"/>
      <c r="AJ604" s="1207"/>
      <c r="AK604" s="1207"/>
      <c r="AL604" s="1207"/>
      <c r="AM604" s="1207"/>
      <c r="AN604" s="1207"/>
      <c r="AO604" s="1207"/>
      <c r="AP604" s="1207"/>
      <c r="AQ604" s="1207"/>
      <c r="AR604" s="1207"/>
      <c r="AS604" s="1207"/>
      <c r="AT604" s="1207"/>
      <c r="AU604" s="1207"/>
      <c r="AV604" s="1207"/>
      <c r="AW604" s="1207"/>
      <c r="AX604" s="1207"/>
      <c r="AY604" s="1207"/>
      <c r="AZ604" s="1207"/>
      <c r="BA604" s="1207"/>
      <c r="BB604" s="1207"/>
      <c r="BC604" s="1207"/>
      <c r="BD604" s="1207"/>
      <c r="BE604" s="1207"/>
      <c r="BF604" s="1207"/>
      <c r="BG604" s="1207"/>
      <c r="BH604" s="1207"/>
      <c r="BI604" s="1207"/>
      <c r="BJ604" s="1207"/>
      <c r="BK604" s="1207"/>
      <c r="BL604" s="1207"/>
      <c r="BM604" s="1207"/>
      <c r="BN604" s="1207"/>
      <c r="BO604" s="1207"/>
      <c r="BP604" s="1207"/>
      <c r="BQ604" s="1207"/>
      <c r="BR604" s="1207"/>
      <c r="BS604" s="1207"/>
      <c r="BT604" s="1207"/>
      <c r="BU604" s="1207"/>
      <c r="BV604" s="1207"/>
      <c r="BW604" s="1207"/>
      <c r="BX604" s="1207"/>
      <c r="BY604" s="1207"/>
      <c r="BZ604" s="1207"/>
      <c r="CA604" s="1207"/>
      <c r="CB604" s="1207"/>
      <c r="CC604" s="1207"/>
      <c r="CD604" s="1207"/>
      <c r="CE604" s="1207"/>
      <c r="CF604" s="1207"/>
    </row>
    <row r="605" spans="1:84" ht="45" x14ac:dyDescent="0.2">
      <c r="A605" s="1355">
        <v>2022594</v>
      </c>
      <c r="B605" s="1172" t="s">
        <v>459</v>
      </c>
      <c r="C605" s="1356"/>
      <c r="D605" s="1190" t="s">
        <v>673</v>
      </c>
      <c r="E605" s="1174" t="s">
        <v>1223</v>
      </c>
      <c r="F605" s="1389" t="s">
        <v>1224</v>
      </c>
      <c r="G605" s="1390">
        <v>44774</v>
      </c>
      <c r="H605" s="1390">
        <v>44793</v>
      </c>
      <c r="I605" s="1176">
        <v>6</v>
      </c>
      <c r="J605" s="1176" t="s">
        <v>675</v>
      </c>
      <c r="K605" s="1177" t="s">
        <v>676</v>
      </c>
      <c r="L605" s="1178"/>
      <c r="M605" s="1179">
        <v>8386190</v>
      </c>
      <c r="N605" s="1386"/>
      <c r="O605" s="1174"/>
      <c r="P605" s="1400" t="s">
        <v>680</v>
      </c>
      <c r="Q605" s="1163"/>
      <c r="R605" s="1357"/>
      <c r="S605" s="1357"/>
      <c r="T605" s="1357">
        <f>+Tabla16[[#This Row],[CDPS A 31 JULIO 2022]]-Tabla16[[#This Row],[CDP]]</f>
        <v>0</v>
      </c>
      <c r="U605" s="1357"/>
      <c r="V605" s="1357"/>
      <c r="W605" s="1357"/>
      <c r="X605" s="1207"/>
      <c r="Y605" s="1207"/>
      <c r="Z605" s="1207"/>
      <c r="AA605" s="1207"/>
      <c r="AB605" s="1207"/>
      <c r="AC605" s="1207"/>
      <c r="AD605" s="1207"/>
      <c r="AE605" s="1207"/>
      <c r="AF605" s="1207"/>
      <c r="AG605" s="1207"/>
      <c r="AH605" s="1207"/>
      <c r="AI605" s="1207"/>
      <c r="AJ605" s="1207"/>
      <c r="AK605" s="1207"/>
      <c r="AL605" s="1207"/>
      <c r="AM605" s="1207"/>
      <c r="AN605" s="1207"/>
      <c r="AO605" s="1207"/>
      <c r="AP605" s="1207"/>
      <c r="AQ605" s="1207"/>
      <c r="AR605" s="1207"/>
      <c r="AS605" s="1207"/>
      <c r="AT605" s="1207"/>
      <c r="AU605" s="1207"/>
      <c r="AV605" s="1207"/>
      <c r="AW605" s="1207"/>
      <c r="AX605" s="1207"/>
      <c r="AY605" s="1207"/>
      <c r="AZ605" s="1207"/>
      <c r="BA605" s="1207"/>
      <c r="BB605" s="1207"/>
      <c r="BC605" s="1207"/>
      <c r="BD605" s="1207"/>
      <c r="BE605" s="1207"/>
      <c r="BF605" s="1207"/>
      <c r="BG605" s="1207"/>
      <c r="BH605" s="1207"/>
      <c r="BI605" s="1207"/>
      <c r="BJ605" s="1207"/>
      <c r="BK605" s="1207"/>
      <c r="BL605" s="1207"/>
      <c r="BM605" s="1207"/>
      <c r="BN605" s="1207"/>
      <c r="BO605" s="1207"/>
      <c r="BP605" s="1207"/>
      <c r="BQ605" s="1207"/>
      <c r="BR605" s="1207"/>
      <c r="BS605" s="1207"/>
      <c r="BT605" s="1207"/>
      <c r="BU605" s="1207"/>
      <c r="BV605" s="1207"/>
      <c r="BW605" s="1207"/>
      <c r="BX605" s="1207"/>
      <c r="BY605" s="1207"/>
      <c r="BZ605" s="1207"/>
      <c r="CA605" s="1207"/>
      <c r="CB605" s="1207"/>
      <c r="CC605" s="1207"/>
      <c r="CD605" s="1207"/>
      <c r="CE605" s="1207"/>
      <c r="CF605" s="1207"/>
    </row>
    <row r="606" spans="1:84" ht="30" x14ac:dyDescent="0.2">
      <c r="A606" s="1355">
        <v>2022595</v>
      </c>
      <c r="B606" s="1172" t="s">
        <v>459</v>
      </c>
      <c r="C606" s="1356"/>
      <c r="D606" s="1190" t="s">
        <v>673</v>
      </c>
      <c r="E606" s="1174" t="s">
        <v>1225</v>
      </c>
      <c r="F606" s="1389" t="s">
        <v>1226</v>
      </c>
      <c r="G606" s="1390">
        <v>44743</v>
      </c>
      <c r="H606" s="1390">
        <v>44773</v>
      </c>
      <c r="I606" s="1176">
        <v>12</v>
      </c>
      <c r="J606" s="1176" t="s">
        <v>675</v>
      </c>
      <c r="K606" s="1177" t="s">
        <v>676</v>
      </c>
      <c r="L606" s="1178"/>
      <c r="M606" s="1179">
        <v>35000000</v>
      </c>
      <c r="N606" s="1386"/>
      <c r="O606" s="1174"/>
      <c r="P606" s="1207" t="s">
        <v>680</v>
      </c>
      <c r="Q606" s="1163"/>
      <c r="R606" s="1357"/>
      <c r="S606" s="1357"/>
      <c r="T606" s="1357">
        <f>+Tabla16[[#This Row],[CDPS A 31 JULIO 2022]]-Tabla16[[#This Row],[CDP]]</f>
        <v>0</v>
      </c>
      <c r="U606" s="1357"/>
      <c r="V606" s="1357"/>
      <c r="W606" s="1357"/>
      <c r="X606" s="1207"/>
      <c r="Y606" s="1207"/>
      <c r="Z606" s="1207"/>
      <c r="AA606" s="1207"/>
      <c r="AB606" s="1207"/>
      <c r="AC606" s="1207"/>
      <c r="AD606" s="1207"/>
      <c r="AE606" s="1207"/>
      <c r="AF606" s="1207"/>
      <c r="AG606" s="1207"/>
      <c r="AH606" s="1207"/>
      <c r="AI606" s="1207"/>
      <c r="AJ606" s="1207"/>
      <c r="AK606" s="1207"/>
      <c r="AL606" s="1207"/>
      <c r="AM606" s="1207"/>
      <c r="AN606" s="1207"/>
      <c r="AO606" s="1207"/>
      <c r="AP606" s="1207"/>
      <c r="AQ606" s="1207"/>
      <c r="AR606" s="1207"/>
      <c r="AS606" s="1207"/>
      <c r="AT606" s="1207"/>
      <c r="AU606" s="1207"/>
      <c r="AV606" s="1207"/>
      <c r="AW606" s="1207"/>
      <c r="AX606" s="1207"/>
      <c r="AY606" s="1207"/>
      <c r="AZ606" s="1207"/>
      <c r="BA606" s="1207"/>
      <c r="BB606" s="1207"/>
      <c r="BC606" s="1207"/>
      <c r="BD606" s="1207"/>
      <c r="BE606" s="1207"/>
      <c r="BF606" s="1207"/>
      <c r="BG606" s="1207"/>
      <c r="BH606" s="1207"/>
      <c r="BI606" s="1207"/>
      <c r="BJ606" s="1207"/>
      <c r="BK606" s="1207"/>
      <c r="BL606" s="1207"/>
      <c r="BM606" s="1207"/>
      <c r="BN606" s="1207"/>
      <c r="BO606" s="1207"/>
      <c r="BP606" s="1207"/>
      <c r="BQ606" s="1207"/>
      <c r="BR606" s="1207"/>
      <c r="BS606" s="1207"/>
      <c r="BT606" s="1207"/>
      <c r="BU606" s="1207"/>
      <c r="BV606" s="1207"/>
      <c r="BW606" s="1207"/>
      <c r="BX606" s="1207"/>
      <c r="BY606" s="1207"/>
      <c r="BZ606" s="1207"/>
      <c r="CA606" s="1207"/>
      <c r="CB606" s="1207"/>
      <c r="CC606" s="1207"/>
      <c r="CD606" s="1207"/>
      <c r="CE606" s="1207"/>
      <c r="CF606" s="1207"/>
    </row>
    <row r="607" spans="1:84" ht="60" x14ac:dyDescent="0.2">
      <c r="A607" s="1355">
        <v>2022596</v>
      </c>
      <c r="B607" s="1172" t="s">
        <v>459</v>
      </c>
      <c r="C607" s="1356"/>
      <c r="D607" s="1190" t="s">
        <v>673</v>
      </c>
      <c r="E607" s="1174" t="s">
        <v>1227</v>
      </c>
      <c r="F607" s="1389" t="s">
        <v>1228</v>
      </c>
      <c r="G607" s="1390">
        <v>44743</v>
      </c>
      <c r="H607" s="1390">
        <v>44762</v>
      </c>
      <c r="I607" s="1176">
        <v>2</v>
      </c>
      <c r="J607" s="1176" t="s">
        <v>722</v>
      </c>
      <c r="K607" s="1177" t="s">
        <v>676</v>
      </c>
      <c r="L607" s="1178"/>
      <c r="M607" s="1179">
        <v>35000000</v>
      </c>
      <c r="N607" s="1386"/>
      <c r="O607" s="1174"/>
      <c r="P607" s="1207" t="s">
        <v>680</v>
      </c>
      <c r="Q607" s="1163"/>
      <c r="R607" s="1357"/>
      <c r="S607" s="1357"/>
      <c r="T607" s="1357">
        <f>+Tabla16[[#This Row],[CDPS A 31 JULIO 2022]]-Tabla16[[#This Row],[CDP]]</f>
        <v>0</v>
      </c>
      <c r="U607" s="1357"/>
      <c r="V607" s="1357"/>
      <c r="W607" s="1357" t="s">
        <v>1075</v>
      </c>
      <c r="X607" s="1207"/>
      <c r="Y607" s="1207"/>
      <c r="Z607" s="1207"/>
      <c r="AA607" s="1207"/>
      <c r="AB607" s="1207"/>
      <c r="AC607" s="1207"/>
      <c r="AD607" s="1207"/>
      <c r="AE607" s="1207"/>
      <c r="AF607" s="1207"/>
      <c r="AG607" s="1207"/>
      <c r="AH607" s="1207"/>
      <c r="AI607" s="1207"/>
      <c r="AJ607" s="1207"/>
      <c r="AK607" s="1207"/>
      <c r="AL607" s="1207"/>
      <c r="AM607" s="1207"/>
      <c r="AN607" s="1207"/>
      <c r="AO607" s="1207"/>
      <c r="AP607" s="1207"/>
      <c r="AQ607" s="1207"/>
      <c r="AR607" s="1207"/>
      <c r="AS607" s="1207"/>
      <c r="AT607" s="1207"/>
      <c r="AU607" s="1207"/>
      <c r="AV607" s="1207"/>
      <c r="AW607" s="1207"/>
      <c r="AX607" s="1207"/>
      <c r="AY607" s="1207"/>
      <c r="AZ607" s="1207"/>
      <c r="BA607" s="1207"/>
      <c r="BB607" s="1207"/>
      <c r="BC607" s="1207"/>
      <c r="BD607" s="1207"/>
      <c r="BE607" s="1207"/>
      <c r="BF607" s="1207"/>
      <c r="BG607" s="1207"/>
      <c r="BH607" s="1207"/>
      <c r="BI607" s="1207"/>
      <c r="BJ607" s="1207"/>
      <c r="BK607" s="1207"/>
      <c r="BL607" s="1207"/>
      <c r="BM607" s="1207"/>
      <c r="BN607" s="1207"/>
      <c r="BO607" s="1207"/>
      <c r="BP607" s="1207"/>
      <c r="BQ607" s="1207"/>
      <c r="BR607" s="1207"/>
      <c r="BS607" s="1207"/>
      <c r="BT607" s="1207"/>
      <c r="BU607" s="1207"/>
      <c r="BV607" s="1207"/>
      <c r="BW607" s="1207"/>
      <c r="BX607" s="1207"/>
      <c r="BY607" s="1207"/>
      <c r="BZ607" s="1207"/>
      <c r="CA607" s="1207"/>
      <c r="CB607" s="1207"/>
      <c r="CC607" s="1207"/>
      <c r="CD607" s="1207"/>
      <c r="CE607" s="1207"/>
      <c r="CF607" s="1207"/>
    </row>
    <row r="608" spans="1:84" ht="60" x14ac:dyDescent="0.2">
      <c r="A608" s="1355">
        <v>2022598</v>
      </c>
      <c r="B608" s="1172" t="s">
        <v>459</v>
      </c>
      <c r="C608" s="1356"/>
      <c r="D608" s="1190" t="s">
        <v>673</v>
      </c>
      <c r="E608" s="1174" t="s">
        <v>1231</v>
      </c>
      <c r="F608" s="1389" t="s">
        <v>1232</v>
      </c>
      <c r="G608" s="1390">
        <v>44562</v>
      </c>
      <c r="H608" s="1390">
        <v>44592</v>
      </c>
      <c r="I608" s="1176">
        <v>5.5</v>
      </c>
      <c r="J608" s="1176" t="s">
        <v>675</v>
      </c>
      <c r="K608" s="1177" t="s">
        <v>676</v>
      </c>
      <c r="L608" s="1178"/>
      <c r="M608" s="1179">
        <v>120473160</v>
      </c>
      <c r="N608" s="1386"/>
      <c r="O608" s="1174"/>
      <c r="P608" s="1207" t="s">
        <v>759</v>
      </c>
      <c r="Q608" s="1163"/>
      <c r="R608" s="1357"/>
      <c r="S608" s="1357"/>
      <c r="T608" s="1357">
        <f>+Tabla16[[#This Row],[CDPS A 31 JULIO 2022]]-Tabla16[[#This Row],[CDP]]</f>
        <v>0</v>
      </c>
      <c r="U608" s="1357"/>
      <c r="V608" s="1357"/>
      <c r="W608" s="1357"/>
      <c r="X608" s="1207"/>
      <c r="Y608" s="1207"/>
      <c r="Z608" s="1207"/>
      <c r="AA608" s="1207"/>
      <c r="AB608" s="1207"/>
      <c r="AC608" s="1207"/>
      <c r="AD608" s="1207"/>
      <c r="AE608" s="1207"/>
      <c r="AF608" s="1207"/>
      <c r="AG608" s="1207"/>
      <c r="AH608" s="1207"/>
      <c r="AI608" s="1207"/>
      <c r="AJ608" s="1207"/>
      <c r="AK608" s="1207"/>
      <c r="AL608" s="1207"/>
      <c r="AM608" s="1207"/>
      <c r="AN608" s="1207"/>
      <c r="AO608" s="1207"/>
      <c r="AP608" s="1207"/>
      <c r="AQ608" s="1207"/>
      <c r="AR608" s="1207"/>
      <c r="AS608" s="1207"/>
      <c r="AT608" s="1207"/>
      <c r="AU608" s="1207"/>
      <c r="AV608" s="1207"/>
      <c r="AW608" s="1207"/>
      <c r="AX608" s="1207"/>
      <c r="AY608" s="1207"/>
      <c r="AZ608" s="1207"/>
      <c r="BA608" s="1207"/>
      <c r="BB608" s="1207"/>
      <c r="BC608" s="1207"/>
      <c r="BD608" s="1207"/>
      <c r="BE608" s="1207"/>
      <c r="BF608" s="1207"/>
      <c r="BG608" s="1207"/>
      <c r="BH608" s="1207"/>
      <c r="BI608" s="1207"/>
      <c r="BJ608" s="1207"/>
      <c r="BK608" s="1207"/>
      <c r="BL608" s="1207"/>
      <c r="BM608" s="1207"/>
      <c r="BN608" s="1207"/>
      <c r="BO608" s="1207"/>
      <c r="BP608" s="1207"/>
      <c r="BQ608" s="1207"/>
      <c r="BR608" s="1207"/>
      <c r="BS608" s="1207"/>
      <c r="BT608" s="1207"/>
      <c r="BU608" s="1207"/>
      <c r="BV608" s="1207"/>
      <c r="BW608" s="1207"/>
      <c r="BX608" s="1207"/>
      <c r="BY608" s="1207"/>
      <c r="BZ608" s="1207"/>
      <c r="CA608" s="1207"/>
      <c r="CB608" s="1207"/>
      <c r="CC608" s="1207"/>
      <c r="CD608" s="1207"/>
      <c r="CE608" s="1207"/>
      <c r="CF608" s="1207"/>
    </row>
    <row r="609" spans="1:84" ht="30" x14ac:dyDescent="0.2">
      <c r="A609" s="1355">
        <v>2022600</v>
      </c>
      <c r="B609" s="1172" t="s">
        <v>459</v>
      </c>
      <c r="C609" s="1356"/>
      <c r="D609" s="1190" t="s">
        <v>673</v>
      </c>
      <c r="E609" s="1174" t="s">
        <v>1212</v>
      </c>
      <c r="F609" s="1389" t="s">
        <v>1235</v>
      </c>
      <c r="G609" s="1390" t="s">
        <v>1212</v>
      </c>
      <c r="H609" s="1390" t="s">
        <v>1212</v>
      </c>
      <c r="I609" s="1176" t="s">
        <v>1212</v>
      </c>
      <c r="J609" s="1176" t="s">
        <v>97</v>
      </c>
      <c r="K609" s="1177"/>
      <c r="L609" s="1178"/>
      <c r="M609" s="1179">
        <v>1613810</v>
      </c>
      <c r="N609" s="1386"/>
      <c r="O609" s="1174"/>
      <c r="P609" s="1207" t="s">
        <v>759</v>
      </c>
      <c r="Q609" s="1163"/>
      <c r="R609" s="1357"/>
      <c r="S609" s="1357"/>
      <c r="T609" s="1357">
        <f>+Tabla16[[#This Row],[CDPS A 31 JULIO 2022]]-Tabla16[[#This Row],[CDP]]</f>
        <v>0</v>
      </c>
      <c r="U609" s="1357"/>
      <c r="V609" s="1357"/>
      <c r="W609" s="1357"/>
      <c r="X609" s="1207"/>
      <c r="Y609" s="1207"/>
      <c r="Z609" s="1207"/>
      <c r="AA609" s="1207"/>
      <c r="AB609" s="1207"/>
      <c r="AC609" s="1207"/>
      <c r="AD609" s="1207"/>
      <c r="AE609" s="1207"/>
      <c r="AF609" s="1207"/>
      <c r="AG609" s="1207"/>
      <c r="AH609" s="1207"/>
      <c r="AI609" s="1207"/>
      <c r="AJ609" s="1207"/>
      <c r="AK609" s="1207"/>
      <c r="AL609" s="1207"/>
      <c r="AM609" s="1207"/>
      <c r="AN609" s="1207"/>
      <c r="AO609" s="1207"/>
      <c r="AP609" s="1207"/>
      <c r="AQ609" s="1207"/>
      <c r="AR609" s="1207"/>
      <c r="AS609" s="1207"/>
      <c r="AT609" s="1207"/>
      <c r="AU609" s="1207"/>
      <c r="AV609" s="1207"/>
      <c r="AW609" s="1207"/>
      <c r="AX609" s="1207"/>
      <c r="AY609" s="1207"/>
      <c r="AZ609" s="1207"/>
      <c r="BA609" s="1207"/>
      <c r="BB609" s="1207"/>
      <c r="BC609" s="1207"/>
      <c r="BD609" s="1207"/>
      <c r="BE609" s="1207"/>
      <c r="BF609" s="1207"/>
      <c r="BG609" s="1207"/>
      <c r="BH609" s="1207"/>
      <c r="BI609" s="1207"/>
      <c r="BJ609" s="1207"/>
      <c r="BK609" s="1207"/>
      <c r="BL609" s="1207"/>
      <c r="BM609" s="1207"/>
      <c r="BN609" s="1207"/>
      <c r="BO609" s="1207"/>
      <c r="BP609" s="1207"/>
      <c r="BQ609" s="1207"/>
      <c r="BR609" s="1207"/>
      <c r="BS609" s="1207"/>
      <c r="BT609" s="1207"/>
      <c r="BU609" s="1207"/>
      <c r="BV609" s="1207"/>
      <c r="BW609" s="1207"/>
      <c r="BX609" s="1207"/>
      <c r="BY609" s="1207"/>
      <c r="BZ609" s="1207"/>
      <c r="CA609" s="1207"/>
      <c r="CB609" s="1207"/>
      <c r="CC609" s="1207"/>
      <c r="CD609" s="1207"/>
      <c r="CE609" s="1207"/>
      <c r="CF609" s="1207"/>
    </row>
    <row r="610" spans="1:84" ht="30" x14ac:dyDescent="0.2">
      <c r="A610" s="1355">
        <v>2022601</v>
      </c>
      <c r="B610" s="1172" t="s">
        <v>459</v>
      </c>
      <c r="C610" s="1356"/>
      <c r="D610" s="1190" t="s">
        <v>673</v>
      </c>
      <c r="E610" s="1174" t="s">
        <v>1212</v>
      </c>
      <c r="F610" s="1389" t="s">
        <v>1236</v>
      </c>
      <c r="G610" s="1390" t="s">
        <v>1212</v>
      </c>
      <c r="H610" s="1390" t="s">
        <v>1212</v>
      </c>
      <c r="I610" s="1176" t="s">
        <v>1212</v>
      </c>
      <c r="J610" s="1176" t="s">
        <v>97</v>
      </c>
      <c r="K610" s="1177"/>
      <c r="L610" s="1178"/>
      <c r="M610" s="1179">
        <v>8008255</v>
      </c>
      <c r="N610" s="1386"/>
      <c r="O610" s="1174"/>
      <c r="P610" s="1207" t="s">
        <v>759</v>
      </c>
      <c r="Q610" s="1163"/>
      <c r="R610" s="1357"/>
      <c r="S610" s="1357"/>
      <c r="T610" s="1357">
        <f>+Tabla16[[#This Row],[CDPS A 31 JULIO 2022]]-Tabla16[[#This Row],[CDP]]</f>
        <v>0</v>
      </c>
      <c r="U610" s="1357"/>
      <c r="V610" s="1357"/>
      <c r="W610" s="1357"/>
      <c r="X610" s="1207"/>
      <c r="Y610" s="1207"/>
      <c r="Z610" s="1207"/>
      <c r="AA610" s="1207"/>
      <c r="AB610" s="1207"/>
      <c r="AC610" s="1207"/>
      <c r="AD610" s="1207"/>
      <c r="AE610" s="1207"/>
      <c r="AF610" s="1207"/>
      <c r="AG610" s="1207"/>
      <c r="AH610" s="1207"/>
      <c r="AI610" s="1207"/>
      <c r="AJ610" s="1207"/>
      <c r="AK610" s="1207"/>
      <c r="AL610" s="1207"/>
      <c r="AM610" s="1207"/>
      <c r="AN610" s="1207"/>
      <c r="AO610" s="1207"/>
      <c r="AP610" s="1207"/>
      <c r="AQ610" s="1207"/>
      <c r="AR610" s="1207"/>
      <c r="AS610" s="1207"/>
      <c r="AT610" s="1207"/>
      <c r="AU610" s="1207"/>
      <c r="AV610" s="1207"/>
      <c r="AW610" s="1207"/>
      <c r="AX610" s="1207"/>
      <c r="AY610" s="1207"/>
      <c r="AZ610" s="1207"/>
      <c r="BA610" s="1207"/>
      <c r="BB610" s="1207"/>
      <c r="BC610" s="1207"/>
      <c r="BD610" s="1207"/>
      <c r="BE610" s="1207"/>
      <c r="BF610" s="1207"/>
      <c r="BG610" s="1207"/>
      <c r="BH610" s="1207"/>
      <c r="BI610" s="1207"/>
      <c r="BJ610" s="1207"/>
      <c r="BK610" s="1207"/>
      <c r="BL610" s="1207"/>
      <c r="BM610" s="1207"/>
      <c r="BN610" s="1207"/>
      <c r="BO610" s="1207"/>
      <c r="BP610" s="1207"/>
      <c r="BQ610" s="1207"/>
      <c r="BR610" s="1207"/>
      <c r="BS610" s="1207"/>
      <c r="BT610" s="1207"/>
      <c r="BU610" s="1207"/>
      <c r="BV610" s="1207"/>
      <c r="BW610" s="1207"/>
      <c r="BX610" s="1207"/>
      <c r="BY610" s="1207"/>
      <c r="BZ610" s="1207"/>
      <c r="CA610" s="1207"/>
      <c r="CB610" s="1207"/>
      <c r="CC610" s="1207"/>
      <c r="CD610" s="1207"/>
      <c r="CE610" s="1207"/>
      <c r="CF610" s="1207"/>
    </row>
    <row r="611" spans="1:84" ht="120" x14ac:dyDescent="0.2">
      <c r="A611" s="1355">
        <v>2022602</v>
      </c>
      <c r="B611" s="1172">
        <v>7637</v>
      </c>
      <c r="C611" s="1356" t="s">
        <v>645</v>
      </c>
      <c r="D611" s="1190" t="s">
        <v>673</v>
      </c>
      <c r="E611" s="1174">
        <v>80111600</v>
      </c>
      <c r="F611" s="1389" t="s">
        <v>1237</v>
      </c>
      <c r="G611" s="1390">
        <v>44562</v>
      </c>
      <c r="H611" s="1390">
        <v>44592</v>
      </c>
      <c r="I611" s="1176">
        <v>0.5</v>
      </c>
      <c r="J611" s="1176" t="s">
        <v>675</v>
      </c>
      <c r="K611" s="1177" t="s">
        <v>676</v>
      </c>
      <c r="L611" s="1178" t="s">
        <v>677</v>
      </c>
      <c r="M611" s="1179">
        <v>3500000</v>
      </c>
      <c r="N611" s="1189" t="s">
        <v>678</v>
      </c>
      <c r="O611" s="1174" t="s">
        <v>679</v>
      </c>
      <c r="P611" s="1207" t="s">
        <v>759</v>
      </c>
      <c r="Q611" s="1163"/>
      <c r="R611" s="1269">
        <v>0</v>
      </c>
      <c r="S611" s="1357"/>
      <c r="T611" s="1357">
        <f>+Tabla16[[#This Row],[CDPS A 31 JULIO 2022]]-Tabla16[[#This Row],[CDP]]</f>
        <v>0</v>
      </c>
      <c r="U611" s="1357"/>
      <c r="V611" s="1357"/>
      <c r="W611" s="1357"/>
      <c r="X611" s="1207"/>
      <c r="Y611" s="1207"/>
      <c r="Z611" s="1207"/>
      <c r="AA611" s="1207"/>
      <c r="AB611" s="1207"/>
      <c r="AC611" s="1207"/>
      <c r="AD611" s="1207"/>
      <c r="AE611" s="1207"/>
      <c r="AF611" s="1207"/>
      <c r="AG611" s="1207"/>
      <c r="AH611" s="1207"/>
      <c r="AI611" s="1207"/>
      <c r="AJ611" s="1207"/>
      <c r="AK611" s="1207"/>
      <c r="AL611" s="1207"/>
      <c r="AM611" s="1207"/>
      <c r="AN611" s="1207"/>
      <c r="AO611" s="1207"/>
      <c r="AP611" s="1207"/>
      <c r="AQ611" s="1207"/>
      <c r="AR611" s="1207"/>
      <c r="AS611" s="1207"/>
      <c r="AT611" s="1207"/>
      <c r="AU611" s="1207"/>
      <c r="AV611" s="1207"/>
      <c r="AW611" s="1207"/>
      <c r="AX611" s="1207"/>
      <c r="AY611" s="1207"/>
      <c r="AZ611" s="1207"/>
      <c r="BA611" s="1207"/>
      <c r="BB611" s="1207"/>
      <c r="BC611" s="1207"/>
      <c r="BD611" s="1207"/>
      <c r="BE611" s="1207"/>
      <c r="BF611" s="1207"/>
      <c r="BG611" s="1207"/>
      <c r="BH611" s="1207"/>
      <c r="BI611" s="1207"/>
      <c r="BJ611" s="1207"/>
      <c r="BK611" s="1207"/>
      <c r="BL611" s="1207"/>
      <c r="BM611" s="1207"/>
      <c r="BN611" s="1207"/>
      <c r="BO611" s="1207"/>
      <c r="BP611" s="1207"/>
      <c r="BQ611" s="1207"/>
      <c r="BR611" s="1207"/>
      <c r="BS611" s="1207"/>
      <c r="BT611" s="1207"/>
      <c r="BU611" s="1207"/>
      <c r="BV611" s="1207"/>
      <c r="BW611" s="1207"/>
      <c r="BX611" s="1207"/>
      <c r="BY611" s="1207"/>
      <c r="BZ611" s="1207"/>
      <c r="CA611" s="1207"/>
      <c r="CB611" s="1207"/>
      <c r="CC611" s="1207"/>
      <c r="CD611" s="1207"/>
      <c r="CE611" s="1207"/>
      <c r="CF611" s="1207"/>
    </row>
    <row r="612" spans="1:84" ht="105" x14ac:dyDescent="0.2">
      <c r="A612" s="1355">
        <v>2022603</v>
      </c>
      <c r="B612" s="1172">
        <v>7655</v>
      </c>
      <c r="C612" s="1356" t="s">
        <v>670</v>
      </c>
      <c r="D612" s="1190" t="s">
        <v>673</v>
      </c>
      <c r="E612" s="1174">
        <v>80111600</v>
      </c>
      <c r="F612" s="1389" t="s">
        <v>1238</v>
      </c>
      <c r="G612" s="1390">
        <v>44562</v>
      </c>
      <c r="H612" s="1390">
        <v>44592</v>
      </c>
      <c r="I612" s="1176">
        <v>6</v>
      </c>
      <c r="J612" s="1176" t="s">
        <v>675</v>
      </c>
      <c r="K612" s="1177" t="s">
        <v>676</v>
      </c>
      <c r="L612" s="1178" t="s">
        <v>677</v>
      </c>
      <c r="M612" s="1179">
        <v>42000000</v>
      </c>
      <c r="N612" s="1386" t="s">
        <v>792</v>
      </c>
      <c r="O612" s="1174" t="s">
        <v>780</v>
      </c>
      <c r="P612" s="1207" t="s">
        <v>680</v>
      </c>
      <c r="Q612" s="1163"/>
      <c r="R612" s="1269">
        <v>42000000</v>
      </c>
      <c r="S612" s="1357">
        <v>42000000</v>
      </c>
      <c r="T612" s="1357">
        <f>+Tabla16[[#This Row],[CDPS A 31 JULIO 2022]]-Tabla16[[#This Row],[CDP]]</f>
        <v>0</v>
      </c>
      <c r="U612" s="1357">
        <v>42000000</v>
      </c>
      <c r="V612" s="1357">
        <v>14000000</v>
      </c>
      <c r="W612" s="1357"/>
      <c r="X612" s="1207"/>
      <c r="Y612" s="1207"/>
      <c r="Z612" s="1207"/>
      <c r="AA612" s="1207"/>
      <c r="AB612" s="1207"/>
      <c r="AC612" s="1207"/>
      <c r="AD612" s="1207"/>
      <c r="AE612" s="1207"/>
      <c r="AF612" s="1207"/>
      <c r="AG612" s="1207"/>
      <c r="AH612" s="1207"/>
      <c r="AI612" s="1207"/>
      <c r="AJ612" s="1207"/>
      <c r="AK612" s="1207"/>
      <c r="AL612" s="1207"/>
      <c r="AM612" s="1207"/>
      <c r="AN612" s="1207"/>
      <c r="AO612" s="1207"/>
      <c r="AP612" s="1207"/>
      <c r="AQ612" s="1207"/>
      <c r="AR612" s="1207"/>
      <c r="AS612" s="1207"/>
      <c r="AT612" s="1207"/>
      <c r="AU612" s="1207"/>
      <c r="AV612" s="1207"/>
      <c r="AW612" s="1207"/>
      <c r="AX612" s="1207"/>
      <c r="AY612" s="1207"/>
      <c r="AZ612" s="1207"/>
      <c r="BA612" s="1207"/>
      <c r="BB612" s="1207"/>
      <c r="BC612" s="1207"/>
      <c r="BD612" s="1207"/>
      <c r="BE612" s="1207"/>
      <c r="BF612" s="1207"/>
      <c r="BG612" s="1207"/>
      <c r="BH612" s="1207"/>
      <c r="BI612" s="1207"/>
      <c r="BJ612" s="1207"/>
      <c r="BK612" s="1207"/>
      <c r="BL612" s="1207"/>
      <c r="BM612" s="1207"/>
      <c r="BN612" s="1207"/>
      <c r="BO612" s="1207"/>
      <c r="BP612" s="1207"/>
      <c r="BQ612" s="1207"/>
      <c r="BR612" s="1207"/>
      <c r="BS612" s="1207"/>
      <c r="BT612" s="1207"/>
      <c r="BU612" s="1207"/>
      <c r="BV612" s="1207"/>
      <c r="BW612" s="1207"/>
      <c r="BX612" s="1207"/>
      <c r="BY612" s="1207"/>
      <c r="BZ612" s="1207"/>
      <c r="CA612" s="1207"/>
      <c r="CB612" s="1207"/>
      <c r="CC612" s="1207"/>
      <c r="CD612" s="1207"/>
      <c r="CE612" s="1207"/>
      <c r="CF612" s="1207"/>
    </row>
    <row r="613" spans="1:84" ht="105" x14ac:dyDescent="0.2">
      <c r="A613" s="1355">
        <v>2022604</v>
      </c>
      <c r="B613" s="1172">
        <v>7655</v>
      </c>
      <c r="C613" s="1356" t="s">
        <v>670</v>
      </c>
      <c r="D613" s="1190" t="s">
        <v>684</v>
      </c>
      <c r="E613" s="1174">
        <v>80111600</v>
      </c>
      <c r="F613" s="1389" t="s">
        <v>1239</v>
      </c>
      <c r="G613" s="1390">
        <v>44578</v>
      </c>
      <c r="H613" s="1390">
        <v>44578</v>
      </c>
      <c r="I613" s="1176">
        <v>11.5</v>
      </c>
      <c r="J613" s="1176" t="s">
        <v>675</v>
      </c>
      <c r="K613" s="1177" t="s">
        <v>676</v>
      </c>
      <c r="L613" s="1178" t="s">
        <v>677</v>
      </c>
      <c r="M613" s="1179">
        <v>28175000</v>
      </c>
      <c r="N613" s="1386" t="s">
        <v>785</v>
      </c>
      <c r="O613" s="1174" t="s">
        <v>780</v>
      </c>
      <c r="P613" s="1207" t="s">
        <v>680</v>
      </c>
      <c r="Q613" s="1163"/>
      <c r="R613" s="1269">
        <v>28175000</v>
      </c>
      <c r="S613" s="1357">
        <v>28175000</v>
      </c>
      <c r="T613" s="1357">
        <f>+Tabla16[[#This Row],[CDPS A 31 JULIO 2022]]-Tabla16[[#This Row],[CDP]]</f>
        <v>0</v>
      </c>
      <c r="U613" s="1357">
        <v>28175000</v>
      </c>
      <c r="V613" s="1357">
        <v>10126667</v>
      </c>
      <c r="W613" s="1357"/>
      <c r="X613" s="1207"/>
      <c r="Y613" s="1207"/>
      <c r="Z613" s="1207"/>
      <c r="AA613" s="1207"/>
      <c r="AB613" s="1207"/>
      <c r="AC613" s="1207"/>
      <c r="AD613" s="1207"/>
      <c r="AE613" s="1207"/>
      <c r="AF613" s="1207"/>
      <c r="AG613" s="1207"/>
      <c r="AH613" s="1207"/>
      <c r="AI613" s="1207"/>
      <c r="AJ613" s="1207"/>
      <c r="AK613" s="1207"/>
      <c r="AL613" s="1207"/>
      <c r="AM613" s="1207"/>
      <c r="AN613" s="1207"/>
      <c r="AO613" s="1207"/>
      <c r="AP613" s="1207"/>
      <c r="AQ613" s="1207"/>
      <c r="AR613" s="1207"/>
      <c r="AS613" s="1207"/>
      <c r="AT613" s="1207"/>
      <c r="AU613" s="1207"/>
      <c r="AV613" s="1207"/>
      <c r="AW613" s="1207"/>
      <c r="AX613" s="1207"/>
      <c r="AY613" s="1207"/>
      <c r="AZ613" s="1207"/>
      <c r="BA613" s="1207"/>
      <c r="BB613" s="1207"/>
      <c r="BC613" s="1207"/>
      <c r="BD613" s="1207"/>
      <c r="BE613" s="1207"/>
      <c r="BF613" s="1207"/>
      <c r="BG613" s="1207"/>
      <c r="BH613" s="1207"/>
      <c r="BI613" s="1207"/>
      <c r="BJ613" s="1207"/>
      <c r="BK613" s="1207"/>
      <c r="BL613" s="1207"/>
      <c r="BM613" s="1207"/>
      <c r="BN613" s="1207"/>
      <c r="BO613" s="1207"/>
      <c r="BP613" s="1207"/>
      <c r="BQ613" s="1207"/>
      <c r="BR613" s="1207"/>
      <c r="BS613" s="1207"/>
      <c r="BT613" s="1207"/>
      <c r="BU613" s="1207"/>
      <c r="BV613" s="1207"/>
      <c r="BW613" s="1207"/>
      <c r="BX613" s="1207"/>
      <c r="BY613" s="1207"/>
      <c r="BZ613" s="1207"/>
      <c r="CA613" s="1207"/>
      <c r="CB613" s="1207"/>
      <c r="CC613" s="1207"/>
      <c r="CD613" s="1207"/>
      <c r="CE613" s="1207"/>
      <c r="CF613" s="1207"/>
    </row>
    <row r="614" spans="1:84" ht="105" x14ac:dyDescent="0.2">
      <c r="A614" s="1355">
        <v>2022605</v>
      </c>
      <c r="B614" s="1172">
        <v>7655</v>
      </c>
      <c r="C614" s="1356" t="s">
        <v>670</v>
      </c>
      <c r="D614" s="1190" t="s">
        <v>673</v>
      </c>
      <c r="E614" s="1174">
        <v>80111600</v>
      </c>
      <c r="F614" s="1389" t="s">
        <v>1240</v>
      </c>
      <c r="G614" s="1390">
        <v>44562</v>
      </c>
      <c r="H614" s="1390">
        <v>44592</v>
      </c>
      <c r="I614" s="1176">
        <v>10</v>
      </c>
      <c r="J614" s="1176" t="s">
        <v>675</v>
      </c>
      <c r="K614" s="1177" t="s">
        <v>676</v>
      </c>
      <c r="L614" s="1178" t="s">
        <v>677</v>
      </c>
      <c r="M614" s="1179">
        <f>(10*4500000)-9000000</f>
        <v>36000000</v>
      </c>
      <c r="N614" s="1386" t="s">
        <v>785</v>
      </c>
      <c r="O614" s="1174" t="s">
        <v>780</v>
      </c>
      <c r="P614" s="1207" t="s">
        <v>680</v>
      </c>
      <c r="Q614" s="1163"/>
      <c r="R614" s="1269">
        <v>36000000</v>
      </c>
      <c r="S614" s="1357">
        <v>36000000</v>
      </c>
      <c r="T614" s="1357">
        <f>+Tabla16[[#This Row],[CDPS A 31 JULIO 2022]]-Tabla16[[#This Row],[CDP]]</f>
        <v>0</v>
      </c>
      <c r="U614" s="1357">
        <v>36000000</v>
      </c>
      <c r="V614" s="1357">
        <v>18450000</v>
      </c>
      <c r="W614" s="1357"/>
      <c r="X614" s="1207"/>
      <c r="Y614" s="1207"/>
      <c r="Z614" s="1207"/>
      <c r="AA614" s="1207"/>
      <c r="AB614" s="1207"/>
      <c r="AC614" s="1207"/>
      <c r="AD614" s="1207"/>
      <c r="AE614" s="1207"/>
      <c r="AF614" s="1207"/>
      <c r="AG614" s="1207"/>
      <c r="AH614" s="1207"/>
      <c r="AI614" s="1207"/>
      <c r="AJ614" s="1207"/>
      <c r="AK614" s="1207"/>
      <c r="AL614" s="1207"/>
      <c r="AM614" s="1207"/>
      <c r="AN614" s="1207"/>
      <c r="AO614" s="1207"/>
      <c r="AP614" s="1207"/>
      <c r="AQ614" s="1207"/>
      <c r="AR614" s="1207"/>
      <c r="AS614" s="1207"/>
      <c r="AT614" s="1207"/>
      <c r="AU614" s="1207"/>
      <c r="AV614" s="1207"/>
      <c r="AW614" s="1207"/>
      <c r="AX614" s="1207"/>
      <c r="AY614" s="1207"/>
      <c r="AZ614" s="1207"/>
      <c r="BA614" s="1207"/>
      <c r="BB614" s="1207"/>
      <c r="BC614" s="1207"/>
      <c r="BD614" s="1207"/>
      <c r="BE614" s="1207"/>
      <c r="BF614" s="1207"/>
      <c r="BG614" s="1207"/>
      <c r="BH614" s="1207"/>
      <c r="BI614" s="1207"/>
      <c r="BJ614" s="1207"/>
      <c r="BK614" s="1207"/>
      <c r="BL614" s="1207"/>
      <c r="BM614" s="1207"/>
      <c r="BN614" s="1207"/>
      <c r="BO614" s="1207"/>
      <c r="BP614" s="1207"/>
      <c r="BQ614" s="1207"/>
      <c r="BR614" s="1207"/>
      <c r="BS614" s="1207"/>
      <c r="BT614" s="1207"/>
      <c r="BU614" s="1207"/>
      <c r="BV614" s="1207"/>
      <c r="BW614" s="1207"/>
      <c r="BX614" s="1207"/>
      <c r="BY614" s="1207"/>
      <c r="BZ614" s="1207"/>
      <c r="CA614" s="1207"/>
      <c r="CB614" s="1207"/>
      <c r="CC614" s="1207"/>
      <c r="CD614" s="1207"/>
      <c r="CE614" s="1207"/>
      <c r="CF614" s="1207"/>
    </row>
    <row r="615" spans="1:84" ht="105" x14ac:dyDescent="0.2">
      <c r="A615" s="1355">
        <v>2022606</v>
      </c>
      <c r="B615" s="1172">
        <v>7655</v>
      </c>
      <c r="C615" s="1356" t="s">
        <v>670</v>
      </c>
      <c r="D615" s="1190" t="s">
        <v>684</v>
      </c>
      <c r="E615" s="1174">
        <v>80111600</v>
      </c>
      <c r="F615" s="1389" t="s">
        <v>1241</v>
      </c>
      <c r="G615" s="1390">
        <v>44582</v>
      </c>
      <c r="H615" s="1390">
        <v>44582</v>
      </c>
      <c r="I615" s="1176">
        <v>6</v>
      </c>
      <c r="J615" s="1176" t="s">
        <v>675</v>
      </c>
      <c r="K615" s="1177" t="s">
        <v>676</v>
      </c>
      <c r="L615" s="1178" t="s">
        <v>677</v>
      </c>
      <c r="M615" s="1179">
        <v>19200000</v>
      </c>
      <c r="N615" s="1386" t="s">
        <v>785</v>
      </c>
      <c r="O615" s="1174" t="s">
        <v>780</v>
      </c>
      <c r="P615" s="1207" t="s">
        <v>680</v>
      </c>
      <c r="Q615" s="1163"/>
      <c r="R615" s="1269">
        <v>19200000</v>
      </c>
      <c r="S615" s="1357">
        <v>19200000</v>
      </c>
      <c r="T615" s="1357">
        <f>+Tabla16[[#This Row],[CDPS A 31 JULIO 2022]]-Tabla16[[#This Row],[CDP]]</f>
        <v>0</v>
      </c>
      <c r="U615" s="1357">
        <v>19200000</v>
      </c>
      <c r="V615" s="1357">
        <v>12800000</v>
      </c>
      <c r="W615" s="1357"/>
      <c r="X615" s="1207"/>
      <c r="Y615" s="1207"/>
      <c r="Z615" s="1207"/>
      <c r="AA615" s="1207"/>
      <c r="AB615" s="1207"/>
      <c r="AC615" s="1207"/>
      <c r="AD615" s="1207"/>
      <c r="AE615" s="1207"/>
      <c r="AF615" s="1207"/>
      <c r="AG615" s="1207"/>
      <c r="AH615" s="1207"/>
      <c r="AI615" s="1207"/>
      <c r="AJ615" s="1207"/>
      <c r="AK615" s="1207"/>
      <c r="AL615" s="1207"/>
      <c r="AM615" s="1207"/>
      <c r="AN615" s="1207"/>
      <c r="AO615" s="1207"/>
      <c r="AP615" s="1207"/>
      <c r="AQ615" s="1207"/>
      <c r="AR615" s="1207"/>
      <c r="AS615" s="1207"/>
      <c r="AT615" s="1207"/>
      <c r="AU615" s="1207"/>
      <c r="AV615" s="1207"/>
      <c r="AW615" s="1207"/>
      <c r="AX615" s="1207"/>
      <c r="AY615" s="1207"/>
      <c r="AZ615" s="1207"/>
      <c r="BA615" s="1207"/>
      <c r="BB615" s="1207"/>
      <c r="BC615" s="1207"/>
      <c r="BD615" s="1207"/>
      <c r="BE615" s="1207"/>
      <c r="BF615" s="1207"/>
      <c r="BG615" s="1207"/>
      <c r="BH615" s="1207"/>
      <c r="BI615" s="1207"/>
      <c r="BJ615" s="1207"/>
      <c r="BK615" s="1207"/>
      <c r="BL615" s="1207"/>
      <c r="BM615" s="1207"/>
      <c r="BN615" s="1207"/>
      <c r="BO615" s="1207"/>
      <c r="BP615" s="1207"/>
      <c r="BQ615" s="1207"/>
      <c r="BR615" s="1207"/>
      <c r="BS615" s="1207"/>
      <c r="BT615" s="1207"/>
      <c r="BU615" s="1207"/>
      <c r="BV615" s="1207"/>
      <c r="BW615" s="1207"/>
      <c r="BX615" s="1207"/>
      <c r="BY615" s="1207"/>
      <c r="BZ615" s="1207"/>
      <c r="CA615" s="1207"/>
      <c r="CB615" s="1207"/>
      <c r="CC615" s="1207"/>
      <c r="CD615" s="1207"/>
      <c r="CE615" s="1207"/>
      <c r="CF615" s="1207"/>
    </row>
    <row r="616" spans="1:84" ht="105" x14ac:dyDescent="0.2">
      <c r="A616" s="1355">
        <v>2022607</v>
      </c>
      <c r="B616" s="1172" t="s">
        <v>97</v>
      </c>
      <c r="C616" s="1356" t="s">
        <v>97</v>
      </c>
      <c r="D616" s="1190" t="s">
        <v>691</v>
      </c>
      <c r="E616" s="1174" t="s">
        <v>1242</v>
      </c>
      <c r="F616" s="1389" t="s">
        <v>1243</v>
      </c>
      <c r="G616" s="1390">
        <v>44606</v>
      </c>
      <c r="H616" s="1390"/>
      <c r="I616" s="1176">
        <v>17</v>
      </c>
      <c r="J616" s="1176" t="s">
        <v>682</v>
      </c>
      <c r="K616" s="1177" t="s">
        <v>97</v>
      </c>
      <c r="L616" s="1178" t="s">
        <v>97</v>
      </c>
      <c r="M616" s="1179">
        <v>0</v>
      </c>
      <c r="N616" s="1386" t="s">
        <v>97</v>
      </c>
      <c r="O616" s="1174" t="s">
        <v>97</v>
      </c>
      <c r="P616" s="1207" t="s">
        <v>680</v>
      </c>
      <c r="Q616" s="1163"/>
      <c r="R616" s="1357"/>
      <c r="S616" s="1357"/>
      <c r="T616" s="1357">
        <f>+Tabla16[[#This Row],[CDPS A 31 JULIO 2022]]-Tabla16[[#This Row],[CDP]]</f>
        <v>0</v>
      </c>
      <c r="U616" s="1357"/>
      <c r="V616" s="1357"/>
      <c r="W616" s="1357"/>
      <c r="X616" s="1207"/>
      <c r="Y616" s="1207"/>
      <c r="Z616" s="1207"/>
      <c r="AA616" s="1207"/>
      <c r="AB616" s="1207"/>
      <c r="AC616" s="1207"/>
      <c r="AD616" s="1207"/>
      <c r="AE616" s="1207"/>
      <c r="AF616" s="1207"/>
      <c r="AG616" s="1207"/>
      <c r="AH616" s="1207"/>
      <c r="AI616" s="1207"/>
      <c r="AJ616" s="1207"/>
      <c r="AK616" s="1207"/>
      <c r="AL616" s="1207"/>
      <c r="AM616" s="1207"/>
      <c r="AN616" s="1207"/>
      <c r="AO616" s="1207"/>
      <c r="AP616" s="1207"/>
      <c r="AQ616" s="1207"/>
      <c r="AR616" s="1207"/>
      <c r="AS616" s="1207"/>
      <c r="AT616" s="1207"/>
      <c r="AU616" s="1207"/>
      <c r="AV616" s="1207"/>
      <c r="AW616" s="1207"/>
      <c r="AX616" s="1207"/>
      <c r="AY616" s="1207"/>
      <c r="AZ616" s="1207"/>
      <c r="BA616" s="1207"/>
      <c r="BB616" s="1207"/>
      <c r="BC616" s="1207"/>
      <c r="BD616" s="1207"/>
      <c r="BE616" s="1207"/>
      <c r="BF616" s="1207"/>
      <c r="BG616" s="1207"/>
      <c r="BH616" s="1207"/>
      <c r="BI616" s="1207"/>
      <c r="BJ616" s="1207"/>
      <c r="BK616" s="1207"/>
      <c r="BL616" s="1207"/>
      <c r="BM616" s="1207"/>
      <c r="BN616" s="1207"/>
      <c r="BO616" s="1207"/>
      <c r="BP616" s="1207"/>
      <c r="BQ616" s="1207"/>
      <c r="BR616" s="1207"/>
      <c r="BS616" s="1207"/>
      <c r="BT616" s="1207"/>
      <c r="BU616" s="1207"/>
      <c r="BV616" s="1207"/>
      <c r="BW616" s="1207"/>
      <c r="BX616" s="1207"/>
      <c r="BY616" s="1207"/>
      <c r="BZ616" s="1207"/>
      <c r="CA616" s="1207"/>
      <c r="CB616" s="1207"/>
      <c r="CC616" s="1207"/>
      <c r="CD616" s="1207"/>
      <c r="CE616" s="1207"/>
      <c r="CF616" s="1207"/>
    </row>
    <row r="617" spans="1:84" ht="105" x14ac:dyDescent="0.2">
      <c r="A617" s="1355">
        <v>2022608</v>
      </c>
      <c r="B617" s="1172">
        <v>7637</v>
      </c>
      <c r="C617" s="1356" t="s">
        <v>645</v>
      </c>
      <c r="D617" s="1190" t="s">
        <v>673</v>
      </c>
      <c r="E617" s="1174">
        <v>80111600</v>
      </c>
      <c r="F617" s="1389" t="s">
        <v>1244</v>
      </c>
      <c r="G617" s="1390">
        <v>44562</v>
      </c>
      <c r="H617" s="1390">
        <v>44592</v>
      </c>
      <c r="I617" s="1176">
        <v>10</v>
      </c>
      <c r="J617" s="1176" t="s">
        <v>675</v>
      </c>
      <c r="K617" s="1177" t="s">
        <v>676</v>
      </c>
      <c r="L617" s="1178" t="s">
        <v>677</v>
      </c>
      <c r="M617" s="1179">
        <v>23400000</v>
      </c>
      <c r="N617" s="1189" t="s">
        <v>678</v>
      </c>
      <c r="O617" s="1174" t="s">
        <v>679</v>
      </c>
      <c r="P617" s="1159" t="s">
        <v>680</v>
      </c>
      <c r="Q617" s="1163"/>
      <c r="R617" s="1269">
        <v>23400000</v>
      </c>
      <c r="S617" s="1357">
        <v>23400000</v>
      </c>
      <c r="T617" s="1357">
        <f>+Tabla16[[#This Row],[CDPS A 31 JULIO 2022]]-Tabla16[[#This Row],[CDP]]</f>
        <v>0</v>
      </c>
      <c r="U617" s="1357">
        <v>23400000</v>
      </c>
      <c r="V617" s="1357">
        <v>15600000</v>
      </c>
      <c r="W617" s="1357"/>
      <c r="X617" s="1207"/>
      <c r="Y617" s="1207"/>
      <c r="Z617" s="1207"/>
      <c r="AA617" s="1207"/>
      <c r="AB617" s="1207"/>
      <c r="AC617" s="1207"/>
      <c r="AD617" s="1207"/>
      <c r="AE617" s="1207"/>
      <c r="AF617" s="1207"/>
      <c r="AG617" s="1207"/>
      <c r="AH617" s="1207"/>
      <c r="AI617" s="1207"/>
      <c r="AJ617" s="1207"/>
      <c r="AK617" s="1207"/>
      <c r="AL617" s="1207"/>
      <c r="AM617" s="1207"/>
      <c r="AN617" s="1207"/>
      <c r="AO617" s="1207"/>
      <c r="AP617" s="1207"/>
      <c r="AQ617" s="1207"/>
      <c r="AR617" s="1207"/>
      <c r="AS617" s="1207"/>
      <c r="AT617" s="1207"/>
      <c r="AU617" s="1207"/>
      <c r="AV617" s="1207"/>
      <c r="AW617" s="1207"/>
      <c r="AX617" s="1207"/>
      <c r="AY617" s="1207"/>
      <c r="AZ617" s="1207"/>
      <c r="BA617" s="1207"/>
      <c r="BB617" s="1207"/>
      <c r="BC617" s="1207"/>
      <c r="BD617" s="1207"/>
      <c r="BE617" s="1207"/>
      <c r="BF617" s="1207"/>
      <c r="BG617" s="1207"/>
      <c r="BH617" s="1207"/>
      <c r="BI617" s="1207"/>
      <c r="BJ617" s="1207"/>
      <c r="BK617" s="1207"/>
      <c r="BL617" s="1207"/>
      <c r="BM617" s="1207"/>
      <c r="BN617" s="1207"/>
      <c r="BO617" s="1207"/>
      <c r="BP617" s="1207"/>
      <c r="BQ617" s="1207"/>
      <c r="BR617" s="1207"/>
      <c r="BS617" s="1207"/>
      <c r="BT617" s="1207"/>
      <c r="BU617" s="1207"/>
      <c r="BV617" s="1207"/>
      <c r="BW617" s="1207"/>
      <c r="BX617" s="1207"/>
      <c r="BY617" s="1207"/>
      <c r="BZ617" s="1207"/>
      <c r="CA617" s="1207"/>
      <c r="CB617" s="1207"/>
      <c r="CC617" s="1207"/>
      <c r="CD617" s="1207"/>
      <c r="CE617" s="1207"/>
      <c r="CF617" s="1207"/>
    </row>
    <row r="618" spans="1:84" ht="120" x14ac:dyDescent="0.2">
      <c r="A618" s="1355">
        <v>2022609</v>
      </c>
      <c r="B618" s="1172">
        <v>7658</v>
      </c>
      <c r="C618" s="1356" t="s">
        <v>681</v>
      </c>
      <c r="D618" s="1190" t="s">
        <v>694</v>
      </c>
      <c r="E618" s="1174" t="s">
        <v>1245</v>
      </c>
      <c r="F618" s="1389" t="s">
        <v>1246</v>
      </c>
      <c r="G618" s="1231">
        <v>44621</v>
      </c>
      <c r="H618" s="1231">
        <v>44712</v>
      </c>
      <c r="I618" s="1176">
        <v>12</v>
      </c>
      <c r="J618" s="1176" t="s">
        <v>689</v>
      </c>
      <c r="K618" s="1177" t="s">
        <v>676</v>
      </c>
      <c r="L618" s="1178" t="s">
        <v>677</v>
      </c>
      <c r="M618" s="1179">
        <f>181080376-104794000-14822449</f>
        <v>61463927</v>
      </c>
      <c r="N618" s="1386" t="s">
        <v>770</v>
      </c>
      <c r="O618" s="1174" t="s">
        <v>769</v>
      </c>
      <c r="P618" s="1207" t="s">
        <v>680</v>
      </c>
      <c r="Q618" s="1163"/>
      <c r="R618" s="1357">
        <v>61463927</v>
      </c>
      <c r="S618" s="1357">
        <v>61463927</v>
      </c>
      <c r="T618" s="1357">
        <f>+Tabla16[[#This Row],[CDPS A 31 JULIO 2022]]-Tabla16[[#This Row],[CDP]]</f>
        <v>0</v>
      </c>
      <c r="U618" s="1357">
        <v>61463927</v>
      </c>
      <c r="V618" s="1357">
        <v>11545689</v>
      </c>
      <c r="W618" s="1357"/>
      <c r="X618" s="1207"/>
      <c r="Y618" s="1207"/>
      <c r="Z618" s="1207"/>
      <c r="AA618" s="1207"/>
      <c r="AB618" s="1207"/>
      <c r="AC618" s="1207"/>
      <c r="AD618" s="1207"/>
      <c r="AE618" s="1207"/>
      <c r="AF618" s="1207"/>
      <c r="AG618" s="1207"/>
      <c r="AH618" s="1207"/>
      <c r="AI618" s="1207"/>
      <c r="AJ618" s="1207"/>
      <c r="AK618" s="1207"/>
      <c r="AL618" s="1207"/>
      <c r="AM618" s="1207"/>
      <c r="AN618" s="1207"/>
      <c r="AO618" s="1207"/>
      <c r="AP618" s="1207"/>
      <c r="AQ618" s="1207"/>
      <c r="AR618" s="1207"/>
      <c r="AS618" s="1207"/>
      <c r="AT618" s="1207"/>
      <c r="AU618" s="1207"/>
      <c r="AV618" s="1207"/>
      <c r="AW618" s="1207"/>
      <c r="AX618" s="1207"/>
      <c r="AY618" s="1207"/>
      <c r="AZ618" s="1207"/>
      <c r="BA618" s="1207"/>
      <c r="BB618" s="1207"/>
      <c r="BC618" s="1207"/>
      <c r="BD618" s="1207"/>
      <c r="BE618" s="1207"/>
      <c r="BF618" s="1207"/>
      <c r="BG618" s="1207"/>
      <c r="BH618" s="1207"/>
      <c r="BI618" s="1207"/>
      <c r="BJ618" s="1207"/>
      <c r="BK618" s="1207"/>
      <c r="BL618" s="1207"/>
      <c r="BM618" s="1207"/>
      <c r="BN618" s="1207"/>
      <c r="BO618" s="1207"/>
      <c r="BP618" s="1207"/>
      <c r="BQ618" s="1207"/>
      <c r="BR618" s="1207"/>
      <c r="BS618" s="1207"/>
      <c r="BT618" s="1207"/>
      <c r="BU618" s="1207"/>
      <c r="BV618" s="1207"/>
      <c r="BW618" s="1207"/>
      <c r="BX618" s="1207"/>
      <c r="BY618" s="1207"/>
      <c r="BZ618" s="1207"/>
      <c r="CA618" s="1207"/>
      <c r="CB618" s="1207"/>
      <c r="CC618" s="1207"/>
      <c r="CD618" s="1207"/>
      <c r="CE618" s="1207"/>
      <c r="CF618" s="1207"/>
    </row>
    <row r="619" spans="1:84" ht="105" x14ac:dyDescent="0.2">
      <c r="A619" s="1355">
        <v>2022610</v>
      </c>
      <c r="B619" s="1172" t="s">
        <v>459</v>
      </c>
      <c r="C619" s="1356"/>
      <c r="D619" s="1190" t="s">
        <v>673</v>
      </c>
      <c r="E619" s="1174" t="s">
        <v>1229</v>
      </c>
      <c r="F619" s="1389" t="s">
        <v>1247</v>
      </c>
      <c r="G619" s="1390">
        <v>44593</v>
      </c>
      <c r="H619" s="1390">
        <v>44620</v>
      </c>
      <c r="I619" s="1176">
        <v>2.1</v>
      </c>
      <c r="J619" s="1176" t="s">
        <v>722</v>
      </c>
      <c r="K619" s="1177" t="s">
        <v>676</v>
      </c>
      <c r="L619" s="1178"/>
      <c r="M619" s="1179">
        <v>81890487</v>
      </c>
      <c r="N619" s="1386"/>
      <c r="O619" s="1174"/>
      <c r="P619" s="1207" t="s">
        <v>759</v>
      </c>
      <c r="Q619" s="1163"/>
      <c r="R619" s="1357"/>
      <c r="S619" s="1357"/>
      <c r="T619" s="1357">
        <f>+Tabla16[[#This Row],[CDPS A 31 JULIO 2022]]-Tabla16[[#This Row],[CDP]]</f>
        <v>0</v>
      </c>
      <c r="U619" s="1357"/>
      <c r="V619" s="1357"/>
      <c r="W619" s="1357"/>
      <c r="X619" s="1207"/>
      <c r="Y619" s="1207"/>
      <c r="Z619" s="1207"/>
      <c r="AA619" s="1207"/>
      <c r="AB619" s="1207"/>
      <c r="AC619" s="1207"/>
      <c r="AD619" s="1207"/>
      <c r="AE619" s="1207"/>
      <c r="AF619" s="1207"/>
      <c r="AG619" s="1207"/>
      <c r="AH619" s="1207"/>
      <c r="AI619" s="1207"/>
      <c r="AJ619" s="1207"/>
      <c r="AK619" s="1207"/>
      <c r="AL619" s="1207"/>
      <c r="AM619" s="1207"/>
      <c r="AN619" s="1207"/>
      <c r="AO619" s="1207"/>
      <c r="AP619" s="1207"/>
      <c r="AQ619" s="1207"/>
      <c r="AR619" s="1207"/>
      <c r="AS619" s="1207"/>
      <c r="AT619" s="1207"/>
      <c r="AU619" s="1207"/>
      <c r="AV619" s="1207"/>
      <c r="AW619" s="1207"/>
      <c r="AX619" s="1207"/>
      <c r="AY619" s="1207"/>
      <c r="AZ619" s="1207"/>
      <c r="BA619" s="1207"/>
      <c r="BB619" s="1207"/>
      <c r="BC619" s="1207"/>
      <c r="BD619" s="1207"/>
      <c r="BE619" s="1207"/>
      <c r="BF619" s="1207"/>
      <c r="BG619" s="1207"/>
      <c r="BH619" s="1207"/>
      <c r="BI619" s="1207"/>
      <c r="BJ619" s="1207"/>
      <c r="BK619" s="1207"/>
      <c r="BL619" s="1207"/>
      <c r="BM619" s="1207"/>
      <c r="BN619" s="1207"/>
      <c r="BO619" s="1207"/>
      <c r="BP619" s="1207"/>
      <c r="BQ619" s="1207"/>
      <c r="BR619" s="1207"/>
      <c r="BS619" s="1207"/>
      <c r="BT619" s="1207"/>
      <c r="BU619" s="1207"/>
      <c r="BV619" s="1207"/>
      <c r="BW619" s="1207"/>
      <c r="BX619" s="1207"/>
      <c r="BY619" s="1207"/>
      <c r="BZ619" s="1207"/>
      <c r="CA619" s="1207"/>
      <c r="CB619" s="1207"/>
      <c r="CC619" s="1207"/>
      <c r="CD619" s="1207"/>
      <c r="CE619" s="1207"/>
      <c r="CF619" s="1207"/>
    </row>
    <row r="620" spans="1:84" ht="105" x14ac:dyDescent="0.2">
      <c r="A620" s="1355">
        <v>2022611</v>
      </c>
      <c r="B620" s="1172">
        <v>7658</v>
      </c>
      <c r="C620" s="1356" t="s">
        <v>681</v>
      </c>
      <c r="D620" s="1190" t="s">
        <v>694</v>
      </c>
      <c r="E620" s="1174"/>
      <c r="F620" s="1389" t="s">
        <v>1133</v>
      </c>
      <c r="G620" s="1390"/>
      <c r="H620" s="1390"/>
      <c r="I620" s="1176"/>
      <c r="J620" s="1176" t="s">
        <v>97</v>
      </c>
      <c r="K620" s="1177" t="s">
        <v>676</v>
      </c>
      <c r="L620" s="1178" t="s">
        <v>677</v>
      </c>
      <c r="M620" s="1179">
        <f>560000+1100000+6700000+6500000+18300000+13200000+19400000+14000000+1800000+20000000+29100000-10300000-9700000+8854126-40000000+14822449-126-16800000-16800000-16800000-2000067-13400000-2600000-600000-5942022-12000000+2307582+2280785+15200000+32668167+6305000-13475000-30000000-13200000</f>
        <v>9480894</v>
      </c>
      <c r="N620" s="1386" t="s">
        <v>770</v>
      </c>
      <c r="O620" s="1174" t="s">
        <v>769</v>
      </c>
      <c r="P620" s="1207" t="s">
        <v>750</v>
      </c>
      <c r="Q620" s="1163"/>
      <c r="R620" s="1357">
        <v>2000067</v>
      </c>
      <c r="S620" s="1357"/>
      <c r="T620" s="1357">
        <f>+Tabla16[[#This Row],[CDPS A 31 JULIO 2022]]-Tabla16[[#This Row],[CDP]]</f>
        <v>2000067</v>
      </c>
      <c r="U620" s="1357"/>
      <c r="V620" s="1357"/>
      <c r="W620" s="1357"/>
      <c r="X620" s="1207"/>
      <c r="Y620" s="1207"/>
      <c r="Z620" s="1207"/>
      <c r="AA620" s="1207"/>
      <c r="AB620" s="1207"/>
      <c r="AC620" s="1207"/>
      <c r="AD620" s="1207"/>
      <c r="AE620" s="1207"/>
      <c r="AF620" s="1207"/>
      <c r="AG620" s="1207"/>
      <c r="AH620" s="1207"/>
      <c r="AI620" s="1207"/>
      <c r="AJ620" s="1207"/>
      <c r="AK620" s="1207"/>
      <c r="AL620" s="1207"/>
      <c r="AM620" s="1207"/>
      <c r="AN620" s="1207"/>
      <c r="AO620" s="1207"/>
      <c r="AP620" s="1207"/>
      <c r="AQ620" s="1207"/>
      <c r="AR620" s="1207"/>
      <c r="AS620" s="1207"/>
      <c r="AT620" s="1207"/>
      <c r="AU620" s="1207"/>
      <c r="AV620" s="1207"/>
      <c r="AW620" s="1207"/>
      <c r="AX620" s="1207"/>
      <c r="AY620" s="1207"/>
      <c r="AZ620" s="1207"/>
      <c r="BA620" s="1207"/>
      <c r="BB620" s="1207"/>
      <c r="BC620" s="1207"/>
      <c r="BD620" s="1207"/>
      <c r="BE620" s="1207"/>
      <c r="BF620" s="1207"/>
      <c r="BG620" s="1207"/>
      <c r="BH620" s="1207"/>
      <c r="BI620" s="1207"/>
      <c r="BJ620" s="1207"/>
      <c r="BK620" s="1207"/>
      <c r="BL620" s="1207"/>
      <c r="BM620" s="1207"/>
      <c r="BN620" s="1207"/>
      <c r="BO620" s="1207"/>
      <c r="BP620" s="1207"/>
      <c r="BQ620" s="1207"/>
      <c r="BR620" s="1207"/>
      <c r="BS620" s="1207"/>
      <c r="BT620" s="1207"/>
      <c r="BU620" s="1207"/>
      <c r="BV620" s="1207"/>
      <c r="BW620" s="1207"/>
      <c r="BX620" s="1207"/>
      <c r="BY620" s="1207"/>
      <c r="BZ620" s="1207"/>
      <c r="CA620" s="1207"/>
      <c r="CB620" s="1207"/>
      <c r="CC620" s="1207"/>
      <c r="CD620" s="1207"/>
      <c r="CE620" s="1207"/>
      <c r="CF620" s="1207"/>
    </row>
    <row r="621" spans="1:84" ht="105" x14ac:dyDescent="0.2">
      <c r="A621" s="1355">
        <v>2022611</v>
      </c>
      <c r="B621" s="1172">
        <v>7658</v>
      </c>
      <c r="C621" s="1356" t="s">
        <v>681</v>
      </c>
      <c r="D621" s="1190" t="s">
        <v>694</v>
      </c>
      <c r="E621" s="1174"/>
      <c r="F621" s="1389" t="s">
        <v>1133</v>
      </c>
      <c r="G621" s="1390"/>
      <c r="H621" s="1390"/>
      <c r="I621" s="1176"/>
      <c r="J621" s="1176" t="s">
        <v>97</v>
      </c>
      <c r="K621" s="1177" t="s">
        <v>984</v>
      </c>
      <c r="L621" s="1178" t="s">
        <v>677</v>
      </c>
      <c r="M621" s="1179">
        <v>2000067</v>
      </c>
      <c r="N621" s="1386" t="s">
        <v>770</v>
      </c>
      <c r="O621" s="1174" t="s">
        <v>769</v>
      </c>
      <c r="P621" s="1207" t="s">
        <v>750</v>
      </c>
      <c r="Q621" s="1163"/>
      <c r="R621" s="1357">
        <v>2000067</v>
      </c>
      <c r="S621" s="1357">
        <v>2000067</v>
      </c>
      <c r="T621" s="1357">
        <f>+Tabla16[[#This Row],[CDPS A 31 JULIO 2022]]-Tabla16[[#This Row],[CDP]]</f>
        <v>0</v>
      </c>
      <c r="U621" s="1357">
        <v>2000067</v>
      </c>
      <c r="V621" s="1357">
        <v>2000067</v>
      </c>
      <c r="W621" s="1357"/>
      <c r="X621" s="1207"/>
      <c r="Y621" s="1207"/>
      <c r="Z621" s="1207"/>
      <c r="AA621" s="1207"/>
      <c r="AB621" s="1207"/>
      <c r="AC621" s="1207"/>
      <c r="AD621" s="1207"/>
      <c r="AE621" s="1207"/>
      <c r="AF621" s="1207"/>
      <c r="AG621" s="1207"/>
      <c r="AH621" s="1207"/>
      <c r="AI621" s="1207"/>
      <c r="AJ621" s="1207"/>
      <c r="AK621" s="1207"/>
      <c r="AL621" s="1207"/>
      <c r="AM621" s="1207"/>
      <c r="AN621" s="1207"/>
      <c r="AO621" s="1207"/>
      <c r="AP621" s="1207"/>
      <c r="AQ621" s="1207"/>
      <c r="AR621" s="1207"/>
      <c r="AS621" s="1207"/>
      <c r="AT621" s="1207"/>
      <c r="AU621" s="1207"/>
      <c r="AV621" s="1207"/>
      <c r="AW621" s="1207"/>
      <c r="AX621" s="1207"/>
      <c r="AY621" s="1207"/>
      <c r="AZ621" s="1207"/>
      <c r="BA621" s="1207"/>
      <c r="BB621" s="1207"/>
      <c r="BC621" s="1207"/>
      <c r="BD621" s="1207"/>
      <c r="BE621" s="1207"/>
      <c r="BF621" s="1207"/>
      <c r="BG621" s="1207"/>
      <c r="BH621" s="1207"/>
      <c r="BI621" s="1207"/>
      <c r="BJ621" s="1207"/>
      <c r="BK621" s="1207"/>
      <c r="BL621" s="1207"/>
      <c r="BM621" s="1207"/>
      <c r="BN621" s="1207"/>
      <c r="BO621" s="1207"/>
      <c r="BP621" s="1207"/>
      <c r="BQ621" s="1207"/>
      <c r="BR621" s="1207"/>
      <c r="BS621" s="1207"/>
      <c r="BT621" s="1207"/>
      <c r="BU621" s="1207"/>
      <c r="BV621" s="1207"/>
      <c r="BW621" s="1207"/>
      <c r="BX621" s="1207"/>
      <c r="BY621" s="1207"/>
      <c r="BZ621" s="1207"/>
      <c r="CA621" s="1207"/>
      <c r="CB621" s="1207"/>
      <c r="CC621" s="1207"/>
      <c r="CD621" s="1207"/>
      <c r="CE621" s="1207"/>
      <c r="CF621" s="1207"/>
    </row>
    <row r="622" spans="1:84" ht="135" x14ac:dyDescent="0.2">
      <c r="A622" s="1355">
        <v>2022617</v>
      </c>
      <c r="B622" s="1172">
        <v>7658</v>
      </c>
      <c r="C622" s="1356" t="s">
        <v>681</v>
      </c>
      <c r="D622" s="1190" t="s">
        <v>700</v>
      </c>
      <c r="E622" s="1174" t="s">
        <v>1124</v>
      </c>
      <c r="F622" s="1389" t="s">
        <v>1254</v>
      </c>
      <c r="G622" s="1390">
        <v>44593</v>
      </c>
      <c r="H622" s="1390">
        <v>44620</v>
      </c>
      <c r="I622" s="1176">
        <v>12</v>
      </c>
      <c r="J622" s="1176" t="s">
        <v>698</v>
      </c>
      <c r="K622" s="1177" t="s">
        <v>676</v>
      </c>
      <c r="L622" s="1178" t="s">
        <v>983</v>
      </c>
      <c r="M622" s="1179">
        <v>175000000</v>
      </c>
      <c r="N622" s="1386" t="s">
        <v>786</v>
      </c>
      <c r="O622" s="1174" t="s">
        <v>773</v>
      </c>
      <c r="P622" s="1163" t="s">
        <v>750</v>
      </c>
      <c r="Q622" s="1163"/>
      <c r="R622" s="1357">
        <v>175000000</v>
      </c>
      <c r="S622" s="1357">
        <v>175000000</v>
      </c>
      <c r="T622" s="1357">
        <f>+Tabla16[[#This Row],[CDPS A 31 JULIO 2022]]-Tabla16[[#This Row],[CDP]]</f>
        <v>0</v>
      </c>
      <c r="U622" s="1357">
        <v>175000000</v>
      </c>
      <c r="V622" s="1357">
        <v>19650698</v>
      </c>
      <c r="W622" s="1357"/>
      <c r="X622" s="1207"/>
      <c r="Y622" s="1207"/>
      <c r="Z622" s="1207"/>
      <c r="AA622" s="1207"/>
      <c r="AB622" s="1207"/>
      <c r="AC622" s="1207"/>
      <c r="AD622" s="1207"/>
      <c r="AE622" s="1207"/>
      <c r="AF622" s="1207"/>
      <c r="AG622" s="1207"/>
      <c r="AH622" s="1207"/>
      <c r="AI622" s="1207"/>
      <c r="AJ622" s="1207"/>
      <c r="AK622" s="1207"/>
      <c r="AL622" s="1207"/>
      <c r="AM622" s="1207"/>
      <c r="AN622" s="1207"/>
      <c r="AO622" s="1207"/>
      <c r="AP622" s="1207"/>
      <c r="AQ622" s="1207"/>
      <c r="AR622" s="1207"/>
      <c r="AS622" s="1207"/>
      <c r="AT622" s="1207"/>
      <c r="AU622" s="1207"/>
      <c r="AV622" s="1207"/>
      <c r="AW622" s="1207"/>
      <c r="AX622" s="1207"/>
      <c r="AY622" s="1207"/>
      <c r="AZ622" s="1207"/>
      <c r="BA622" s="1207"/>
      <c r="BB622" s="1207"/>
      <c r="BC622" s="1207"/>
      <c r="BD622" s="1207"/>
      <c r="BE622" s="1207"/>
      <c r="BF622" s="1207"/>
      <c r="BG622" s="1207"/>
      <c r="BH622" s="1207"/>
      <c r="BI622" s="1207"/>
      <c r="BJ622" s="1207"/>
      <c r="BK622" s="1207"/>
      <c r="BL622" s="1207"/>
      <c r="BM622" s="1207"/>
      <c r="BN622" s="1207"/>
      <c r="BO622" s="1207"/>
      <c r="BP622" s="1207"/>
      <c r="BQ622" s="1207"/>
      <c r="BR622" s="1207"/>
      <c r="BS622" s="1207"/>
      <c r="BT622" s="1207"/>
      <c r="BU622" s="1207"/>
      <c r="BV622" s="1207"/>
      <c r="BW622" s="1207"/>
      <c r="BX622" s="1207"/>
      <c r="BY622" s="1207"/>
      <c r="BZ622" s="1207"/>
      <c r="CA622" s="1207"/>
      <c r="CB622" s="1207"/>
      <c r="CC622" s="1207"/>
      <c r="CD622" s="1207"/>
      <c r="CE622" s="1207"/>
      <c r="CF622" s="1207"/>
    </row>
    <row r="623" spans="1:84" ht="60" x14ac:dyDescent="0.2">
      <c r="A623" s="1355">
        <v>2022618</v>
      </c>
      <c r="B623" s="1172" t="s">
        <v>459</v>
      </c>
      <c r="C623" s="1356" t="s">
        <v>459</v>
      </c>
      <c r="D623" s="1190" t="s">
        <v>697</v>
      </c>
      <c r="E623" s="1174">
        <v>86111604</v>
      </c>
      <c r="F623" s="1389" t="s">
        <v>1255</v>
      </c>
      <c r="G623" s="1390">
        <v>44682</v>
      </c>
      <c r="H623" s="1390">
        <v>44681</v>
      </c>
      <c r="I623" s="1176">
        <v>5</v>
      </c>
      <c r="J623" s="1176" t="s">
        <v>701</v>
      </c>
      <c r="K623" s="1177" t="s">
        <v>772</v>
      </c>
      <c r="L623" s="1178"/>
      <c r="M623" s="1179">
        <v>29250000</v>
      </c>
      <c r="N623" s="1386"/>
      <c r="O623" s="1174"/>
      <c r="P623" s="1163" t="s">
        <v>680</v>
      </c>
      <c r="Q623" s="1163"/>
      <c r="R623" s="1357"/>
      <c r="S623" s="1357"/>
      <c r="T623" s="1357">
        <f>+Tabla16[[#This Row],[CDPS A 31 JULIO 2022]]-Tabla16[[#This Row],[CDP]]</f>
        <v>0</v>
      </c>
      <c r="U623" s="1357"/>
      <c r="V623" s="1357"/>
      <c r="W623" s="1357"/>
      <c r="X623" s="1207"/>
      <c r="Y623" s="1207"/>
      <c r="Z623" s="1207"/>
      <c r="AA623" s="1207"/>
      <c r="AB623" s="1207"/>
      <c r="AC623" s="1207"/>
      <c r="AD623" s="1207"/>
      <c r="AE623" s="1207"/>
      <c r="AF623" s="1207"/>
      <c r="AG623" s="1207"/>
      <c r="AH623" s="1207"/>
      <c r="AI623" s="1207"/>
      <c r="AJ623" s="1207"/>
      <c r="AK623" s="1207"/>
      <c r="AL623" s="1207"/>
      <c r="AM623" s="1207"/>
      <c r="AN623" s="1207"/>
      <c r="AO623" s="1207"/>
      <c r="AP623" s="1207"/>
      <c r="AQ623" s="1207"/>
      <c r="AR623" s="1207"/>
      <c r="AS623" s="1207"/>
      <c r="AT623" s="1207"/>
      <c r="AU623" s="1207"/>
      <c r="AV623" s="1207"/>
      <c r="AW623" s="1207"/>
      <c r="AX623" s="1207"/>
      <c r="AY623" s="1207"/>
      <c r="AZ623" s="1207"/>
      <c r="BA623" s="1207"/>
      <c r="BB623" s="1207"/>
      <c r="BC623" s="1207"/>
      <c r="BD623" s="1207"/>
      <c r="BE623" s="1207"/>
      <c r="BF623" s="1207"/>
      <c r="BG623" s="1207"/>
      <c r="BH623" s="1207"/>
      <c r="BI623" s="1207"/>
      <c r="BJ623" s="1207"/>
      <c r="BK623" s="1207"/>
      <c r="BL623" s="1207"/>
      <c r="BM623" s="1207"/>
      <c r="BN623" s="1207"/>
      <c r="BO623" s="1207"/>
      <c r="BP623" s="1207"/>
      <c r="BQ623" s="1207"/>
      <c r="BR623" s="1207"/>
      <c r="BS623" s="1207"/>
      <c r="BT623" s="1207"/>
      <c r="BU623" s="1207"/>
      <c r="BV623" s="1207"/>
      <c r="BW623" s="1207"/>
      <c r="BX623" s="1207"/>
      <c r="BY623" s="1207"/>
      <c r="BZ623" s="1207"/>
      <c r="CA623" s="1207"/>
      <c r="CB623" s="1207"/>
      <c r="CC623" s="1207"/>
      <c r="CD623" s="1207"/>
      <c r="CE623" s="1207"/>
      <c r="CF623" s="1207"/>
    </row>
    <row r="624" spans="1:84" ht="105" x14ac:dyDescent="0.2">
      <c r="A624" s="1355">
        <v>2022619</v>
      </c>
      <c r="B624" s="1172">
        <v>7637</v>
      </c>
      <c r="C624" s="1356" t="s">
        <v>645</v>
      </c>
      <c r="D624" s="1190" t="s">
        <v>673</v>
      </c>
      <c r="E624" s="1174" t="s">
        <v>1256</v>
      </c>
      <c r="F624" s="1389" t="s">
        <v>1257</v>
      </c>
      <c r="G624" s="1390">
        <v>44652</v>
      </c>
      <c r="H624" s="1390">
        <v>44712</v>
      </c>
      <c r="I624" s="1176">
        <v>12</v>
      </c>
      <c r="J624" s="1176" t="s">
        <v>701</v>
      </c>
      <c r="K624" s="1177" t="s">
        <v>676</v>
      </c>
      <c r="L624" s="1178" t="s">
        <v>731</v>
      </c>
      <c r="M624" s="1179">
        <f>8000000-848867</f>
        <v>7151133</v>
      </c>
      <c r="N624" s="1189" t="s">
        <v>678</v>
      </c>
      <c r="O624" s="1174" t="s">
        <v>679</v>
      </c>
      <c r="P624" s="1207" t="s">
        <v>680</v>
      </c>
      <c r="Q624" s="1163"/>
      <c r="R624" s="1269">
        <v>8000000</v>
      </c>
      <c r="S624" s="1357">
        <v>8000000</v>
      </c>
      <c r="T624" s="1357">
        <f>+Tabla16[[#This Row],[CDPS A 31 JULIO 2022]]-Tabla16[[#This Row],[CDP]]</f>
        <v>0</v>
      </c>
      <c r="U624" s="1357"/>
      <c r="V624" s="1357"/>
      <c r="W624" s="1357"/>
      <c r="X624" s="1207"/>
      <c r="Y624" s="1207"/>
      <c r="Z624" s="1207"/>
      <c r="AA624" s="1207"/>
      <c r="AB624" s="1207"/>
      <c r="AC624" s="1207"/>
      <c r="AD624" s="1207"/>
      <c r="AE624" s="1207"/>
      <c r="AF624" s="1207"/>
      <c r="AG624" s="1207"/>
      <c r="AH624" s="1207"/>
      <c r="AI624" s="1207"/>
      <c r="AJ624" s="1207"/>
      <c r="AK624" s="1207"/>
      <c r="AL624" s="1207"/>
      <c r="AM624" s="1207"/>
      <c r="AN624" s="1207"/>
      <c r="AO624" s="1207"/>
      <c r="AP624" s="1207"/>
      <c r="AQ624" s="1207"/>
      <c r="AR624" s="1207"/>
      <c r="AS624" s="1207"/>
      <c r="AT624" s="1207"/>
      <c r="AU624" s="1207"/>
      <c r="AV624" s="1207"/>
      <c r="AW624" s="1207"/>
      <c r="AX624" s="1207"/>
      <c r="AY624" s="1207"/>
      <c r="AZ624" s="1207"/>
      <c r="BA624" s="1207"/>
      <c r="BB624" s="1207"/>
      <c r="BC624" s="1207"/>
      <c r="BD624" s="1207"/>
      <c r="BE624" s="1207"/>
      <c r="BF624" s="1207"/>
      <c r="BG624" s="1207"/>
      <c r="BH624" s="1207"/>
      <c r="BI624" s="1207"/>
      <c r="BJ624" s="1207"/>
      <c r="BK624" s="1207"/>
      <c r="BL624" s="1207"/>
      <c r="BM624" s="1207"/>
      <c r="BN624" s="1207"/>
      <c r="BO624" s="1207"/>
      <c r="BP624" s="1207"/>
      <c r="BQ624" s="1207"/>
      <c r="BR624" s="1207"/>
      <c r="BS624" s="1207"/>
      <c r="BT624" s="1207"/>
      <c r="BU624" s="1207"/>
      <c r="BV624" s="1207"/>
      <c r="BW624" s="1207"/>
      <c r="BX624" s="1207"/>
      <c r="BY624" s="1207"/>
      <c r="BZ624" s="1207"/>
      <c r="CA624" s="1207"/>
      <c r="CB624" s="1207"/>
      <c r="CC624" s="1207"/>
      <c r="CD624" s="1207"/>
      <c r="CE624" s="1207"/>
      <c r="CF624" s="1207"/>
    </row>
    <row r="625" spans="1:84" ht="135" x14ac:dyDescent="0.2">
      <c r="A625" s="1355">
        <v>2022620</v>
      </c>
      <c r="B625" s="1172">
        <v>7658</v>
      </c>
      <c r="C625" s="1356" t="s">
        <v>681</v>
      </c>
      <c r="D625" s="1190" t="s">
        <v>700</v>
      </c>
      <c r="E625" s="1174" t="s">
        <v>1258</v>
      </c>
      <c r="F625" s="1389" t="s">
        <v>1259</v>
      </c>
      <c r="G625" s="1390">
        <v>44621</v>
      </c>
      <c r="H625" s="1390">
        <v>44630</v>
      </c>
      <c r="I625" s="1176">
        <v>1</v>
      </c>
      <c r="J625" s="1176" t="s">
        <v>698</v>
      </c>
      <c r="K625" s="1177" t="s">
        <v>676</v>
      </c>
      <c r="L625" s="1178" t="s">
        <v>983</v>
      </c>
      <c r="M625" s="1179">
        <f>8000000-313321</f>
        <v>7686679</v>
      </c>
      <c r="N625" s="1386" t="s">
        <v>786</v>
      </c>
      <c r="O625" s="1174" t="s">
        <v>773</v>
      </c>
      <c r="P625" s="1163" t="s">
        <v>750</v>
      </c>
      <c r="Q625" s="1163"/>
      <c r="R625" s="1357">
        <v>7686679</v>
      </c>
      <c r="S625" s="1357">
        <v>7686679</v>
      </c>
      <c r="T625" s="1357">
        <f>+Tabla16[[#This Row],[CDPS A 31 JULIO 2022]]-Tabla16[[#This Row],[CDP]]</f>
        <v>0</v>
      </c>
      <c r="U625" s="1357">
        <v>7686679</v>
      </c>
      <c r="V625" s="1357">
        <v>7686499</v>
      </c>
      <c r="W625" s="1357"/>
      <c r="X625" s="1207"/>
      <c r="Y625" s="1207"/>
      <c r="Z625" s="1207"/>
      <c r="AA625" s="1207"/>
      <c r="AB625" s="1207"/>
      <c r="AC625" s="1207"/>
      <c r="AD625" s="1207"/>
      <c r="AE625" s="1207"/>
      <c r="AF625" s="1207"/>
      <c r="AG625" s="1207"/>
      <c r="AH625" s="1207"/>
      <c r="AI625" s="1207"/>
      <c r="AJ625" s="1207"/>
      <c r="AK625" s="1207"/>
      <c r="AL625" s="1207"/>
      <c r="AM625" s="1207"/>
      <c r="AN625" s="1207"/>
      <c r="AO625" s="1207"/>
      <c r="AP625" s="1207"/>
      <c r="AQ625" s="1207"/>
      <c r="AR625" s="1207"/>
      <c r="AS625" s="1207"/>
      <c r="AT625" s="1207"/>
      <c r="AU625" s="1207"/>
      <c r="AV625" s="1207"/>
      <c r="AW625" s="1207"/>
      <c r="AX625" s="1207"/>
      <c r="AY625" s="1207"/>
      <c r="AZ625" s="1207"/>
      <c r="BA625" s="1207"/>
      <c r="BB625" s="1207"/>
      <c r="BC625" s="1207"/>
      <c r="BD625" s="1207"/>
      <c r="BE625" s="1207"/>
      <c r="BF625" s="1207"/>
      <c r="BG625" s="1207"/>
      <c r="BH625" s="1207"/>
      <c r="BI625" s="1207"/>
      <c r="BJ625" s="1207"/>
      <c r="BK625" s="1207"/>
      <c r="BL625" s="1207"/>
      <c r="BM625" s="1207"/>
      <c r="BN625" s="1207"/>
      <c r="BO625" s="1207"/>
      <c r="BP625" s="1207"/>
      <c r="BQ625" s="1207"/>
      <c r="BR625" s="1207"/>
      <c r="BS625" s="1207"/>
      <c r="BT625" s="1207"/>
      <c r="BU625" s="1207"/>
      <c r="BV625" s="1207"/>
      <c r="BW625" s="1207"/>
      <c r="BX625" s="1207"/>
      <c r="BY625" s="1207"/>
      <c r="BZ625" s="1207"/>
      <c r="CA625" s="1207"/>
      <c r="CB625" s="1207"/>
      <c r="CC625" s="1207"/>
      <c r="CD625" s="1207"/>
      <c r="CE625" s="1207"/>
      <c r="CF625" s="1207"/>
    </row>
    <row r="626" spans="1:84" ht="45" x14ac:dyDescent="0.2">
      <c r="A626" s="1355">
        <v>2022621</v>
      </c>
      <c r="B626" s="1172" t="s">
        <v>459</v>
      </c>
      <c r="C626" s="1356"/>
      <c r="D626" s="1190" t="s">
        <v>697</v>
      </c>
      <c r="E626" s="1399" t="s">
        <v>1260</v>
      </c>
      <c r="F626" s="1389" t="s">
        <v>1261</v>
      </c>
      <c r="G626" s="1390">
        <v>44621</v>
      </c>
      <c r="H626" s="1390">
        <v>44681</v>
      </c>
      <c r="I626" s="1176">
        <v>4</v>
      </c>
      <c r="J626" s="1176" t="s">
        <v>701</v>
      </c>
      <c r="K626" s="1177" t="s">
        <v>772</v>
      </c>
      <c r="L626" s="1178"/>
      <c r="M626" s="1179">
        <v>12597939</v>
      </c>
      <c r="N626" s="1386"/>
      <c r="O626" s="1174"/>
      <c r="P626" s="1207" t="s">
        <v>680</v>
      </c>
      <c r="Q626" s="1163"/>
      <c r="R626" s="1357"/>
      <c r="S626" s="1357"/>
      <c r="T626" s="1357">
        <f>+Tabla16[[#This Row],[CDPS A 31 JULIO 2022]]-Tabla16[[#This Row],[CDP]]</f>
        <v>0</v>
      </c>
      <c r="U626" s="1357"/>
      <c r="V626" s="1357"/>
      <c r="W626" s="1357"/>
      <c r="X626" s="1207"/>
      <c r="Y626" s="1207"/>
      <c r="Z626" s="1207"/>
      <c r="AA626" s="1207"/>
      <c r="AB626" s="1207"/>
      <c r="AC626" s="1207"/>
      <c r="AD626" s="1207"/>
      <c r="AE626" s="1207"/>
      <c r="AF626" s="1207"/>
      <c r="AG626" s="1207"/>
      <c r="AH626" s="1207"/>
      <c r="AI626" s="1207"/>
      <c r="AJ626" s="1207"/>
      <c r="AK626" s="1207"/>
      <c r="AL626" s="1207"/>
      <c r="AM626" s="1207"/>
      <c r="AN626" s="1207"/>
      <c r="AO626" s="1207"/>
      <c r="AP626" s="1207"/>
      <c r="AQ626" s="1207"/>
      <c r="AR626" s="1207"/>
      <c r="AS626" s="1207"/>
      <c r="AT626" s="1207"/>
      <c r="AU626" s="1207"/>
      <c r="AV626" s="1207"/>
      <c r="AW626" s="1207"/>
      <c r="AX626" s="1207"/>
      <c r="AY626" s="1207"/>
      <c r="AZ626" s="1207"/>
      <c r="BA626" s="1207"/>
      <c r="BB626" s="1207"/>
      <c r="BC626" s="1207"/>
      <c r="BD626" s="1207"/>
      <c r="BE626" s="1207"/>
      <c r="BF626" s="1207"/>
      <c r="BG626" s="1207"/>
      <c r="BH626" s="1207"/>
      <c r="BI626" s="1207"/>
      <c r="BJ626" s="1207"/>
      <c r="BK626" s="1207"/>
      <c r="BL626" s="1207"/>
      <c r="BM626" s="1207"/>
      <c r="BN626" s="1207"/>
      <c r="BO626" s="1207"/>
      <c r="BP626" s="1207"/>
      <c r="BQ626" s="1207"/>
      <c r="BR626" s="1207"/>
      <c r="BS626" s="1207"/>
      <c r="BT626" s="1207"/>
      <c r="BU626" s="1207"/>
      <c r="BV626" s="1207"/>
      <c r="BW626" s="1207"/>
      <c r="BX626" s="1207"/>
      <c r="BY626" s="1207"/>
      <c r="BZ626" s="1207"/>
      <c r="CA626" s="1207"/>
      <c r="CB626" s="1207"/>
      <c r="CC626" s="1207"/>
      <c r="CD626" s="1207"/>
      <c r="CE626" s="1207"/>
      <c r="CF626" s="1207"/>
    </row>
    <row r="627" spans="1:84" ht="135" x14ac:dyDescent="0.2">
      <c r="A627" s="1358">
        <v>2022622</v>
      </c>
      <c r="B627" s="1359">
        <v>7658</v>
      </c>
      <c r="C627" s="1360" t="s">
        <v>681</v>
      </c>
      <c r="D627" s="1393" t="s">
        <v>691</v>
      </c>
      <c r="E627" s="1394" t="s">
        <v>1262</v>
      </c>
      <c r="F627" s="1395" t="s">
        <v>1263</v>
      </c>
      <c r="G627" s="1277">
        <v>44795</v>
      </c>
      <c r="H627" s="1277">
        <v>44770</v>
      </c>
      <c r="I627" s="1204">
        <v>4</v>
      </c>
      <c r="J627" s="1176" t="s">
        <v>698</v>
      </c>
      <c r="K627" s="1177" t="s">
        <v>676</v>
      </c>
      <c r="L627" s="1178" t="s">
        <v>983</v>
      </c>
      <c r="M627" s="1249">
        <f>416500000+105559750</f>
        <v>522059750</v>
      </c>
      <c r="N627" s="1386" t="s">
        <v>774</v>
      </c>
      <c r="O627" s="1394" t="s">
        <v>773</v>
      </c>
      <c r="P627" s="1163" t="s">
        <v>680</v>
      </c>
      <c r="Q627" s="1163"/>
      <c r="R627" s="1269">
        <v>0</v>
      </c>
      <c r="S627" s="1357"/>
      <c r="T627" s="1357">
        <f>+Tabla16[[#This Row],[CDPS A 31 JULIO 2022]]-Tabla16[[#This Row],[CDP]]</f>
        <v>0</v>
      </c>
      <c r="U627" s="1357"/>
      <c r="V627" s="1357"/>
      <c r="W627" s="1357"/>
      <c r="X627" s="1207"/>
      <c r="Y627" s="1207"/>
      <c r="Z627" s="1207"/>
      <c r="AA627" s="1207"/>
      <c r="AB627" s="1207"/>
      <c r="AC627" s="1207"/>
      <c r="AD627" s="1207"/>
      <c r="AE627" s="1207"/>
      <c r="AF627" s="1207"/>
      <c r="AG627" s="1207"/>
      <c r="AH627" s="1207"/>
      <c r="AI627" s="1207"/>
      <c r="AJ627" s="1207"/>
      <c r="AK627" s="1207"/>
      <c r="AL627" s="1207"/>
      <c r="AM627" s="1207"/>
      <c r="AN627" s="1207"/>
      <c r="AO627" s="1207"/>
      <c r="AP627" s="1207"/>
      <c r="AQ627" s="1207"/>
      <c r="AR627" s="1207"/>
      <c r="AS627" s="1207"/>
      <c r="AT627" s="1207"/>
      <c r="AU627" s="1207"/>
      <c r="AV627" s="1207"/>
      <c r="AW627" s="1207"/>
      <c r="AX627" s="1207"/>
      <c r="AY627" s="1207"/>
      <c r="AZ627" s="1207"/>
      <c r="BA627" s="1207"/>
      <c r="BB627" s="1207"/>
      <c r="BC627" s="1207"/>
      <c r="BD627" s="1207"/>
      <c r="BE627" s="1207"/>
      <c r="BF627" s="1207"/>
      <c r="BG627" s="1207"/>
      <c r="BH627" s="1207"/>
      <c r="BI627" s="1207"/>
      <c r="BJ627" s="1207"/>
      <c r="BK627" s="1207"/>
      <c r="BL627" s="1207"/>
      <c r="BM627" s="1207"/>
      <c r="BN627" s="1207"/>
      <c r="BO627" s="1207"/>
      <c r="BP627" s="1207"/>
      <c r="BQ627" s="1207"/>
      <c r="BR627" s="1207"/>
      <c r="BS627" s="1207"/>
      <c r="BT627" s="1207"/>
      <c r="BU627" s="1207"/>
      <c r="BV627" s="1207"/>
      <c r="BW627" s="1207"/>
      <c r="BX627" s="1207"/>
      <c r="BY627" s="1207"/>
      <c r="BZ627" s="1207"/>
      <c r="CA627" s="1207"/>
      <c r="CB627" s="1207"/>
      <c r="CC627" s="1207"/>
      <c r="CD627" s="1207"/>
      <c r="CE627" s="1207"/>
      <c r="CF627" s="1207"/>
    </row>
    <row r="628" spans="1:84" ht="135" x14ac:dyDescent="0.2">
      <c r="A628" s="1358">
        <v>2022623</v>
      </c>
      <c r="B628" s="1359">
        <v>7658</v>
      </c>
      <c r="C628" s="1360" t="s">
        <v>681</v>
      </c>
      <c r="D628" s="1393" t="s">
        <v>691</v>
      </c>
      <c r="E628" s="1359" t="s">
        <v>1264</v>
      </c>
      <c r="F628" s="1395" t="s">
        <v>1265</v>
      </c>
      <c r="G628" s="1277">
        <v>44666</v>
      </c>
      <c r="H628" s="1277">
        <v>44686</v>
      </c>
      <c r="I628" s="1204">
        <v>4</v>
      </c>
      <c r="J628" s="1176" t="s">
        <v>698</v>
      </c>
      <c r="K628" s="1177" t="s">
        <v>676</v>
      </c>
      <c r="L628" s="1178" t="s">
        <v>983</v>
      </c>
      <c r="M628" s="1249">
        <f>123500000+80000000+50000000+1500000</f>
        <v>255000000</v>
      </c>
      <c r="N628" s="1386" t="s">
        <v>774</v>
      </c>
      <c r="O628" s="1394" t="s">
        <v>773</v>
      </c>
      <c r="P628" s="1163" t="s">
        <v>680</v>
      </c>
      <c r="Q628" s="1163"/>
      <c r="R628" s="1357">
        <v>255000000</v>
      </c>
      <c r="S628" s="1357">
        <v>255000000</v>
      </c>
      <c r="T628" s="1357">
        <f>+Tabla16[[#This Row],[CDPS A 31 JULIO 2022]]-Tabla16[[#This Row],[CDP]]</f>
        <v>0</v>
      </c>
      <c r="U628" s="1357">
        <v>255000000</v>
      </c>
      <c r="V628" s="1357"/>
      <c r="W628" s="1357"/>
      <c r="X628" s="1207"/>
      <c r="Y628" s="1207"/>
      <c r="Z628" s="1207"/>
      <c r="AA628" s="1207"/>
      <c r="AB628" s="1207"/>
      <c r="AC628" s="1207"/>
      <c r="AD628" s="1207"/>
      <c r="AE628" s="1207"/>
      <c r="AF628" s="1207"/>
      <c r="AG628" s="1207"/>
      <c r="AH628" s="1207"/>
      <c r="AI628" s="1207"/>
      <c r="AJ628" s="1207"/>
      <c r="AK628" s="1207"/>
      <c r="AL628" s="1207"/>
      <c r="AM628" s="1207"/>
      <c r="AN628" s="1207"/>
      <c r="AO628" s="1207"/>
      <c r="AP628" s="1207"/>
      <c r="AQ628" s="1207"/>
      <c r="AR628" s="1207"/>
      <c r="AS628" s="1207"/>
      <c r="AT628" s="1207"/>
      <c r="AU628" s="1207"/>
      <c r="AV628" s="1207"/>
      <c r="AW628" s="1207"/>
      <c r="AX628" s="1207"/>
      <c r="AY628" s="1207"/>
      <c r="AZ628" s="1207"/>
      <c r="BA628" s="1207"/>
      <c r="BB628" s="1207"/>
      <c r="BC628" s="1207"/>
      <c r="BD628" s="1207"/>
      <c r="BE628" s="1207"/>
      <c r="BF628" s="1207"/>
      <c r="BG628" s="1207"/>
      <c r="BH628" s="1207"/>
      <c r="BI628" s="1207"/>
      <c r="BJ628" s="1207"/>
      <c r="BK628" s="1207"/>
      <c r="BL628" s="1207"/>
      <c r="BM628" s="1207"/>
      <c r="BN628" s="1207"/>
      <c r="BO628" s="1207"/>
      <c r="BP628" s="1207"/>
      <c r="BQ628" s="1207"/>
      <c r="BR628" s="1207"/>
      <c r="BS628" s="1207"/>
      <c r="BT628" s="1207"/>
      <c r="BU628" s="1207"/>
      <c r="BV628" s="1207"/>
      <c r="BW628" s="1207"/>
      <c r="BX628" s="1207"/>
      <c r="BY628" s="1207"/>
      <c r="BZ628" s="1207"/>
      <c r="CA628" s="1207"/>
      <c r="CB628" s="1207"/>
      <c r="CC628" s="1207"/>
      <c r="CD628" s="1207"/>
      <c r="CE628" s="1207"/>
      <c r="CF628" s="1207"/>
    </row>
    <row r="629" spans="1:84" ht="105" x14ac:dyDescent="0.2">
      <c r="A629" s="1355">
        <v>2022631</v>
      </c>
      <c r="B629" s="1172">
        <v>7637</v>
      </c>
      <c r="C629" s="1356" t="s">
        <v>645</v>
      </c>
      <c r="D629" s="1190" t="s">
        <v>673</v>
      </c>
      <c r="E629" s="1202">
        <v>81112401</v>
      </c>
      <c r="F629" s="1202" t="s">
        <v>1268</v>
      </c>
      <c r="G629" s="1387">
        <v>44672</v>
      </c>
      <c r="H629" s="1387">
        <v>44680</v>
      </c>
      <c r="I629" s="1176">
        <v>2</v>
      </c>
      <c r="J629" s="1176" t="s">
        <v>722</v>
      </c>
      <c r="K629" s="1177" t="s">
        <v>676</v>
      </c>
      <c r="L629" s="1178" t="s">
        <v>731</v>
      </c>
      <c r="M629" s="1179">
        <v>26723240</v>
      </c>
      <c r="N629" s="1189" t="s">
        <v>678</v>
      </c>
      <c r="O629" s="1174" t="s">
        <v>679</v>
      </c>
      <c r="P629" s="1207" t="s">
        <v>759</v>
      </c>
      <c r="Q629" s="1163" t="s">
        <v>1269</v>
      </c>
      <c r="R629" s="1269">
        <v>26723240</v>
      </c>
      <c r="S629" s="1357">
        <v>26723240</v>
      </c>
      <c r="T629" s="1357">
        <f>+Tabla16[[#This Row],[CDPS A 31 JULIO 2022]]-Tabla16[[#This Row],[CDP]]</f>
        <v>0</v>
      </c>
      <c r="U629" s="1357">
        <v>26723240</v>
      </c>
      <c r="V629" s="1357"/>
      <c r="W629" s="1357"/>
      <c r="X629" s="1207"/>
      <c r="Y629" s="1207"/>
      <c r="Z629" s="1207"/>
      <c r="AA629" s="1207"/>
      <c r="AB629" s="1207"/>
      <c r="AC629" s="1207"/>
      <c r="AD629" s="1207"/>
      <c r="AE629" s="1207"/>
      <c r="AF629" s="1207"/>
      <c r="AG629" s="1207"/>
      <c r="AH629" s="1207"/>
      <c r="AI629" s="1207"/>
      <c r="AJ629" s="1207"/>
      <c r="AK629" s="1207"/>
      <c r="AL629" s="1207"/>
      <c r="AM629" s="1207"/>
      <c r="AN629" s="1207"/>
      <c r="AO629" s="1207"/>
      <c r="AP629" s="1207"/>
      <c r="AQ629" s="1207"/>
      <c r="AR629" s="1207"/>
      <c r="AS629" s="1207"/>
      <c r="AT629" s="1207"/>
      <c r="AU629" s="1207"/>
      <c r="AV629" s="1207"/>
      <c r="AW629" s="1207"/>
      <c r="AX629" s="1207"/>
      <c r="AY629" s="1207"/>
      <c r="AZ629" s="1207"/>
      <c r="BA629" s="1207"/>
      <c r="BB629" s="1207"/>
      <c r="BC629" s="1207"/>
      <c r="BD629" s="1207"/>
      <c r="BE629" s="1207"/>
      <c r="BF629" s="1207"/>
      <c r="BG629" s="1207"/>
      <c r="BH629" s="1207"/>
      <c r="BI629" s="1207"/>
      <c r="BJ629" s="1207"/>
      <c r="BK629" s="1207"/>
      <c r="BL629" s="1207"/>
      <c r="BM629" s="1207"/>
      <c r="BN629" s="1207"/>
      <c r="BO629" s="1207"/>
      <c r="BP629" s="1207"/>
      <c r="BQ629" s="1207"/>
      <c r="BR629" s="1207"/>
      <c r="BS629" s="1207"/>
      <c r="BT629" s="1207"/>
      <c r="BU629" s="1207"/>
      <c r="BV629" s="1207"/>
      <c r="BW629" s="1207"/>
      <c r="BX629" s="1207"/>
      <c r="BY629" s="1207"/>
      <c r="BZ629" s="1207"/>
      <c r="CA629" s="1207"/>
      <c r="CB629" s="1207"/>
      <c r="CC629" s="1207"/>
      <c r="CD629" s="1207"/>
      <c r="CE629" s="1207"/>
      <c r="CF629" s="1207"/>
    </row>
    <row r="630" spans="1:84" ht="105" x14ac:dyDescent="0.2">
      <c r="A630" s="1355">
        <v>2022632</v>
      </c>
      <c r="B630" s="1172">
        <v>7637</v>
      </c>
      <c r="C630" s="1356" t="s">
        <v>645</v>
      </c>
      <c r="D630" s="1190" t="s">
        <v>673</v>
      </c>
      <c r="E630" s="1202">
        <v>81112401</v>
      </c>
      <c r="F630" s="1202" t="s">
        <v>1270</v>
      </c>
      <c r="G630" s="1387">
        <v>44672</v>
      </c>
      <c r="H630" s="1387">
        <v>44680</v>
      </c>
      <c r="I630" s="1176">
        <v>2</v>
      </c>
      <c r="J630" s="1176" t="s">
        <v>722</v>
      </c>
      <c r="K630" s="1177" t="s">
        <v>676</v>
      </c>
      <c r="L630" s="1178" t="s">
        <v>731</v>
      </c>
      <c r="M630" s="1179">
        <v>1891777</v>
      </c>
      <c r="N630" s="1189" t="s">
        <v>678</v>
      </c>
      <c r="O630" s="1174" t="s">
        <v>679</v>
      </c>
      <c r="P630" s="1207" t="s">
        <v>759</v>
      </c>
      <c r="Q630" s="1163" t="s">
        <v>1269</v>
      </c>
      <c r="R630" s="1269">
        <v>1891776</v>
      </c>
      <c r="S630" s="1357">
        <v>1891776</v>
      </c>
      <c r="T630" s="1357">
        <f>+Tabla16[[#This Row],[CDPS A 31 JULIO 2022]]-Tabla16[[#This Row],[CDP]]</f>
        <v>0</v>
      </c>
      <c r="U630" s="1357">
        <v>1891776</v>
      </c>
      <c r="V630" s="1357"/>
      <c r="W630" s="1357"/>
      <c r="X630" s="1207"/>
      <c r="Y630" s="1207"/>
      <c r="Z630" s="1207"/>
      <c r="AA630" s="1207"/>
      <c r="AB630" s="1207"/>
      <c r="AC630" s="1207"/>
      <c r="AD630" s="1207"/>
      <c r="AE630" s="1207"/>
      <c r="AF630" s="1207"/>
      <c r="AG630" s="1207"/>
      <c r="AH630" s="1207"/>
      <c r="AI630" s="1207"/>
      <c r="AJ630" s="1207"/>
      <c r="AK630" s="1207"/>
      <c r="AL630" s="1207"/>
      <c r="AM630" s="1207"/>
      <c r="AN630" s="1207"/>
      <c r="AO630" s="1207"/>
      <c r="AP630" s="1207"/>
      <c r="AQ630" s="1207"/>
      <c r="AR630" s="1207"/>
      <c r="AS630" s="1207"/>
      <c r="AT630" s="1207"/>
      <c r="AU630" s="1207"/>
      <c r="AV630" s="1207"/>
      <c r="AW630" s="1207"/>
      <c r="AX630" s="1207"/>
      <c r="AY630" s="1207"/>
      <c r="AZ630" s="1207"/>
      <c r="BA630" s="1207"/>
      <c r="BB630" s="1207"/>
      <c r="BC630" s="1207"/>
      <c r="BD630" s="1207"/>
      <c r="BE630" s="1207"/>
      <c r="BF630" s="1207"/>
      <c r="BG630" s="1207"/>
      <c r="BH630" s="1207"/>
      <c r="BI630" s="1207"/>
      <c r="BJ630" s="1207"/>
      <c r="BK630" s="1207"/>
      <c r="BL630" s="1207"/>
      <c r="BM630" s="1207"/>
      <c r="BN630" s="1207"/>
      <c r="BO630" s="1207"/>
      <c r="BP630" s="1207"/>
      <c r="BQ630" s="1207"/>
      <c r="BR630" s="1207"/>
      <c r="BS630" s="1207"/>
      <c r="BT630" s="1207"/>
      <c r="BU630" s="1207"/>
      <c r="BV630" s="1207"/>
      <c r="BW630" s="1207"/>
      <c r="BX630" s="1207"/>
      <c r="BY630" s="1207"/>
      <c r="BZ630" s="1207"/>
      <c r="CA630" s="1207"/>
      <c r="CB630" s="1207"/>
      <c r="CC630" s="1207"/>
      <c r="CD630" s="1207"/>
      <c r="CE630" s="1207"/>
      <c r="CF630" s="1207"/>
    </row>
    <row r="631" spans="1:84" ht="135" x14ac:dyDescent="0.2">
      <c r="A631" s="1355">
        <v>2022633</v>
      </c>
      <c r="B631" s="1172">
        <v>7658</v>
      </c>
      <c r="C631" s="1356" t="s">
        <v>681</v>
      </c>
      <c r="D631" s="1190" t="s">
        <v>703</v>
      </c>
      <c r="E631" s="1202" t="s">
        <v>1022</v>
      </c>
      <c r="F631" s="1388" t="s">
        <v>1023</v>
      </c>
      <c r="G631" s="1387">
        <v>44652</v>
      </c>
      <c r="H631" s="1387">
        <v>44742</v>
      </c>
      <c r="I631" s="1176">
        <v>12</v>
      </c>
      <c r="J631" s="1176" t="s">
        <v>647</v>
      </c>
      <c r="K631" s="1177" t="s">
        <v>676</v>
      </c>
      <c r="L631" s="1178" t="s">
        <v>983</v>
      </c>
      <c r="M631" s="1179">
        <f>252916670+95000000+40000000</f>
        <v>387916670</v>
      </c>
      <c r="N631" s="1386" t="s">
        <v>778</v>
      </c>
      <c r="O631" s="1174" t="s">
        <v>773</v>
      </c>
      <c r="P631" s="1207" t="s">
        <v>680</v>
      </c>
      <c r="Q631" s="1163" t="s">
        <v>1271</v>
      </c>
      <c r="R631" s="1357">
        <v>363521602</v>
      </c>
      <c r="S631" s="1357">
        <v>363521602</v>
      </c>
      <c r="T631" s="1357">
        <f>+Tabla16[[#This Row],[CDPS A 31 JULIO 2022]]-Tabla16[[#This Row],[CDP]]</f>
        <v>0</v>
      </c>
      <c r="U631" s="1357"/>
      <c r="V631" s="1357"/>
      <c r="W631" s="1357"/>
      <c r="X631" s="1207"/>
      <c r="Y631" s="1207"/>
      <c r="Z631" s="1207"/>
      <c r="AA631" s="1207"/>
      <c r="AB631" s="1207"/>
      <c r="AC631" s="1207"/>
      <c r="AD631" s="1207"/>
      <c r="AE631" s="1207"/>
      <c r="AF631" s="1207"/>
      <c r="AG631" s="1207"/>
      <c r="AH631" s="1207"/>
      <c r="AI631" s="1207"/>
      <c r="AJ631" s="1207"/>
      <c r="AK631" s="1207"/>
      <c r="AL631" s="1207"/>
      <c r="AM631" s="1207"/>
      <c r="AN631" s="1207"/>
      <c r="AO631" s="1207"/>
      <c r="AP631" s="1207"/>
      <c r="AQ631" s="1207"/>
      <c r="AR631" s="1207"/>
      <c r="AS631" s="1207"/>
      <c r="AT631" s="1207"/>
      <c r="AU631" s="1207"/>
      <c r="AV631" s="1207"/>
      <c r="AW631" s="1207"/>
      <c r="AX631" s="1207"/>
      <c r="AY631" s="1207"/>
      <c r="AZ631" s="1207"/>
      <c r="BA631" s="1207"/>
      <c r="BB631" s="1207"/>
      <c r="BC631" s="1207"/>
      <c r="BD631" s="1207"/>
      <c r="BE631" s="1207"/>
      <c r="BF631" s="1207"/>
      <c r="BG631" s="1207"/>
      <c r="BH631" s="1207"/>
      <c r="BI631" s="1207"/>
      <c r="BJ631" s="1207"/>
      <c r="BK631" s="1207"/>
      <c r="BL631" s="1207"/>
      <c r="BM631" s="1207"/>
      <c r="BN631" s="1207"/>
      <c r="BO631" s="1207"/>
      <c r="BP631" s="1207"/>
      <c r="BQ631" s="1207"/>
      <c r="BR631" s="1207"/>
      <c r="BS631" s="1207"/>
      <c r="BT631" s="1207"/>
      <c r="BU631" s="1207"/>
      <c r="BV631" s="1207"/>
      <c r="BW631" s="1207"/>
      <c r="BX631" s="1207"/>
      <c r="BY631" s="1207"/>
      <c r="BZ631" s="1207"/>
      <c r="CA631" s="1207"/>
      <c r="CB631" s="1207"/>
      <c r="CC631" s="1207"/>
      <c r="CD631" s="1207"/>
      <c r="CE631" s="1207"/>
      <c r="CF631" s="1207"/>
    </row>
    <row r="632" spans="1:84" ht="150" x14ac:dyDescent="0.2">
      <c r="A632" s="1355">
        <v>2022634</v>
      </c>
      <c r="B632" s="1172" t="s">
        <v>97</v>
      </c>
      <c r="C632" s="1356" t="s">
        <v>97</v>
      </c>
      <c r="D632" s="1190" t="s">
        <v>691</v>
      </c>
      <c r="E632" s="1174" t="s">
        <v>97</v>
      </c>
      <c r="F632" s="1389" t="s">
        <v>1272</v>
      </c>
      <c r="G632" s="1390">
        <v>44662</v>
      </c>
      <c r="H632" s="1390" t="s">
        <v>97</v>
      </c>
      <c r="I632" s="1176">
        <v>0.5</v>
      </c>
      <c r="J632" s="1176" t="s">
        <v>675</v>
      </c>
      <c r="K632" s="1177" t="s">
        <v>97</v>
      </c>
      <c r="L632" s="1178" t="s">
        <v>97</v>
      </c>
      <c r="M632" s="1179" t="s">
        <v>97</v>
      </c>
      <c r="N632" s="1386" t="s">
        <v>97</v>
      </c>
      <c r="O632" s="1174" t="s">
        <v>97</v>
      </c>
      <c r="P632" s="1207" t="s">
        <v>680</v>
      </c>
      <c r="Q632" s="1207"/>
      <c r="R632" s="1357"/>
      <c r="S632" s="1357"/>
      <c r="T632" s="1357">
        <f>+Tabla16[[#This Row],[CDPS A 31 JULIO 2022]]-Tabla16[[#This Row],[CDP]]</f>
        <v>0</v>
      </c>
      <c r="U632" s="1357"/>
      <c r="V632" s="1357"/>
      <c r="W632" s="1357"/>
      <c r="X632" s="1207"/>
      <c r="Y632" s="1207"/>
      <c r="Z632" s="1207"/>
      <c r="AA632" s="1207"/>
      <c r="AB632" s="1207"/>
      <c r="AC632" s="1207"/>
      <c r="AD632" s="1207"/>
      <c r="AE632" s="1207"/>
      <c r="AF632" s="1207"/>
      <c r="AG632" s="1207"/>
      <c r="AH632" s="1207"/>
      <c r="AI632" s="1207"/>
      <c r="AJ632" s="1207"/>
      <c r="AK632" s="1207"/>
      <c r="AL632" s="1207"/>
      <c r="AM632" s="1207"/>
      <c r="AN632" s="1207"/>
      <c r="AO632" s="1207"/>
      <c r="AP632" s="1207"/>
      <c r="AQ632" s="1207"/>
      <c r="AR632" s="1207"/>
      <c r="AS632" s="1207"/>
      <c r="AT632" s="1207"/>
      <c r="AU632" s="1207"/>
      <c r="AV632" s="1207"/>
      <c r="AW632" s="1207"/>
      <c r="AX632" s="1207"/>
      <c r="AY632" s="1207"/>
      <c r="AZ632" s="1207"/>
      <c r="BA632" s="1207"/>
      <c r="BB632" s="1207"/>
      <c r="BC632" s="1207"/>
      <c r="BD632" s="1207"/>
      <c r="BE632" s="1207"/>
      <c r="BF632" s="1207"/>
      <c r="BG632" s="1207"/>
      <c r="BH632" s="1207"/>
      <c r="BI632" s="1207"/>
      <c r="BJ632" s="1207"/>
      <c r="BK632" s="1207"/>
      <c r="BL632" s="1207"/>
      <c r="BM632" s="1207"/>
      <c r="BN632" s="1207"/>
      <c r="BO632" s="1207"/>
      <c r="BP632" s="1207"/>
      <c r="BQ632" s="1207"/>
      <c r="BR632" s="1207"/>
      <c r="BS632" s="1207"/>
      <c r="BT632" s="1207"/>
      <c r="BU632" s="1207"/>
      <c r="BV632" s="1207"/>
      <c r="BW632" s="1207"/>
      <c r="BX632" s="1207"/>
      <c r="BY632" s="1207"/>
      <c r="BZ632" s="1207"/>
      <c r="CA632" s="1207"/>
      <c r="CB632" s="1207"/>
      <c r="CC632" s="1207"/>
      <c r="CD632" s="1207"/>
      <c r="CE632" s="1207"/>
      <c r="CF632" s="1207"/>
    </row>
    <row r="633" spans="1:84" ht="150" x14ac:dyDescent="0.2">
      <c r="A633" s="1355">
        <v>2022635</v>
      </c>
      <c r="B633" s="1172" t="s">
        <v>97</v>
      </c>
      <c r="C633" s="1356" t="s">
        <v>97</v>
      </c>
      <c r="D633" s="1190" t="s">
        <v>691</v>
      </c>
      <c r="E633" s="1174" t="s">
        <v>97</v>
      </c>
      <c r="F633" s="1389" t="s">
        <v>1273</v>
      </c>
      <c r="G633" s="1390">
        <v>44662</v>
      </c>
      <c r="H633" s="1390" t="s">
        <v>97</v>
      </c>
      <c r="I633" s="1176">
        <v>1</v>
      </c>
      <c r="J633" s="1176" t="s">
        <v>675</v>
      </c>
      <c r="K633" s="1177" t="s">
        <v>97</v>
      </c>
      <c r="L633" s="1178" t="s">
        <v>97</v>
      </c>
      <c r="M633" s="1179" t="s">
        <v>97</v>
      </c>
      <c r="N633" s="1386" t="s">
        <v>97</v>
      </c>
      <c r="O633" s="1174" t="s">
        <v>97</v>
      </c>
      <c r="P633" s="1207" t="s">
        <v>680</v>
      </c>
      <c r="Q633" s="1207"/>
      <c r="R633" s="1357"/>
      <c r="S633" s="1357"/>
      <c r="T633" s="1357">
        <f>+Tabla16[[#This Row],[CDPS A 31 JULIO 2022]]-Tabla16[[#This Row],[CDP]]</f>
        <v>0</v>
      </c>
      <c r="U633" s="1357"/>
      <c r="V633" s="1357"/>
      <c r="W633" s="1357"/>
      <c r="X633" s="1207"/>
      <c r="Y633" s="1207"/>
      <c r="Z633" s="1207"/>
      <c r="AA633" s="1207"/>
      <c r="AB633" s="1207"/>
      <c r="AC633" s="1207"/>
      <c r="AD633" s="1207"/>
      <c r="AE633" s="1207"/>
      <c r="AF633" s="1207"/>
      <c r="AG633" s="1207"/>
      <c r="AH633" s="1207"/>
      <c r="AI633" s="1207"/>
      <c r="AJ633" s="1207"/>
      <c r="AK633" s="1207"/>
      <c r="AL633" s="1207"/>
      <c r="AM633" s="1207"/>
      <c r="AN633" s="1207"/>
      <c r="AO633" s="1207"/>
      <c r="AP633" s="1207"/>
      <c r="AQ633" s="1207"/>
      <c r="AR633" s="1207"/>
      <c r="AS633" s="1207"/>
      <c r="AT633" s="1207"/>
      <c r="AU633" s="1207"/>
      <c r="AV633" s="1207"/>
      <c r="AW633" s="1207"/>
      <c r="AX633" s="1207"/>
      <c r="AY633" s="1207"/>
      <c r="AZ633" s="1207"/>
      <c r="BA633" s="1207"/>
      <c r="BB633" s="1207"/>
      <c r="BC633" s="1207"/>
      <c r="BD633" s="1207"/>
      <c r="BE633" s="1207"/>
      <c r="BF633" s="1207"/>
      <c r="BG633" s="1207"/>
      <c r="BH633" s="1207"/>
      <c r="BI633" s="1207"/>
      <c r="BJ633" s="1207"/>
      <c r="BK633" s="1207"/>
      <c r="BL633" s="1207"/>
      <c r="BM633" s="1207"/>
      <c r="BN633" s="1207"/>
      <c r="BO633" s="1207"/>
      <c r="BP633" s="1207"/>
      <c r="BQ633" s="1207"/>
      <c r="BR633" s="1207"/>
      <c r="BS633" s="1207"/>
      <c r="BT633" s="1207"/>
      <c r="BU633" s="1207"/>
      <c r="BV633" s="1207"/>
      <c r="BW633" s="1207"/>
      <c r="BX633" s="1207"/>
      <c r="BY633" s="1207"/>
      <c r="BZ633" s="1207"/>
      <c r="CA633" s="1207"/>
      <c r="CB633" s="1207"/>
      <c r="CC633" s="1207"/>
      <c r="CD633" s="1207"/>
      <c r="CE633" s="1207"/>
      <c r="CF633" s="1207"/>
    </row>
    <row r="634" spans="1:84" ht="135" x14ac:dyDescent="0.2">
      <c r="A634" s="1355">
        <v>2022637</v>
      </c>
      <c r="B634" s="1172">
        <v>7658</v>
      </c>
      <c r="C634" s="1356" t="s">
        <v>681</v>
      </c>
      <c r="D634" s="1190" t="s">
        <v>700</v>
      </c>
      <c r="E634" s="1202" t="s">
        <v>1274</v>
      </c>
      <c r="F634" s="1388" t="s">
        <v>1275</v>
      </c>
      <c r="G634" s="1401">
        <v>44676</v>
      </c>
      <c r="H634" s="1401">
        <v>44683</v>
      </c>
      <c r="I634" s="1176">
        <v>9</v>
      </c>
      <c r="J634" s="1176" t="s">
        <v>701</v>
      </c>
      <c r="K634" s="1177" t="s">
        <v>676</v>
      </c>
      <c r="L634" s="1178" t="s">
        <v>1107</v>
      </c>
      <c r="M634" s="1179">
        <v>10000000</v>
      </c>
      <c r="N634" s="1386" t="s">
        <v>781</v>
      </c>
      <c r="O634" s="1174" t="s">
        <v>773</v>
      </c>
      <c r="P634" s="1163" t="s">
        <v>680</v>
      </c>
      <c r="Q634" s="1207"/>
      <c r="R634" s="1357">
        <v>10000000</v>
      </c>
      <c r="S634" s="1357">
        <v>10000000</v>
      </c>
      <c r="T634" s="1357">
        <f>+Tabla16[[#This Row],[CDPS A 31 JULIO 2022]]-Tabla16[[#This Row],[CDP]]</f>
        <v>0</v>
      </c>
      <c r="U634" s="1357"/>
      <c r="V634" s="1357"/>
      <c r="W634" s="1357"/>
      <c r="X634" s="1207"/>
      <c r="Y634" s="1207"/>
      <c r="Z634" s="1207"/>
      <c r="AA634" s="1207"/>
      <c r="AB634" s="1207"/>
      <c r="AC634" s="1207"/>
      <c r="AD634" s="1207"/>
      <c r="AE634" s="1207"/>
      <c r="AF634" s="1207"/>
      <c r="AG634" s="1207"/>
      <c r="AH634" s="1207"/>
      <c r="AI634" s="1207"/>
      <c r="AJ634" s="1207"/>
      <c r="AK634" s="1207"/>
      <c r="AL634" s="1207"/>
      <c r="AM634" s="1207"/>
      <c r="AN634" s="1207"/>
      <c r="AO634" s="1207"/>
      <c r="AP634" s="1207"/>
      <c r="AQ634" s="1207"/>
      <c r="AR634" s="1207"/>
      <c r="AS634" s="1207"/>
      <c r="AT634" s="1207"/>
      <c r="AU634" s="1207"/>
      <c r="AV634" s="1207"/>
      <c r="AW634" s="1207"/>
      <c r="AX634" s="1207"/>
      <c r="AY634" s="1207"/>
      <c r="AZ634" s="1207"/>
      <c r="BA634" s="1207"/>
      <c r="BB634" s="1207"/>
      <c r="BC634" s="1207"/>
      <c r="BD634" s="1207"/>
      <c r="BE634" s="1207"/>
      <c r="BF634" s="1207"/>
      <c r="BG634" s="1207"/>
      <c r="BH634" s="1207"/>
      <c r="BI634" s="1207"/>
      <c r="BJ634" s="1207"/>
      <c r="BK634" s="1207"/>
      <c r="BL634" s="1207"/>
      <c r="BM634" s="1207"/>
      <c r="BN634" s="1207"/>
      <c r="BO634" s="1207"/>
      <c r="BP634" s="1207"/>
      <c r="BQ634" s="1207"/>
      <c r="BR634" s="1207"/>
      <c r="BS634" s="1207"/>
      <c r="BT634" s="1207"/>
      <c r="BU634" s="1207"/>
      <c r="BV634" s="1207"/>
      <c r="BW634" s="1207"/>
      <c r="BX634" s="1207"/>
      <c r="BY634" s="1207"/>
      <c r="BZ634" s="1207"/>
      <c r="CA634" s="1207"/>
      <c r="CB634" s="1207"/>
      <c r="CC634" s="1207"/>
      <c r="CD634" s="1207"/>
      <c r="CE634" s="1207"/>
      <c r="CF634" s="1207"/>
    </row>
    <row r="635" spans="1:84" ht="90" x14ac:dyDescent="0.2">
      <c r="A635" s="1355">
        <v>2022638</v>
      </c>
      <c r="B635" s="1172">
        <v>7658</v>
      </c>
      <c r="C635" s="1356" t="s">
        <v>681</v>
      </c>
      <c r="D635" s="1190" t="s">
        <v>697</v>
      </c>
      <c r="E635" s="1202">
        <v>80111600</v>
      </c>
      <c r="F635" s="1202" t="s">
        <v>1276</v>
      </c>
      <c r="G635" s="1387">
        <v>44688</v>
      </c>
      <c r="H635" s="1387">
        <v>44688</v>
      </c>
      <c r="I635" s="1176">
        <v>2.5</v>
      </c>
      <c r="J635" s="1176" t="s">
        <v>675</v>
      </c>
      <c r="K635" s="1177" t="s">
        <v>676</v>
      </c>
      <c r="L635" s="1178" t="s">
        <v>677</v>
      </c>
      <c r="M635" s="1179">
        <v>10500000</v>
      </c>
      <c r="N635" s="1386" t="s">
        <v>767</v>
      </c>
      <c r="O635" s="1174" t="s">
        <v>766</v>
      </c>
      <c r="P635" s="1163" t="s">
        <v>750</v>
      </c>
      <c r="Q635" s="1207"/>
      <c r="R635" s="1357">
        <v>10500000</v>
      </c>
      <c r="S635" s="1357">
        <v>10500000</v>
      </c>
      <c r="T635" s="1357">
        <f>+Tabla16[[#This Row],[CDPS A 31 JULIO 2022]]-Tabla16[[#This Row],[CDP]]</f>
        <v>0</v>
      </c>
      <c r="U635" s="1357">
        <v>10500000</v>
      </c>
      <c r="V635" s="1357">
        <v>4200000</v>
      </c>
      <c r="W635" s="1357"/>
      <c r="X635" s="1207"/>
      <c r="Y635" s="1207"/>
      <c r="Z635" s="1207"/>
      <c r="AA635" s="1207"/>
      <c r="AB635" s="1207"/>
      <c r="AC635" s="1207"/>
      <c r="AD635" s="1207"/>
      <c r="AE635" s="1207"/>
      <c r="AF635" s="1207"/>
      <c r="AG635" s="1207"/>
      <c r="AH635" s="1207"/>
      <c r="AI635" s="1207"/>
      <c r="AJ635" s="1207"/>
      <c r="AK635" s="1207"/>
      <c r="AL635" s="1207"/>
      <c r="AM635" s="1207"/>
      <c r="AN635" s="1207"/>
      <c r="AO635" s="1207"/>
      <c r="AP635" s="1207"/>
      <c r="AQ635" s="1207"/>
      <c r="AR635" s="1207"/>
      <c r="AS635" s="1207"/>
      <c r="AT635" s="1207"/>
      <c r="AU635" s="1207"/>
      <c r="AV635" s="1207"/>
      <c r="AW635" s="1207"/>
      <c r="AX635" s="1207"/>
      <c r="AY635" s="1207"/>
      <c r="AZ635" s="1207"/>
      <c r="BA635" s="1207"/>
      <c r="BB635" s="1207"/>
      <c r="BC635" s="1207"/>
      <c r="BD635" s="1207"/>
      <c r="BE635" s="1207"/>
      <c r="BF635" s="1207"/>
      <c r="BG635" s="1207"/>
      <c r="BH635" s="1207"/>
      <c r="BI635" s="1207"/>
      <c r="BJ635" s="1207"/>
      <c r="BK635" s="1207"/>
      <c r="BL635" s="1207"/>
      <c r="BM635" s="1207"/>
      <c r="BN635" s="1207"/>
      <c r="BO635" s="1207"/>
      <c r="BP635" s="1207"/>
      <c r="BQ635" s="1207"/>
      <c r="BR635" s="1207"/>
      <c r="BS635" s="1207"/>
      <c r="BT635" s="1207"/>
      <c r="BU635" s="1207"/>
      <c r="BV635" s="1207"/>
      <c r="BW635" s="1207"/>
      <c r="BX635" s="1207"/>
      <c r="BY635" s="1207"/>
      <c r="BZ635" s="1207"/>
      <c r="CA635" s="1207"/>
      <c r="CB635" s="1207"/>
      <c r="CC635" s="1207"/>
      <c r="CD635" s="1207"/>
      <c r="CE635" s="1207"/>
      <c r="CF635" s="1207"/>
    </row>
    <row r="636" spans="1:84" ht="105" x14ac:dyDescent="0.2">
      <c r="A636" s="1355">
        <v>2022639</v>
      </c>
      <c r="B636" s="1172">
        <v>7658</v>
      </c>
      <c r="C636" s="1356" t="s">
        <v>681</v>
      </c>
      <c r="D636" s="1190" t="s">
        <v>694</v>
      </c>
      <c r="E636" s="1174" t="s">
        <v>1053</v>
      </c>
      <c r="F636" s="1389" t="s">
        <v>1277</v>
      </c>
      <c r="G636" s="1390">
        <v>44682</v>
      </c>
      <c r="H636" s="1390">
        <v>44711</v>
      </c>
      <c r="I636" s="1176">
        <v>1</v>
      </c>
      <c r="J636" s="1176" t="s">
        <v>647</v>
      </c>
      <c r="K636" s="1177" t="s">
        <v>676</v>
      </c>
      <c r="L636" s="1178" t="s">
        <v>677</v>
      </c>
      <c r="M636" s="1179">
        <v>66036232</v>
      </c>
      <c r="N636" s="1386" t="s">
        <v>770</v>
      </c>
      <c r="O636" s="1174" t="s">
        <v>769</v>
      </c>
      <c r="P636" s="1207" t="s">
        <v>750</v>
      </c>
      <c r="Q636" s="1207"/>
      <c r="R636" s="1357">
        <v>66036232</v>
      </c>
      <c r="S636" s="1357">
        <v>66036232</v>
      </c>
      <c r="T636" s="1357">
        <f>+Tabla16[[#This Row],[CDPS A 31 JULIO 2022]]-Tabla16[[#This Row],[CDP]]</f>
        <v>0</v>
      </c>
      <c r="U636" s="1357">
        <v>66036232</v>
      </c>
      <c r="V636" s="1357">
        <v>65695743</v>
      </c>
      <c r="W636" s="1357"/>
      <c r="X636" s="1207"/>
      <c r="Y636" s="1207"/>
      <c r="Z636" s="1207"/>
      <c r="AA636" s="1207"/>
      <c r="AB636" s="1207"/>
      <c r="AC636" s="1207"/>
      <c r="AD636" s="1207"/>
      <c r="AE636" s="1207"/>
      <c r="AF636" s="1207"/>
      <c r="AG636" s="1207"/>
      <c r="AH636" s="1207"/>
      <c r="AI636" s="1207"/>
      <c r="AJ636" s="1207"/>
      <c r="AK636" s="1207"/>
      <c r="AL636" s="1207"/>
      <c r="AM636" s="1207"/>
      <c r="AN636" s="1207"/>
      <c r="AO636" s="1207"/>
      <c r="AP636" s="1207"/>
      <c r="AQ636" s="1207"/>
      <c r="AR636" s="1207"/>
      <c r="AS636" s="1207"/>
      <c r="AT636" s="1207"/>
      <c r="AU636" s="1207"/>
      <c r="AV636" s="1207"/>
      <c r="AW636" s="1207"/>
      <c r="AX636" s="1207"/>
      <c r="AY636" s="1207"/>
      <c r="AZ636" s="1207"/>
      <c r="BA636" s="1207"/>
      <c r="BB636" s="1207"/>
      <c r="BC636" s="1207"/>
      <c r="BD636" s="1207"/>
      <c r="BE636" s="1207"/>
      <c r="BF636" s="1207"/>
      <c r="BG636" s="1207"/>
      <c r="BH636" s="1207"/>
      <c r="BI636" s="1207"/>
      <c r="BJ636" s="1207"/>
      <c r="BK636" s="1207"/>
      <c r="BL636" s="1207"/>
      <c r="BM636" s="1207"/>
      <c r="BN636" s="1207"/>
      <c r="BO636" s="1207"/>
      <c r="BP636" s="1207"/>
      <c r="BQ636" s="1207"/>
      <c r="BR636" s="1207"/>
      <c r="BS636" s="1207"/>
      <c r="BT636" s="1207"/>
      <c r="BU636" s="1207"/>
      <c r="BV636" s="1207"/>
      <c r="BW636" s="1207"/>
      <c r="BX636" s="1207"/>
      <c r="BY636" s="1207"/>
      <c r="BZ636" s="1207"/>
      <c r="CA636" s="1207"/>
      <c r="CB636" s="1207"/>
      <c r="CC636" s="1207"/>
      <c r="CD636" s="1207"/>
      <c r="CE636" s="1207"/>
      <c r="CF636" s="1207"/>
    </row>
    <row r="637" spans="1:84" ht="105" x14ac:dyDescent="0.2">
      <c r="A637" s="1355">
        <v>2022640</v>
      </c>
      <c r="B637" s="1172">
        <v>7637</v>
      </c>
      <c r="C637" s="1356" t="s">
        <v>645</v>
      </c>
      <c r="D637" s="1190" t="s">
        <v>673</v>
      </c>
      <c r="E637" s="1174">
        <v>43222600</v>
      </c>
      <c r="F637" s="1389" t="s">
        <v>1278</v>
      </c>
      <c r="G637" s="1390">
        <v>44682</v>
      </c>
      <c r="H637" s="1390">
        <v>44712</v>
      </c>
      <c r="I637" s="1176">
        <v>6</v>
      </c>
      <c r="J637" s="1176" t="s">
        <v>698</v>
      </c>
      <c r="K637" s="1177" t="s">
        <v>772</v>
      </c>
      <c r="L637" s="1178" t="s">
        <v>737</v>
      </c>
      <c r="M637" s="1179">
        <v>278282277</v>
      </c>
      <c r="N637" s="1189" t="s">
        <v>678</v>
      </c>
      <c r="O637" s="1174" t="s">
        <v>679</v>
      </c>
      <c r="P637" s="1207" t="s">
        <v>680</v>
      </c>
      <c r="Q637" s="1163" t="s">
        <v>1279</v>
      </c>
      <c r="R637" s="1357">
        <v>556564554</v>
      </c>
      <c r="S637" s="1357">
        <v>556564554</v>
      </c>
      <c r="T637" s="1357">
        <f>+Tabla16[[#This Row],[CDPS A 31 JULIO 2022]]-Tabla16[[#This Row],[CDP]]</f>
        <v>0</v>
      </c>
      <c r="U637" s="1357"/>
      <c r="V637" s="1357"/>
      <c r="W637" s="1357"/>
      <c r="X637" s="1207"/>
      <c r="Y637" s="1207"/>
      <c r="Z637" s="1207"/>
      <c r="AA637" s="1207"/>
      <c r="AB637" s="1207"/>
      <c r="AC637" s="1207"/>
      <c r="AD637" s="1207"/>
      <c r="AE637" s="1207"/>
      <c r="AF637" s="1207"/>
      <c r="AG637" s="1207"/>
      <c r="AH637" s="1207"/>
      <c r="AI637" s="1207"/>
      <c r="AJ637" s="1207"/>
      <c r="AK637" s="1207"/>
      <c r="AL637" s="1207"/>
      <c r="AM637" s="1207"/>
      <c r="AN637" s="1207"/>
      <c r="AO637" s="1207"/>
      <c r="AP637" s="1207"/>
      <c r="AQ637" s="1207"/>
      <c r="AR637" s="1207"/>
      <c r="AS637" s="1207"/>
      <c r="AT637" s="1207"/>
      <c r="AU637" s="1207"/>
      <c r="AV637" s="1207"/>
      <c r="AW637" s="1207"/>
      <c r="AX637" s="1207"/>
      <c r="AY637" s="1207"/>
      <c r="AZ637" s="1207"/>
      <c r="BA637" s="1207"/>
      <c r="BB637" s="1207"/>
      <c r="BC637" s="1207"/>
      <c r="BD637" s="1207"/>
      <c r="BE637" s="1207"/>
      <c r="BF637" s="1207"/>
      <c r="BG637" s="1207"/>
      <c r="BH637" s="1207"/>
      <c r="BI637" s="1207"/>
      <c r="BJ637" s="1207"/>
      <c r="BK637" s="1207"/>
      <c r="BL637" s="1207"/>
      <c r="BM637" s="1207"/>
      <c r="BN637" s="1207"/>
      <c r="BO637" s="1207"/>
      <c r="BP637" s="1207"/>
      <c r="BQ637" s="1207"/>
      <c r="BR637" s="1207"/>
      <c r="BS637" s="1207"/>
      <c r="BT637" s="1207"/>
      <c r="BU637" s="1207"/>
      <c r="BV637" s="1207"/>
      <c r="BW637" s="1207"/>
      <c r="BX637" s="1207"/>
      <c r="BY637" s="1207"/>
      <c r="BZ637" s="1207"/>
      <c r="CA637" s="1207"/>
      <c r="CB637" s="1207"/>
      <c r="CC637" s="1207"/>
      <c r="CD637" s="1207"/>
      <c r="CE637" s="1207"/>
      <c r="CF637" s="1207"/>
    </row>
    <row r="638" spans="1:84" ht="105" x14ac:dyDescent="0.2">
      <c r="A638" s="1355">
        <v>2022641</v>
      </c>
      <c r="B638" s="1172">
        <v>7658</v>
      </c>
      <c r="C638" s="1356" t="s">
        <v>681</v>
      </c>
      <c r="D638" s="1190" t="s">
        <v>694</v>
      </c>
      <c r="E638" s="1202">
        <v>80111600</v>
      </c>
      <c r="F638" s="1202" t="s">
        <v>1280</v>
      </c>
      <c r="G638" s="1390">
        <v>44682</v>
      </c>
      <c r="H638" s="1390">
        <v>44712</v>
      </c>
      <c r="I638" s="1176">
        <v>2</v>
      </c>
      <c r="J638" s="1176" t="s">
        <v>675</v>
      </c>
      <c r="K638" s="1177" t="s">
        <v>676</v>
      </c>
      <c r="L638" s="1178" t="s">
        <v>677</v>
      </c>
      <c r="M638" s="1179">
        <v>10300000</v>
      </c>
      <c r="N638" s="1386" t="s">
        <v>770</v>
      </c>
      <c r="O638" s="1174" t="s">
        <v>769</v>
      </c>
      <c r="P638" s="1207" t="s">
        <v>750</v>
      </c>
      <c r="Q638" s="1163" t="s">
        <v>1281</v>
      </c>
      <c r="R638" s="1357">
        <v>10300000</v>
      </c>
      <c r="S638" s="1357">
        <v>10300000</v>
      </c>
      <c r="T638" s="1357">
        <f>+Tabla16[[#This Row],[CDPS A 31 JULIO 2022]]-Tabla16[[#This Row],[CDP]]</f>
        <v>0</v>
      </c>
      <c r="U638" s="1357">
        <v>10300000</v>
      </c>
      <c r="V638" s="1357">
        <v>3948333</v>
      </c>
      <c r="W638" s="1357"/>
      <c r="X638" s="1207"/>
      <c r="Y638" s="1207"/>
      <c r="Z638" s="1207"/>
      <c r="AA638" s="1207"/>
      <c r="AB638" s="1207"/>
      <c r="AC638" s="1207"/>
      <c r="AD638" s="1207"/>
      <c r="AE638" s="1207"/>
      <c r="AF638" s="1207"/>
      <c r="AG638" s="1207"/>
      <c r="AH638" s="1207"/>
      <c r="AI638" s="1207"/>
      <c r="AJ638" s="1207"/>
      <c r="AK638" s="1207"/>
      <c r="AL638" s="1207"/>
      <c r="AM638" s="1207"/>
      <c r="AN638" s="1207"/>
      <c r="AO638" s="1207"/>
      <c r="AP638" s="1207"/>
      <c r="AQ638" s="1207"/>
      <c r="AR638" s="1207"/>
      <c r="AS638" s="1207"/>
      <c r="AT638" s="1207"/>
      <c r="AU638" s="1207"/>
      <c r="AV638" s="1207"/>
      <c r="AW638" s="1207"/>
      <c r="AX638" s="1207"/>
      <c r="AY638" s="1207"/>
      <c r="AZ638" s="1207"/>
      <c r="BA638" s="1207"/>
      <c r="BB638" s="1207"/>
      <c r="BC638" s="1207"/>
      <c r="BD638" s="1207"/>
      <c r="BE638" s="1207"/>
      <c r="BF638" s="1207"/>
      <c r="BG638" s="1207"/>
      <c r="BH638" s="1207"/>
      <c r="BI638" s="1207"/>
      <c r="BJ638" s="1207"/>
      <c r="BK638" s="1207"/>
      <c r="BL638" s="1207"/>
      <c r="BM638" s="1207"/>
      <c r="BN638" s="1207"/>
      <c r="BO638" s="1207"/>
      <c r="BP638" s="1207"/>
      <c r="BQ638" s="1207"/>
      <c r="BR638" s="1207"/>
      <c r="BS638" s="1207"/>
      <c r="BT638" s="1207"/>
      <c r="BU638" s="1207"/>
      <c r="BV638" s="1207"/>
      <c r="BW638" s="1207"/>
      <c r="BX638" s="1207"/>
      <c r="BY638" s="1207"/>
      <c r="BZ638" s="1207"/>
      <c r="CA638" s="1207"/>
      <c r="CB638" s="1207"/>
      <c r="CC638" s="1207"/>
      <c r="CD638" s="1207"/>
      <c r="CE638" s="1207"/>
      <c r="CF638" s="1207"/>
    </row>
    <row r="639" spans="1:84" ht="105" x14ac:dyDescent="0.2">
      <c r="A639" s="1355">
        <v>2022642</v>
      </c>
      <c r="B639" s="1172">
        <v>7658</v>
      </c>
      <c r="C639" s="1356" t="s">
        <v>681</v>
      </c>
      <c r="D639" s="1190" t="s">
        <v>694</v>
      </c>
      <c r="E639" s="1202">
        <v>80111600</v>
      </c>
      <c r="F639" s="1202" t="s">
        <v>1282</v>
      </c>
      <c r="G639" s="1390">
        <v>44819</v>
      </c>
      <c r="H639" s="1390">
        <v>44819</v>
      </c>
      <c r="I639" s="1176">
        <v>4</v>
      </c>
      <c r="J639" s="1176" t="s">
        <v>675</v>
      </c>
      <c r="K639" s="1177" t="s">
        <v>676</v>
      </c>
      <c r="L639" s="1178" t="s">
        <v>677</v>
      </c>
      <c r="M639" s="1179">
        <f>(6*4500000)-8950000-4550000</f>
        <v>13500000</v>
      </c>
      <c r="N639" s="1386" t="s">
        <v>770</v>
      </c>
      <c r="O639" s="1174" t="s">
        <v>769</v>
      </c>
      <c r="P639" s="1207" t="s">
        <v>680</v>
      </c>
      <c r="Q639" s="1163"/>
      <c r="R639" s="1357">
        <v>27000000</v>
      </c>
      <c r="S639" s="1357">
        <v>27000000</v>
      </c>
      <c r="T639" s="1357">
        <f>+Tabla16[[#This Row],[CDPS A 31 JULIO 2022]]-Tabla16[[#This Row],[CDP]]</f>
        <v>0</v>
      </c>
      <c r="U639" s="1357"/>
      <c r="V639" s="1357"/>
      <c r="W639" s="1357"/>
      <c r="X639" s="1207"/>
      <c r="Y639" s="1207"/>
      <c r="Z639" s="1207"/>
      <c r="AA639" s="1207"/>
      <c r="AB639" s="1207"/>
      <c r="AC639" s="1207"/>
      <c r="AD639" s="1207"/>
      <c r="AE639" s="1207"/>
      <c r="AF639" s="1207"/>
      <c r="AG639" s="1207"/>
      <c r="AH639" s="1207"/>
      <c r="AI639" s="1207"/>
      <c r="AJ639" s="1207"/>
      <c r="AK639" s="1207"/>
      <c r="AL639" s="1207"/>
      <c r="AM639" s="1207"/>
      <c r="AN639" s="1207"/>
      <c r="AO639" s="1207"/>
      <c r="AP639" s="1207"/>
      <c r="AQ639" s="1207"/>
      <c r="AR639" s="1207"/>
      <c r="AS639" s="1207"/>
      <c r="AT639" s="1207"/>
      <c r="AU639" s="1207"/>
      <c r="AV639" s="1207"/>
      <c r="AW639" s="1207"/>
      <c r="AX639" s="1207"/>
      <c r="AY639" s="1207"/>
      <c r="AZ639" s="1207"/>
      <c r="BA639" s="1207"/>
      <c r="BB639" s="1207"/>
      <c r="BC639" s="1207"/>
      <c r="BD639" s="1207"/>
      <c r="BE639" s="1207"/>
      <c r="BF639" s="1207"/>
      <c r="BG639" s="1207"/>
      <c r="BH639" s="1207"/>
      <c r="BI639" s="1207"/>
      <c r="BJ639" s="1207"/>
      <c r="BK639" s="1207"/>
      <c r="BL639" s="1207"/>
      <c r="BM639" s="1207"/>
      <c r="BN639" s="1207"/>
      <c r="BO639" s="1207"/>
      <c r="BP639" s="1207"/>
      <c r="BQ639" s="1207"/>
      <c r="BR639" s="1207"/>
      <c r="BS639" s="1207"/>
      <c r="BT639" s="1207"/>
      <c r="BU639" s="1207"/>
      <c r="BV639" s="1207"/>
      <c r="BW639" s="1207"/>
      <c r="BX639" s="1207"/>
      <c r="BY639" s="1207"/>
      <c r="BZ639" s="1207"/>
      <c r="CA639" s="1207"/>
      <c r="CB639" s="1207"/>
      <c r="CC639" s="1207"/>
      <c r="CD639" s="1207"/>
      <c r="CE639" s="1207"/>
      <c r="CF639" s="1207"/>
    </row>
    <row r="640" spans="1:84" ht="105" x14ac:dyDescent="0.2">
      <c r="A640" s="1355">
        <v>2022643</v>
      </c>
      <c r="B640" s="1172">
        <v>7658</v>
      </c>
      <c r="C640" s="1356" t="s">
        <v>681</v>
      </c>
      <c r="D640" s="1190" t="s">
        <v>694</v>
      </c>
      <c r="E640" s="1202">
        <v>80111600</v>
      </c>
      <c r="F640" s="1202" t="s">
        <v>1283</v>
      </c>
      <c r="G640" s="1390">
        <v>44743</v>
      </c>
      <c r="H640" s="1390">
        <v>44773</v>
      </c>
      <c r="I640" s="1176">
        <v>6</v>
      </c>
      <c r="J640" s="1176" t="s">
        <v>675</v>
      </c>
      <c r="K640" s="1177" t="s">
        <v>676</v>
      </c>
      <c r="L640" s="1178" t="s">
        <v>677</v>
      </c>
      <c r="M640" s="1179">
        <f t="shared" ref="M640:M655" si="0">2750000*6</f>
        <v>16500000</v>
      </c>
      <c r="N640" s="1386" t="s">
        <v>770</v>
      </c>
      <c r="O640" s="1174" t="s">
        <v>769</v>
      </c>
      <c r="P640" s="1207" t="s">
        <v>680</v>
      </c>
      <c r="Q640" s="1163"/>
      <c r="R640" s="1357">
        <v>16500000</v>
      </c>
      <c r="S640" s="1357">
        <v>16500000</v>
      </c>
      <c r="T640" s="1357">
        <f>+Tabla16[[#This Row],[CDPS A 31 JULIO 2022]]-Tabla16[[#This Row],[CDP]]</f>
        <v>0</v>
      </c>
      <c r="U640" s="1357"/>
      <c r="V640" s="1357"/>
      <c r="W640" s="1357"/>
      <c r="X640" s="1207"/>
      <c r="Y640" s="1207"/>
      <c r="Z640" s="1207"/>
      <c r="AA640" s="1207"/>
      <c r="AB640" s="1207"/>
      <c r="AC640" s="1207"/>
      <c r="AD640" s="1207"/>
      <c r="AE640" s="1207"/>
      <c r="AF640" s="1207"/>
      <c r="AG640" s="1207"/>
      <c r="AH640" s="1207"/>
      <c r="AI640" s="1207"/>
      <c r="AJ640" s="1207"/>
      <c r="AK640" s="1207"/>
      <c r="AL640" s="1207"/>
      <c r="AM640" s="1207"/>
      <c r="AN640" s="1207"/>
      <c r="AO640" s="1207"/>
      <c r="AP640" s="1207"/>
      <c r="AQ640" s="1207"/>
      <c r="AR640" s="1207"/>
      <c r="AS640" s="1207"/>
      <c r="AT640" s="1207"/>
      <c r="AU640" s="1207"/>
      <c r="AV640" s="1207"/>
      <c r="AW640" s="1207"/>
      <c r="AX640" s="1207"/>
      <c r="AY640" s="1207"/>
      <c r="AZ640" s="1207"/>
      <c r="BA640" s="1207"/>
      <c r="BB640" s="1207"/>
      <c r="BC640" s="1207"/>
      <c r="BD640" s="1207"/>
      <c r="BE640" s="1207"/>
      <c r="BF640" s="1207"/>
      <c r="BG640" s="1207"/>
      <c r="BH640" s="1207"/>
      <c r="BI640" s="1207"/>
      <c r="BJ640" s="1207"/>
      <c r="BK640" s="1207"/>
      <c r="BL640" s="1207"/>
      <c r="BM640" s="1207"/>
      <c r="BN640" s="1207"/>
      <c r="BO640" s="1207"/>
      <c r="BP640" s="1207"/>
      <c r="BQ640" s="1207"/>
      <c r="BR640" s="1207"/>
      <c r="BS640" s="1207"/>
      <c r="BT640" s="1207"/>
      <c r="BU640" s="1207"/>
      <c r="BV640" s="1207"/>
      <c r="BW640" s="1207"/>
      <c r="BX640" s="1207"/>
      <c r="BY640" s="1207"/>
      <c r="BZ640" s="1207"/>
      <c r="CA640" s="1207"/>
      <c r="CB640" s="1207"/>
      <c r="CC640" s="1207"/>
      <c r="CD640" s="1207"/>
      <c r="CE640" s="1207"/>
      <c r="CF640" s="1207"/>
    </row>
    <row r="641" spans="1:84" ht="105" x14ac:dyDescent="0.2">
      <c r="A641" s="1355">
        <v>2022644</v>
      </c>
      <c r="B641" s="1172">
        <v>7658</v>
      </c>
      <c r="C641" s="1356" t="s">
        <v>681</v>
      </c>
      <c r="D641" s="1190" t="s">
        <v>694</v>
      </c>
      <c r="E641" s="1202">
        <v>80111600</v>
      </c>
      <c r="F641" s="1202" t="s">
        <v>1283</v>
      </c>
      <c r="G641" s="1390">
        <v>44743</v>
      </c>
      <c r="H641" s="1390">
        <v>44773</v>
      </c>
      <c r="I641" s="1176">
        <v>6</v>
      </c>
      <c r="J641" s="1176" t="s">
        <v>675</v>
      </c>
      <c r="K641" s="1177" t="s">
        <v>676</v>
      </c>
      <c r="L641" s="1178" t="s">
        <v>677</v>
      </c>
      <c r="M641" s="1179">
        <f t="shared" si="0"/>
        <v>16500000</v>
      </c>
      <c r="N641" s="1386" t="s">
        <v>770</v>
      </c>
      <c r="O641" s="1174" t="s">
        <v>769</v>
      </c>
      <c r="P641" s="1207" t="s">
        <v>680</v>
      </c>
      <c r="Q641" s="1163"/>
      <c r="R641" s="1357">
        <v>16500000</v>
      </c>
      <c r="S641" s="1357">
        <v>16500000</v>
      </c>
      <c r="T641" s="1357">
        <f>+Tabla16[[#This Row],[CDPS A 31 JULIO 2022]]-Tabla16[[#This Row],[CDP]]</f>
        <v>0</v>
      </c>
      <c r="U641" s="1357"/>
      <c r="V641" s="1357"/>
      <c r="W641" s="1357"/>
      <c r="X641" s="1207"/>
      <c r="Y641" s="1207"/>
      <c r="Z641" s="1207"/>
      <c r="AA641" s="1207"/>
      <c r="AB641" s="1207"/>
      <c r="AC641" s="1207"/>
      <c r="AD641" s="1207"/>
      <c r="AE641" s="1207"/>
      <c r="AF641" s="1207"/>
      <c r="AG641" s="1207"/>
      <c r="AH641" s="1207"/>
      <c r="AI641" s="1207"/>
      <c r="AJ641" s="1207"/>
      <c r="AK641" s="1207"/>
      <c r="AL641" s="1207"/>
      <c r="AM641" s="1207"/>
      <c r="AN641" s="1207"/>
      <c r="AO641" s="1207"/>
      <c r="AP641" s="1207"/>
      <c r="AQ641" s="1207"/>
      <c r="AR641" s="1207"/>
      <c r="AS641" s="1207"/>
      <c r="AT641" s="1207"/>
      <c r="AU641" s="1207"/>
      <c r="AV641" s="1207"/>
      <c r="AW641" s="1207"/>
      <c r="AX641" s="1207"/>
      <c r="AY641" s="1207"/>
      <c r="AZ641" s="1207"/>
      <c r="BA641" s="1207"/>
      <c r="BB641" s="1207"/>
      <c r="BC641" s="1207"/>
      <c r="BD641" s="1207"/>
      <c r="BE641" s="1207"/>
      <c r="BF641" s="1207"/>
      <c r="BG641" s="1207"/>
      <c r="BH641" s="1207"/>
      <c r="BI641" s="1207"/>
      <c r="BJ641" s="1207"/>
      <c r="BK641" s="1207"/>
      <c r="BL641" s="1207"/>
      <c r="BM641" s="1207"/>
      <c r="BN641" s="1207"/>
      <c r="BO641" s="1207"/>
      <c r="BP641" s="1207"/>
      <c r="BQ641" s="1207"/>
      <c r="BR641" s="1207"/>
      <c r="BS641" s="1207"/>
      <c r="BT641" s="1207"/>
      <c r="BU641" s="1207"/>
      <c r="BV641" s="1207"/>
      <c r="BW641" s="1207"/>
      <c r="BX641" s="1207"/>
      <c r="BY641" s="1207"/>
      <c r="BZ641" s="1207"/>
      <c r="CA641" s="1207"/>
      <c r="CB641" s="1207"/>
      <c r="CC641" s="1207"/>
      <c r="CD641" s="1207"/>
      <c r="CE641" s="1207"/>
      <c r="CF641" s="1207"/>
    </row>
    <row r="642" spans="1:84" ht="105" x14ac:dyDescent="0.2">
      <c r="A642" s="1355">
        <v>2022645</v>
      </c>
      <c r="B642" s="1172">
        <v>7658</v>
      </c>
      <c r="C642" s="1356" t="s">
        <v>681</v>
      </c>
      <c r="D642" s="1190" t="s">
        <v>694</v>
      </c>
      <c r="E642" s="1202">
        <v>80111600</v>
      </c>
      <c r="F642" s="1202" t="s">
        <v>1283</v>
      </c>
      <c r="G642" s="1390">
        <v>44743</v>
      </c>
      <c r="H642" s="1390">
        <v>44773</v>
      </c>
      <c r="I642" s="1176">
        <v>6</v>
      </c>
      <c r="J642" s="1176" t="s">
        <v>675</v>
      </c>
      <c r="K642" s="1177" t="s">
        <v>676</v>
      </c>
      <c r="L642" s="1178" t="s">
        <v>677</v>
      </c>
      <c r="M642" s="1179">
        <f t="shared" si="0"/>
        <v>16500000</v>
      </c>
      <c r="N642" s="1386" t="s">
        <v>770</v>
      </c>
      <c r="O642" s="1174" t="s">
        <v>769</v>
      </c>
      <c r="P642" s="1207" t="s">
        <v>680</v>
      </c>
      <c r="Q642" s="1163"/>
      <c r="R642" s="1357">
        <v>16500000</v>
      </c>
      <c r="S642" s="1357">
        <v>16500000</v>
      </c>
      <c r="T642" s="1357">
        <f>+Tabla16[[#This Row],[CDPS A 31 JULIO 2022]]-Tabla16[[#This Row],[CDP]]</f>
        <v>0</v>
      </c>
      <c r="U642" s="1357"/>
      <c r="V642" s="1357"/>
      <c r="W642" s="1357"/>
      <c r="X642" s="1207"/>
      <c r="Y642" s="1207"/>
      <c r="Z642" s="1207"/>
      <c r="AA642" s="1207"/>
      <c r="AB642" s="1207"/>
      <c r="AC642" s="1207"/>
      <c r="AD642" s="1207"/>
      <c r="AE642" s="1207"/>
      <c r="AF642" s="1207"/>
      <c r="AG642" s="1207"/>
      <c r="AH642" s="1207"/>
      <c r="AI642" s="1207"/>
      <c r="AJ642" s="1207"/>
      <c r="AK642" s="1207"/>
      <c r="AL642" s="1207"/>
      <c r="AM642" s="1207"/>
      <c r="AN642" s="1207"/>
      <c r="AO642" s="1207"/>
      <c r="AP642" s="1207"/>
      <c r="AQ642" s="1207"/>
      <c r="AR642" s="1207"/>
      <c r="AS642" s="1207"/>
      <c r="AT642" s="1207"/>
      <c r="AU642" s="1207"/>
      <c r="AV642" s="1207"/>
      <c r="AW642" s="1207"/>
      <c r="AX642" s="1207"/>
      <c r="AY642" s="1207"/>
      <c r="AZ642" s="1207"/>
      <c r="BA642" s="1207"/>
      <c r="BB642" s="1207"/>
      <c r="BC642" s="1207"/>
      <c r="BD642" s="1207"/>
      <c r="BE642" s="1207"/>
      <c r="BF642" s="1207"/>
      <c r="BG642" s="1207"/>
      <c r="BH642" s="1207"/>
      <c r="BI642" s="1207"/>
      <c r="BJ642" s="1207"/>
      <c r="BK642" s="1207"/>
      <c r="BL642" s="1207"/>
      <c r="BM642" s="1207"/>
      <c r="BN642" s="1207"/>
      <c r="BO642" s="1207"/>
      <c r="BP642" s="1207"/>
      <c r="BQ642" s="1207"/>
      <c r="BR642" s="1207"/>
      <c r="BS642" s="1207"/>
      <c r="BT642" s="1207"/>
      <c r="BU642" s="1207"/>
      <c r="BV642" s="1207"/>
      <c r="BW642" s="1207"/>
      <c r="BX642" s="1207"/>
      <c r="BY642" s="1207"/>
      <c r="BZ642" s="1207"/>
      <c r="CA642" s="1207"/>
      <c r="CB642" s="1207"/>
      <c r="CC642" s="1207"/>
      <c r="CD642" s="1207"/>
      <c r="CE642" s="1207"/>
      <c r="CF642" s="1207"/>
    </row>
    <row r="643" spans="1:84" ht="105" x14ac:dyDescent="0.2">
      <c r="A643" s="1355">
        <v>2022646</v>
      </c>
      <c r="B643" s="1172">
        <v>7658</v>
      </c>
      <c r="C643" s="1356" t="s">
        <v>681</v>
      </c>
      <c r="D643" s="1190" t="s">
        <v>694</v>
      </c>
      <c r="E643" s="1202">
        <v>80111600</v>
      </c>
      <c r="F643" s="1202" t="s">
        <v>1283</v>
      </c>
      <c r="G643" s="1390">
        <v>44743</v>
      </c>
      <c r="H643" s="1390">
        <v>44773</v>
      </c>
      <c r="I643" s="1176">
        <v>6</v>
      </c>
      <c r="J643" s="1176" t="s">
        <v>675</v>
      </c>
      <c r="K643" s="1177" t="s">
        <v>676</v>
      </c>
      <c r="L643" s="1178" t="s">
        <v>677</v>
      </c>
      <c r="M643" s="1179">
        <f t="shared" si="0"/>
        <v>16500000</v>
      </c>
      <c r="N643" s="1386" t="s">
        <v>770</v>
      </c>
      <c r="O643" s="1174" t="s">
        <v>769</v>
      </c>
      <c r="P643" s="1207" t="s">
        <v>680</v>
      </c>
      <c r="Q643" s="1163"/>
      <c r="R643" s="1357">
        <v>16500000</v>
      </c>
      <c r="S643" s="1357">
        <v>16500000</v>
      </c>
      <c r="T643" s="1357">
        <f>+Tabla16[[#This Row],[CDPS A 31 JULIO 2022]]-Tabla16[[#This Row],[CDP]]</f>
        <v>0</v>
      </c>
      <c r="U643" s="1357"/>
      <c r="V643" s="1357"/>
      <c r="W643" s="1357"/>
      <c r="X643" s="1207"/>
      <c r="Y643" s="1207"/>
      <c r="Z643" s="1207"/>
      <c r="AA643" s="1207"/>
      <c r="AB643" s="1207"/>
      <c r="AC643" s="1207"/>
      <c r="AD643" s="1207"/>
      <c r="AE643" s="1207"/>
      <c r="AF643" s="1207"/>
      <c r="AG643" s="1207"/>
      <c r="AH643" s="1207"/>
      <c r="AI643" s="1207"/>
      <c r="AJ643" s="1207"/>
      <c r="AK643" s="1207"/>
      <c r="AL643" s="1207"/>
      <c r="AM643" s="1207"/>
      <c r="AN643" s="1207"/>
      <c r="AO643" s="1207"/>
      <c r="AP643" s="1207"/>
      <c r="AQ643" s="1207"/>
      <c r="AR643" s="1207"/>
      <c r="AS643" s="1207"/>
      <c r="AT643" s="1207"/>
      <c r="AU643" s="1207"/>
      <c r="AV643" s="1207"/>
      <c r="AW643" s="1207"/>
      <c r="AX643" s="1207"/>
      <c r="AY643" s="1207"/>
      <c r="AZ643" s="1207"/>
      <c r="BA643" s="1207"/>
      <c r="BB643" s="1207"/>
      <c r="BC643" s="1207"/>
      <c r="BD643" s="1207"/>
      <c r="BE643" s="1207"/>
      <c r="BF643" s="1207"/>
      <c r="BG643" s="1207"/>
      <c r="BH643" s="1207"/>
      <c r="BI643" s="1207"/>
      <c r="BJ643" s="1207"/>
      <c r="BK643" s="1207"/>
      <c r="BL643" s="1207"/>
      <c r="BM643" s="1207"/>
      <c r="BN643" s="1207"/>
      <c r="BO643" s="1207"/>
      <c r="BP643" s="1207"/>
      <c r="BQ643" s="1207"/>
      <c r="BR643" s="1207"/>
      <c r="BS643" s="1207"/>
      <c r="BT643" s="1207"/>
      <c r="BU643" s="1207"/>
      <c r="BV643" s="1207"/>
      <c r="BW643" s="1207"/>
      <c r="BX643" s="1207"/>
      <c r="BY643" s="1207"/>
      <c r="BZ643" s="1207"/>
      <c r="CA643" s="1207"/>
      <c r="CB643" s="1207"/>
      <c r="CC643" s="1207"/>
      <c r="CD643" s="1207"/>
      <c r="CE643" s="1207"/>
      <c r="CF643" s="1207"/>
    </row>
    <row r="644" spans="1:84" ht="105" x14ac:dyDescent="0.2">
      <c r="A644" s="1355">
        <v>2022647</v>
      </c>
      <c r="B644" s="1172">
        <v>7658</v>
      </c>
      <c r="C644" s="1356" t="s">
        <v>681</v>
      </c>
      <c r="D644" s="1190" t="s">
        <v>694</v>
      </c>
      <c r="E644" s="1202">
        <v>80111600</v>
      </c>
      <c r="F644" s="1202" t="s">
        <v>1283</v>
      </c>
      <c r="G644" s="1390">
        <v>44743</v>
      </c>
      <c r="H644" s="1390">
        <v>44773</v>
      </c>
      <c r="I644" s="1176">
        <v>6</v>
      </c>
      <c r="J644" s="1176" t="s">
        <v>675</v>
      </c>
      <c r="K644" s="1177" t="s">
        <v>676</v>
      </c>
      <c r="L644" s="1178" t="s">
        <v>677</v>
      </c>
      <c r="M644" s="1179">
        <f t="shared" si="0"/>
        <v>16500000</v>
      </c>
      <c r="N644" s="1386" t="s">
        <v>770</v>
      </c>
      <c r="O644" s="1174" t="s">
        <v>769</v>
      </c>
      <c r="P644" s="1207" t="s">
        <v>680</v>
      </c>
      <c r="Q644" s="1163"/>
      <c r="R644" s="1357">
        <v>16500000</v>
      </c>
      <c r="S644" s="1357">
        <v>16500000</v>
      </c>
      <c r="T644" s="1357">
        <f>+Tabla16[[#This Row],[CDPS A 31 JULIO 2022]]-Tabla16[[#This Row],[CDP]]</f>
        <v>0</v>
      </c>
      <c r="U644" s="1357"/>
      <c r="V644" s="1357"/>
      <c r="W644" s="1357"/>
      <c r="X644" s="1207"/>
      <c r="Y644" s="1207"/>
      <c r="Z644" s="1207"/>
      <c r="AA644" s="1207"/>
      <c r="AB644" s="1207"/>
      <c r="AC644" s="1207"/>
      <c r="AD644" s="1207"/>
      <c r="AE644" s="1207"/>
      <c r="AF644" s="1207"/>
      <c r="AG644" s="1207"/>
      <c r="AH644" s="1207"/>
      <c r="AI644" s="1207"/>
      <c r="AJ644" s="1207"/>
      <c r="AK644" s="1207"/>
      <c r="AL644" s="1207"/>
      <c r="AM644" s="1207"/>
      <c r="AN644" s="1207"/>
      <c r="AO644" s="1207"/>
      <c r="AP644" s="1207"/>
      <c r="AQ644" s="1207"/>
      <c r="AR644" s="1207"/>
      <c r="AS644" s="1207"/>
      <c r="AT644" s="1207"/>
      <c r="AU644" s="1207"/>
      <c r="AV644" s="1207"/>
      <c r="AW644" s="1207"/>
      <c r="AX644" s="1207"/>
      <c r="AY644" s="1207"/>
      <c r="AZ644" s="1207"/>
      <c r="BA644" s="1207"/>
      <c r="BB644" s="1207"/>
      <c r="BC644" s="1207"/>
      <c r="BD644" s="1207"/>
      <c r="BE644" s="1207"/>
      <c r="BF644" s="1207"/>
      <c r="BG644" s="1207"/>
      <c r="BH644" s="1207"/>
      <c r="BI644" s="1207"/>
      <c r="BJ644" s="1207"/>
      <c r="BK644" s="1207"/>
      <c r="BL644" s="1207"/>
      <c r="BM644" s="1207"/>
      <c r="BN644" s="1207"/>
      <c r="BO644" s="1207"/>
      <c r="BP644" s="1207"/>
      <c r="BQ644" s="1207"/>
      <c r="BR644" s="1207"/>
      <c r="BS644" s="1207"/>
      <c r="BT644" s="1207"/>
      <c r="BU644" s="1207"/>
      <c r="BV644" s="1207"/>
      <c r="BW644" s="1207"/>
      <c r="BX644" s="1207"/>
      <c r="BY644" s="1207"/>
      <c r="BZ644" s="1207"/>
      <c r="CA644" s="1207"/>
      <c r="CB644" s="1207"/>
      <c r="CC644" s="1207"/>
      <c r="CD644" s="1207"/>
      <c r="CE644" s="1207"/>
      <c r="CF644" s="1207"/>
    </row>
    <row r="645" spans="1:84" ht="105" x14ac:dyDescent="0.2">
      <c r="A645" s="1355">
        <v>2022648</v>
      </c>
      <c r="B645" s="1172">
        <v>7658</v>
      </c>
      <c r="C645" s="1356" t="s">
        <v>681</v>
      </c>
      <c r="D645" s="1190" t="s">
        <v>694</v>
      </c>
      <c r="E645" s="1202">
        <v>80111600</v>
      </c>
      <c r="F645" s="1202" t="s">
        <v>1283</v>
      </c>
      <c r="G645" s="1390">
        <v>44743</v>
      </c>
      <c r="H645" s="1390">
        <v>44773</v>
      </c>
      <c r="I645" s="1176">
        <v>6</v>
      </c>
      <c r="J645" s="1176" t="s">
        <v>675</v>
      </c>
      <c r="K645" s="1177" t="s">
        <v>676</v>
      </c>
      <c r="L645" s="1178" t="s">
        <v>677</v>
      </c>
      <c r="M645" s="1179">
        <f t="shared" si="0"/>
        <v>16500000</v>
      </c>
      <c r="N645" s="1386" t="s">
        <v>770</v>
      </c>
      <c r="O645" s="1174" t="s">
        <v>769</v>
      </c>
      <c r="P645" s="1207" t="s">
        <v>680</v>
      </c>
      <c r="Q645" s="1163"/>
      <c r="R645" s="1357">
        <v>16500000</v>
      </c>
      <c r="S645" s="1357">
        <v>16500000</v>
      </c>
      <c r="T645" s="1357">
        <f>+Tabla16[[#This Row],[CDPS A 31 JULIO 2022]]-Tabla16[[#This Row],[CDP]]</f>
        <v>0</v>
      </c>
      <c r="U645" s="1357"/>
      <c r="V645" s="1357"/>
      <c r="W645" s="1357"/>
      <c r="X645" s="1207"/>
      <c r="Y645" s="1207"/>
      <c r="Z645" s="1207"/>
      <c r="AA645" s="1207"/>
      <c r="AB645" s="1207"/>
      <c r="AC645" s="1207"/>
      <c r="AD645" s="1207"/>
      <c r="AE645" s="1207"/>
      <c r="AF645" s="1207"/>
      <c r="AG645" s="1207"/>
      <c r="AH645" s="1207"/>
      <c r="AI645" s="1207"/>
      <c r="AJ645" s="1207"/>
      <c r="AK645" s="1207"/>
      <c r="AL645" s="1207"/>
      <c r="AM645" s="1207"/>
      <c r="AN645" s="1207"/>
      <c r="AO645" s="1207"/>
      <c r="AP645" s="1207"/>
      <c r="AQ645" s="1207"/>
      <c r="AR645" s="1207"/>
      <c r="AS645" s="1207"/>
      <c r="AT645" s="1207"/>
      <c r="AU645" s="1207"/>
      <c r="AV645" s="1207"/>
      <c r="AW645" s="1207"/>
      <c r="AX645" s="1207"/>
      <c r="AY645" s="1207"/>
      <c r="AZ645" s="1207"/>
      <c r="BA645" s="1207"/>
      <c r="BB645" s="1207"/>
      <c r="BC645" s="1207"/>
      <c r="BD645" s="1207"/>
      <c r="BE645" s="1207"/>
      <c r="BF645" s="1207"/>
      <c r="BG645" s="1207"/>
      <c r="BH645" s="1207"/>
      <c r="BI645" s="1207"/>
      <c r="BJ645" s="1207"/>
      <c r="BK645" s="1207"/>
      <c r="BL645" s="1207"/>
      <c r="BM645" s="1207"/>
      <c r="BN645" s="1207"/>
      <c r="BO645" s="1207"/>
      <c r="BP645" s="1207"/>
      <c r="BQ645" s="1207"/>
      <c r="BR645" s="1207"/>
      <c r="BS645" s="1207"/>
      <c r="BT645" s="1207"/>
      <c r="BU645" s="1207"/>
      <c r="BV645" s="1207"/>
      <c r="BW645" s="1207"/>
      <c r="BX645" s="1207"/>
      <c r="BY645" s="1207"/>
      <c r="BZ645" s="1207"/>
      <c r="CA645" s="1207"/>
      <c r="CB645" s="1207"/>
      <c r="CC645" s="1207"/>
      <c r="CD645" s="1207"/>
      <c r="CE645" s="1207"/>
      <c r="CF645" s="1207"/>
    </row>
    <row r="646" spans="1:84" ht="105" x14ac:dyDescent="0.2">
      <c r="A646" s="1355">
        <v>2022649</v>
      </c>
      <c r="B646" s="1172">
        <v>7658</v>
      </c>
      <c r="C646" s="1356" t="s">
        <v>681</v>
      </c>
      <c r="D646" s="1190" t="s">
        <v>694</v>
      </c>
      <c r="E646" s="1202">
        <v>80111600</v>
      </c>
      <c r="F646" s="1202" t="s">
        <v>1283</v>
      </c>
      <c r="G646" s="1390">
        <v>44743</v>
      </c>
      <c r="H646" s="1390">
        <v>44773</v>
      </c>
      <c r="I646" s="1176">
        <v>6</v>
      </c>
      <c r="J646" s="1176" t="s">
        <v>675</v>
      </c>
      <c r="K646" s="1177" t="s">
        <v>676</v>
      </c>
      <c r="L646" s="1178" t="s">
        <v>677</v>
      </c>
      <c r="M646" s="1179">
        <f t="shared" si="0"/>
        <v>16500000</v>
      </c>
      <c r="N646" s="1386" t="s">
        <v>770</v>
      </c>
      <c r="O646" s="1174" t="s">
        <v>769</v>
      </c>
      <c r="P646" s="1207" t="s">
        <v>680</v>
      </c>
      <c r="Q646" s="1163"/>
      <c r="R646" s="1357">
        <v>16500000</v>
      </c>
      <c r="S646" s="1357">
        <v>16500000</v>
      </c>
      <c r="T646" s="1357">
        <f>+Tabla16[[#This Row],[CDPS A 31 JULIO 2022]]-Tabla16[[#This Row],[CDP]]</f>
        <v>0</v>
      </c>
      <c r="U646" s="1357"/>
      <c r="V646" s="1357"/>
      <c r="W646" s="1357"/>
      <c r="X646" s="1207"/>
      <c r="Y646" s="1207"/>
      <c r="Z646" s="1207"/>
      <c r="AA646" s="1207"/>
      <c r="AB646" s="1207"/>
      <c r="AC646" s="1207"/>
      <c r="AD646" s="1207"/>
      <c r="AE646" s="1207"/>
      <c r="AF646" s="1207"/>
      <c r="AG646" s="1207"/>
      <c r="AH646" s="1207"/>
      <c r="AI646" s="1207"/>
      <c r="AJ646" s="1207"/>
      <c r="AK646" s="1207"/>
      <c r="AL646" s="1207"/>
      <c r="AM646" s="1207"/>
      <c r="AN646" s="1207"/>
      <c r="AO646" s="1207"/>
      <c r="AP646" s="1207"/>
      <c r="AQ646" s="1207"/>
      <c r="AR646" s="1207"/>
      <c r="AS646" s="1207"/>
      <c r="AT646" s="1207"/>
      <c r="AU646" s="1207"/>
      <c r="AV646" s="1207"/>
      <c r="AW646" s="1207"/>
      <c r="AX646" s="1207"/>
      <c r="AY646" s="1207"/>
      <c r="AZ646" s="1207"/>
      <c r="BA646" s="1207"/>
      <c r="BB646" s="1207"/>
      <c r="BC646" s="1207"/>
      <c r="BD646" s="1207"/>
      <c r="BE646" s="1207"/>
      <c r="BF646" s="1207"/>
      <c r="BG646" s="1207"/>
      <c r="BH646" s="1207"/>
      <c r="BI646" s="1207"/>
      <c r="BJ646" s="1207"/>
      <c r="BK646" s="1207"/>
      <c r="BL646" s="1207"/>
      <c r="BM646" s="1207"/>
      <c r="BN646" s="1207"/>
      <c r="BO646" s="1207"/>
      <c r="BP646" s="1207"/>
      <c r="BQ646" s="1207"/>
      <c r="BR646" s="1207"/>
      <c r="BS646" s="1207"/>
      <c r="BT646" s="1207"/>
      <c r="BU646" s="1207"/>
      <c r="BV646" s="1207"/>
      <c r="BW646" s="1207"/>
      <c r="BX646" s="1207"/>
      <c r="BY646" s="1207"/>
      <c r="BZ646" s="1207"/>
      <c r="CA646" s="1207"/>
      <c r="CB646" s="1207"/>
      <c r="CC646" s="1207"/>
      <c r="CD646" s="1207"/>
      <c r="CE646" s="1207"/>
      <c r="CF646" s="1207"/>
    </row>
    <row r="647" spans="1:84" ht="105" x14ac:dyDescent="0.2">
      <c r="A647" s="1355">
        <v>2022650</v>
      </c>
      <c r="B647" s="1172">
        <v>7658</v>
      </c>
      <c r="C647" s="1356" t="s">
        <v>681</v>
      </c>
      <c r="D647" s="1190" t="s">
        <v>694</v>
      </c>
      <c r="E647" s="1202">
        <v>80111600</v>
      </c>
      <c r="F647" s="1202" t="s">
        <v>1283</v>
      </c>
      <c r="G647" s="1390">
        <v>44743</v>
      </c>
      <c r="H647" s="1390">
        <v>44773</v>
      </c>
      <c r="I647" s="1176">
        <v>6</v>
      </c>
      <c r="J647" s="1176" t="s">
        <v>675</v>
      </c>
      <c r="K647" s="1177" t="s">
        <v>676</v>
      </c>
      <c r="L647" s="1178" t="s">
        <v>677</v>
      </c>
      <c r="M647" s="1179">
        <f t="shared" si="0"/>
        <v>16500000</v>
      </c>
      <c r="N647" s="1386" t="s">
        <v>770</v>
      </c>
      <c r="O647" s="1174" t="s">
        <v>769</v>
      </c>
      <c r="P647" s="1207" t="s">
        <v>680</v>
      </c>
      <c r="Q647" s="1163"/>
      <c r="R647" s="1357">
        <v>16500000</v>
      </c>
      <c r="S647" s="1357">
        <v>16500000</v>
      </c>
      <c r="T647" s="1357">
        <f>+Tabla16[[#This Row],[CDPS A 31 JULIO 2022]]-Tabla16[[#This Row],[CDP]]</f>
        <v>0</v>
      </c>
      <c r="U647" s="1357"/>
      <c r="V647" s="1357"/>
      <c r="W647" s="1357"/>
      <c r="X647" s="1207"/>
      <c r="Y647" s="1207"/>
      <c r="Z647" s="1207"/>
      <c r="AA647" s="1207"/>
      <c r="AB647" s="1207"/>
      <c r="AC647" s="1207"/>
      <c r="AD647" s="1207"/>
      <c r="AE647" s="1207"/>
      <c r="AF647" s="1207"/>
      <c r="AG647" s="1207"/>
      <c r="AH647" s="1207"/>
      <c r="AI647" s="1207"/>
      <c r="AJ647" s="1207"/>
      <c r="AK647" s="1207"/>
      <c r="AL647" s="1207"/>
      <c r="AM647" s="1207"/>
      <c r="AN647" s="1207"/>
      <c r="AO647" s="1207"/>
      <c r="AP647" s="1207"/>
      <c r="AQ647" s="1207"/>
      <c r="AR647" s="1207"/>
      <c r="AS647" s="1207"/>
      <c r="AT647" s="1207"/>
      <c r="AU647" s="1207"/>
      <c r="AV647" s="1207"/>
      <c r="AW647" s="1207"/>
      <c r="AX647" s="1207"/>
      <c r="AY647" s="1207"/>
      <c r="AZ647" s="1207"/>
      <c r="BA647" s="1207"/>
      <c r="BB647" s="1207"/>
      <c r="BC647" s="1207"/>
      <c r="BD647" s="1207"/>
      <c r="BE647" s="1207"/>
      <c r="BF647" s="1207"/>
      <c r="BG647" s="1207"/>
      <c r="BH647" s="1207"/>
      <c r="BI647" s="1207"/>
      <c r="BJ647" s="1207"/>
      <c r="BK647" s="1207"/>
      <c r="BL647" s="1207"/>
      <c r="BM647" s="1207"/>
      <c r="BN647" s="1207"/>
      <c r="BO647" s="1207"/>
      <c r="BP647" s="1207"/>
      <c r="BQ647" s="1207"/>
      <c r="BR647" s="1207"/>
      <c r="BS647" s="1207"/>
      <c r="BT647" s="1207"/>
      <c r="BU647" s="1207"/>
      <c r="BV647" s="1207"/>
      <c r="BW647" s="1207"/>
      <c r="BX647" s="1207"/>
      <c r="BY647" s="1207"/>
      <c r="BZ647" s="1207"/>
      <c r="CA647" s="1207"/>
      <c r="CB647" s="1207"/>
      <c r="CC647" s="1207"/>
      <c r="CD647" s="1207"/>
      <c r="CE647" s="1207"/>
      <c r="CF647" s="1207"/>
    </row>
    <row r="648" spans="1:84" ht="105" x14ac:dyDescent="0.2">
      <c r="A648" s="1355">
        <v>2022651</v>
      </c>
      <c r="B648" s="1172">
        <v>7658</v>
      </c>
      <c r="C648" s="1356" t="s">
        <v>681</v>
      </c>
      <c r="D648" s="1190" t="s">
        <v>694</v>
      </c>
      <c r="E648" s="1202">
        <v>80111600</v>
      </c>
      <c r="F648" s="1202" t="s">
        <v>1283</v>
      </c>
      <c r="G648" s="1390">
        <v>44743</v>
      </c>
      <c r="H648" s="1390">
        <v>44773</v>
      </c>
      <c r="I648" s="1176">
        <v>6</v>
      </c>
      <c r="J648" s="1176" t="s">
        <v>675</v>
      </c>
      <c r="K648" s="1177" t="s">
        <v>676</v>
      </c>
      <c r="L648" s="1178" t="s">
        <v>677</v>
      </c>
      <c r="M648" s="1179">
        <f t="shared" si="0"/>
        <v>16500000</v>
      </c>
      <c r="N648" s="1386" t="s">
        <v>770</v>
      </c>
      <c r="O648" s="1174" t="s">
        <v>769</v>
      </c>
      <c r="P648" s="1207" t="s">
        <v>680</v>
      </c>
      <c r="Q648" s="1163"/>
      <c r="R648" s="1357">
        <v>16500000</v>
      </c>
      <c r="S648" s="1357">
        <v>16500000</v>
      </c>
      <c r="T648" s="1357">
        <f>+Tabla16[[#This Row],[CDPS A 31 JULIO 2022]]-Tabla16[[#This Row],[CDP]]</f>
        <v>0</v>
      </c>
      <c r="U648" s="1357"/>
      <c r="V648" s="1357"/>
      <c r="W648" s="1357"/>
      <c r="X648" s="1207"/>
      <c r="Y648" s="1207"/>
      <c r="Z648" s="1207"/>
      <c r="AA648" s="1207"/>
      <c r="AB648" s="1207"/>
      <c r="AC648" s="1207"/>
      <c r="AD648" s="1207"/>
      <c r="AE648" s="1207"/>
      <c r="AF648" s="1207"/>
      <c r="AG648" s="1207"/>
      <c r="AH648" s="1207"/>
      <c r="AI648" s="1207"/>
      <c r="AJ648" s="1207"/>
      <c r="AK648" s="1207"/>
      <c r="AL648" s="1207"/>
      <c r="AM648" s="1207"/>
      <c r="AN648" s="1207"/>
      <c r="AO648" s="1207"/>
      <c r="AP648" s="1207"/>
      <c r="AQ648" s="1207"/>
      <c r="AR648" s="1207"/>
      <c r="AS648" s="1207"/>
      <c r="AT648" s="1207"/>
      <c r="AU648" s="1207"/>
      <c r="AV648" s="1207"/>
      <c r="AW648" s="1207"/>
      <c r="AX648" s="1207"/>
      <c r="AY648" s="1207"/>
      <c r="AZ648" s="1207"/>
      <c r="BA648" s="1207"/>
      <c r="BB648" s="1207"/>
      <c r="BC648" s="1207"/>
      <c r="BD648" s="1207"/>
      <c r="BE648" s="1207"/>
      <c r="BF648" s="1207"/>
      <c r="BG648" s="1207"/>
      <c r="BH648" s="1207"/>
      <c r="BI648" s="1207"/>
      <c r="BJ648" s="1207"/>
      <c r="BK648" s="1207"/>
      <c r="BL648" s="1207"/>
      <c r="BM648" s="1207"/>
      <c r="BN648" s="1207"/>
      <c r="BO648" s="1207"/>
      <c r="BP648" s="1207"/>
      <c r="BQ648" s="1207"/>
      <c r="BR648" s="1207"/>
      <c r="BS648" s="1207"/>
      <c r="BT648" s="1207"/>
      <c r="BU648" s="1207"/>
      <c r="BV648" s="1207"/>
      <c r="BW648" s="1207"/>
      <c r="BX648" s="1207"/>
      <c r="BY648" s="1207"/>
      <c r="BZ648" s="1207"/>
      <c r="CA648" s="1207"/>
      <c r="CB648" s="1207"/>
      <c r="CC648" s="1207"/>
      <c r="CD648" s="1207"/>
      <c r="CE648" s="1207"/>
      <c r="CF648" s="1207"/>
    </row>
    <row r="649" spans="1:84" ht="105" x14ac:dyDescent="0.2">
      <c r="A649" s="1355">
        <v>2022652</v>
      </c>
      <c r="B649" s="1172">
        <v>7658</v>
      </c>
      <c r="C649" s="1356" t="s">
        <v>681</v>
      </c>
      <c r="D649" s="1190" t="s">
        <v>694</v>
      </c>
      <c r="E649" s="1202">
        <v>80111600</v>
      </c>
      <c r="F649" s="1202" t="s">
        <v>1283</v>
      </c>
      <c r="G649" s="1390">
        <v>44743</v>
      </c>
      <c r="H649" s="1390">
        <v>44773</v>
      </c>
      <c r="I649" s="1176">
        <v>6</v>
      </c>
      <c r="J649" s="1176" t="s">
        <v>675</v>
      </c>
      <c r="K649" s="1177" t="s">
        <v>676</v>
      </c>
      <c r="L649" s="1178" t="s">
        <v>677</v>
      </c>
      <c r="M649" s="1179">
        <f t="shared" si="0"/>
        <v>16500000</v>
      </c>
      <c r="N649" s="1386" t="s">
        <v>770</v>
      </c>
      <c r="O649" s="1174" t="s">
        <v>769</v>
      </c>
      <c r="P649" s="1207" t="s">
        <v>680</v>
      </c>
      <c r="Q649" s="1163"/>
      <c r="R649" s="1357">
        <v>16500000</v>
      </c>
      <c r="S649" s="1357">
        <v>16500000</v>
      </c>
      <c r="T649" s="1357">
        <f>+Tabla16[[#This Row],[CDPS A 31 JULIO 2022]]-Tabla16[[#This Row],[CDP]]</f>
        <v>0</v>
      </c>
      <c r="U649" s="1357"/>
      <c r="V649" s="1357"/>
      <c r="W649" s="1357"/>
      <c r="X649" s="1207"/>
      <c r="Y649" s="1207"/>
      <c r="Z649" s="1207"/>
      <c r="AA649" s="1207"/>
      <c r="AB649" s="1207"/>
      <c r="AC649" s="1207"/>
      <c r="AD649" s="1207"/>
      <c r="AE649" s="1207"/>
      <c r="AF649" s="1207"/>
      <c r="AG649" s="1207"/>
      <c r="AH649" s="1207"/>
      <c r="AI649" s="1207"/>
      <c r="AJ649" s="1207"/>
      <c r="AK649" s="1207"/>
      <c r="AL649" s="1207"/>
      <c r="AM649" s="1207"/>
      <c r="AN649" s="1207"/>
      <c r="AO649" s="1207"/>
      <c r="AP649" s="1207"/>
      <c r="AQ649" s="1207"/>
      <c r="AR649" s="1207"/>
      <c r="AS649" s="1207"/>
      <c r="AT649" s="1207"/>
      <c r="AU649" s="1207"/>
      <c r="AV649" s="1207"/>
      <c r="AW649" s="1207"/>
      <c r="AX649" s="1207"/>
      <c r="AY649" s="1207"/>
      <c r="AZ649" s="1207"/>
      <c r="BA649" s="1207"/>
      <c r="BB649" s="1207"/>
      <c r="BC649" s="1207"/>
      <c r="BD649" s="1207"/>
      <c r="BE649" s="1207"/>
      <c r="BF649" s="1207"/>
      <c r="BG649" s="1207"/>
      <c r="BH649" s="1207"/>
      <c r="BI649" s="1207"/>
      <c r="BJ649" s="1207"/>
      <c r="BK649" s="1207"/>
      <c r="BL649" s="1207"/>
      <c r="BM649" s="1207"/>
      <c r="BN649" s="1207"/>
      <c r="BO649" s="1207"/>
      <c r="BP649" s="1207"/>
      <c r="BQ649" s="1207"/>
      <c r="BR649" s="1207"/>
      <c r="BS649" s="1207"/>
      <c r="BT649" s="1207"/>
      <c r="BU649" s="1207"/>
      <c r="BV649" s="1207"/>
      <c r="BW649" s="1207"/>
      <c r="BX649" s="1207"/>
      <c r="BY649" s="1207"/>
      <c r="BZ649" s="1207"/>
      <c r="CA649" s="1207"/>
      <c r="CB649" s="1207"/>
      <c r="CC649" s="1207"/>
      <c r="CD649" s="1207"/>
      <c r="CE649" s="1207"/>
      <c r="CF649" s="1207"/>
    </row>
    <row r="650" spans="1:84" ht="105" x14ac:dyDescent="0.2">
      <c r="A650" s="1355">
        <v>2022653</v>
      </c>
      <c r="B650" s="1172">
        <v>7658</v>
      </c>
      <c r="C650" s="1356" t="s">
        <v>681</v>
      </c>
      <c r="D650" s="1190" t="s">
        <v>694</v>
      </c>
      <c r="E650" s="1202">
        <v>80111600</v>
      </c>
      <c r="F650" s="1202" t="s">
        <v>1283</v>
      </c>
      <c r="G650" s="1390">
        <v>44743</v>
      </c>
      <c r="H650" s="1390">
        <v>44773</v>
      </c>
      <c r="I650" s="1176">
        <v>6</v>
      </c>
      <c r="J650" s="1176" t="s">
        <v>675</v>
      </c>
      <c r="K650" s="1177" t="s">
        <v>676</v>
      </c>
      <c r="L650" s="1178" t="s">
        <v>677</v>
      </c>
      <c r="M650" s="1179">
        <f t="shared" si="0"/>
        <v>16500000</v>
      </c>
      <c r="N650" s="1386" t="s">
        <v>770</v>
      </c>
      <c r="O650" s="1174" t="s">
        <v>769</v>
      </c>
      <c r="P650" s="1207" t="s">
        <v>680</v>
      </c>
      <c r="Q650" s="1163"/>
      <c r="R650" s="1357">
        <v>16500000</v>
      </c>
      <c r="S650" s="1357">
        <v>16500000</v>
      </c>
      <c r="T650" s="1357">
        <f>+Tabla16[[#This Row],[CDPS A 31 JULIO 2022]]-Tabla16[[#This Row],[CDP]]</f>
        <v>0</v>
      </c>
      <c r="U650" s="1357"/>
      <c r="V650" s="1357"/>
      <c r="W650" s="1357"/>
      <c r="X650" s="1207"/>
      <c r="Y650" s="1207"/>
      <c r="Z650" s="1207"/>
      <c r="AA650" s="1207"/>
      <c r="AB650" s="1207"/>
      <c r="AC650" s="1207"/>
      <c r="AD650" s="1207"/>
      <c r="AE650" s="1207"/>
      <c r="AF650" s="1207"/>
      <c r="AG650" s="1207"/>
      <c r="AH650" s="1207"/>
      <c r="AI650" s="1207"/>
      <c r="AJ650" s="1207"/>
      <c r="AK650" s="1207"/>
      <c r="AL650" s="1207"/>
      <c r="AM650" s="1207"/>
      <c r="AN650" s="1207"/>
      <c r="AO650" s="1207"/>
      <c r="AP650" s="1207"/>
      <c r="AQ650" s="1207"/>
      <c r="AR650" s="1207"/>
      <c r="AS650" s="1207"/>
      <c r="AT650" s="1207"/>
      <c r="AU650" s="1207"/>
      <c r="AV650" s="1207"/>
      <c r="AW650" s="1207"/>
      <c r="AX650" s="1207"/>
      <c r="AY650" s="1207"/>
      <c r="AZ650" s="1207"/>
      <c r="BA650" s="1207"/>
      <c r="BB650" s="1207"/>
      <c r="BC650" s="1207"/>
      <c r="BD650" s="1207"/>
      <c r="BE650" s="1207"/>
      <c r="BF650" s="1207"/>
      <c r="BG650" s="1207"/>
      <c r="BH650" s="1207"/>
      <c r="BI650" s="1207"/>
      <c r="BJ650" s="1207"/>
      <c r="BK650" s="1207"/>
      <c r="BL650" s="1207"/>
      <c r="BM650" s="1207"/>
      <c r="BN650" s="1207"/>
      <c r="BO650" s="1207"/>
      <c r="BP650" s="1207"/>
      <c r="BQ650" s="1207"/>
      <c r="BR650" s="1207"/>
      <c r="BS650" s="1207"/>
      <c r="BT650" s="1207"/>
      <c r="BU650" s="1207"/>
      <c r="BV650" s="1207"/>
      <c r="BW650" s="1207"/>
      <c r="BX650" s="1207"/>
      <c r="BY650" s="1207"/>
      <c r="BZ650" s="1207"/>
      <c r="CA650" s="1207"/>
      <c r="CB650" s="1207"/>
      <c r="CC650" s="1207"/>
      <c r="CD650" s="1207"/>
      <c r="CE650" s="1207"/>
      <c r="CF650" s="1207"/>
    </row>
    <row r="651" spans="1:84" ht="105" x14ac:dyDescent="0.2">
      <c r="A651" s="1355">
        <v>2022654</v>
      </c>
      <c r="B651" s="1172">
        <v>7658</v>
      </c>
      <c r="C651" s="1356" t="s">
        <v>681</v>
      </c>
      <c r="D651" s="1190" t="s">
        <v>694</v>
      </c>
      <c r="E651" s="1202">
        <v>80111600</v>
      </c>
      <c r="F651" s="1202" t="s">
        <v>1283</v>
      </c>
      <c r="G651" s="1390">
        <v>44743</v>
      </c>
      <c r="H651" s="1390">
        <v>44773</v>
      </c>
      <c r="I651" s="1176">
        <v>6</v>
      </c>
      <c r="J651" s="1176" t="s">
        <v>675</v>
      </c>
      <c r="K651" s="1177" t="s">
        <v>676</v>
      </c>
      <c r="L651" s="1178" t="s">
        <v>677</v>
      </c>
      <c r="M651" s="1179">
        <f t="shared" si="0"/>
        <v>16500000</v>
      </c>
      <c r="N651" s="1386" t="s">
        <v>770</v>
      </c>
      <c r="O651" s="1174" t="s">
        <v>769</v>
      </c>
      <c r="P651" s="1207" t="s">
        <v>680</v>
      </c>
      <c r="Q651" s="1163"/>
      <c r="R651" s="1357">
        <v>16500000</v>
      </c>
      <c r="S651" s="1357">
        <v>16500000</v>
      </c>
      <c r="T651" s="1357">
        <f>+Tabla16[[#This Row],[CDPS A 31 JULIO 2022]]-Tabla16[[#This Row],[CDP]]</f>
        <v>0</v>
      </c>
      <c r="U651" s="1357"/>
      <c r="V651" s="1357"/>
      <c r="W651" s="1357"/>
      <c r="X651" s="1207"/>
      <c r="Y651" s="1207"/>
      <c r="Z651" s="1207"/>
      <c r="AA651" s="1207"/>
      <c r="AB651" s="1207"/>
      <c r="AC651" s="1207"/>
      <c r="AD651" s="1207"/>
      <c r="AE651" s="1207"/>
      <c r="AF651" s="1207"/>
      <c r="AG651" s="1207"/>
      <c r="AH651" s="1207"/>
      <c r="AI651" s="1207"/>
      <c r="AJ651" s="1207"/>
      <c r="AK651" s="1207"/>
      <c r="AL651" s="1207"/>
      <c r="AM651" s="1207"/>
      <c r="AN651" s="1207"/>
      <c r="AO651" s="1207"/>
      <c r="AP651" s="1207"/>
      <c r="AQ651" s="1207"/>
      <c r="AR651" s="1207"/>
      <c r="AS651" s="1207"/>
      <c r="AT651" s="1207"/>
      <c r="AU651" s="1207"/>
      <c r="AV651" s="1207"/>
      <c r="AW651" s="1207"/>
      <c r="AX651" s="1207"/>
      <c r="AY651" s="1207"/>
      <c r="AZ651" s="1207"/>
      <c r="BA651" s="1207"/>
      <c r="BB651" s="1207"/>
      <c r="BC651" s="1207"/>
      <c r="BD651" s="1207"/>
      <c r="BE651" s="1207"/>
      <c r="BF651" s="1207"/>
      <c r="BG651" s="1207"/>
      <c r="BH651" s="1207"/>
      <c r="BI651" s="1207"/>
      <c r="BJ651" s="1207"/>
      <c r="BK651" s="1207"/>
      <c r="BL651" s="1207"/>
      <c r="BM651" s="1207"/>
      <c r="BN651" s="1207"/>
      <c r="BO651" s="1207"/>
      <c r="BP651" s="1207"/>
      <c r="BQ651" s="1207"/>
      <c r="BR651" s="1207"/>
      <c r="BS651" s="1207"/>
      <c r="BT651" s="1207"/>
      <c r="BU651" s="1207"/>
      <c r="BV651" s="1207"/>
      <c r="BW651" s="1207"/>
      <c r="BX651" s="1207"/>
      <c r="BY651" s="1207"/>
      <c r="BZ651" s="1207"/>
      <c r="CA651" s="1207"/>
      <c r="CB651" s="1207"/>
      <c r="CC651" s="1207"/>
      <c r="CD651" s="1207"/>
      <c r="CE651" s="1207"/>
      <c r="CF651" s="1207"/>
    </row>
    <row r="652" spans="1:84" ht="105" x14ac:dyDescent="0.2">
      <c r="A652" s="1355">
        <v>2022655</v>
      </c>
      <c r="B652" s="1172">
        <v>7658</v>
      </c>
      <c r="C652" s="1356" t="s">
        <v>681</v>
      </c>
      <c r="D652" s="1190" t="s">
        <v>694</v>
      </c>
      <c r="E652" s="1202">
        <v>80111600</v>
      </c>
      <c r="F652" s="1202" t="s">
        <v>1283</v>
      </c>
      <c r="G652" s="1390">
        <v>44743</v>
      </c>
      <c r="H652" s="1390">
        <v>44773</v>
      </c>
      <c r="I652" s="1176">
        <v>6</v>
      </c>
      <c r="J652" s="1176" t="s">
        <v>675</v>
      </c>
      <c r="K652" s="1177" t="s">
        <v>676</v>
      </c>
      <c r="L652" s="1178" t="s">
        <v>677</v>
      </c>
      <c r="M652" s="1179">
        <f t="shared" si="0"/>
        <v>16500000</v>
      </c>
      <c r="N652" s="1386" t="s">
        <v>770</v>
      </c>
      <c r="O652" s="1174" t="s">
        <v>769</v>
      </c>
      <c r="P652" s="1207" t="s">
        <v>680</v>
      </c>
      <c r="Q652" s="1163"/>
      <c r="R652" s="1357">
        <v>16500000</v>
      </c>
      <c r="S652" s="1357">
        <v>16500000</v>
      </c>
      <c r="T652" s="1357">
        <f>+Tabla16[[#This Row],[CDPS A 31 JULIO 2022]]-Tabla16[[#This Row],[CDP]]</f>
        <v>0</v>
      </c>
      <c r="U652" s="1357"/>
      <c r="V652" s="1357"/>
      <c r="W652" s="1357"/>
      <c r="X652" s="1207"/>
      <c r="Y652" s="1207"/>
      <c r="Z652" s="1207"/>
      <c r="AA652" s="1207"/>
      <c r="AB652" s="1207"/>
      <c r="AC652" s="1207"/>
      <c r="AD652" s="1207"/>
      <c r="AE652" s="1207"/>
      <c r="AF652" s="1207"/>
      <c r="AG652" s="1207"/>
      <c r="AH652" s="1207"/>
      <c r="AI652" s="1207"/>
      <c r="AJ652" s="1207"/>
      <c r="AK652" s="1207"/>
      <c r="AL652" s="1207"/>
      <c r="AM652" s="1207"/>
      <c r="AN652" s="1207"/>
      <c r="AO652" s="1207"/>
      <c r="AP652" s="1207"/>
      <c r="AQ652" s="1207"/>
      <c r="AR652" s="1207"/>
      <c r="AS652" s="1207"/>
      <c r="AT652" s="1207"/>
      <c r="AU652" s="1207"/>
      <c r="AV652" s="1207"/>
      <c r="AW652" s="1207"/>
      <c r="AX652" s="1207"/>
      <c r="AY652" s="1207"/>
      <c r="AZ652" s="1207"/>
      <c r="BA652" s="1207"/>
      <c r="BB652" s="1207"/>
      <c r="BC652" s="1207"/>
      <c r="BD652" s="1207"/>
      <c r="BE652" s="1207"/>
      <c r="BF652" s="1207"/>
      <c r="BG652" s="1207"/>
      <c r="BH652" s="1207"/>
      <c r="BI652" s="1207"/>
      <c r="BJ652" s="1207"/>
      <c r="BK652" s="1207"/>
      <c r="BL652" s="1207"/>
      <c r="BM652" s="1207"/>
      <c r="BN652" s="1207"/>
      <c r="BO652" s="1207"/>
      <c r="BP652" s="1207"/>
      <c r="BQ652" s="1207"/>
      <c r="BR652" s="1207"/>
      <c r="BS652" s="1207"/>
      <c r="BT652" s="1207"/>
      <c r="BU652" s="1207"/>
      <c r="BV652" s="1207"/>
      <c r="BW652" s="1207"/>
      <c r="BX652" s="1207"/>
      <c r="BY652" s="1207"/>
      <c r="BZ652" s="1207"/>
      <c r="CA652" s="1207"/>
      <c r="CB652" s="1207"/>
      <c r="CC652" s="1207"/>
      <c r="CD652" s="1207"/>
      <c r="CE652" s="1207"/>
      <c r="CF652" s="1207"/>
    </row>
    <row r="653" spans="1:84" ht="105" x14ac:dyDescent="0.2">
      <c r="A653" s="1355">
        <v>2022656</v>
      </c>
      <c r="B653" s="1172">
        <v>7658</v>
      </c>
      <c r="C653" s="1356" t="s">
        <v>681</v>
      </c>
      <c r="D653" s="1190" t="s">
        <v>694</v>
      </c>
      <c r="E653" s="1202">
        <v>80111600</v>
      </c>
      <c r="F653" s="1202" t="s">
        <v>1283</v>
      </c>
      <c r="G653" s="1390">
        <v>44743</v>
      </c>
      <c r="H653" s="1390">
        <v>44773</v>
      </c>
      <c r="I653" s="1176">
        <v>6</v>
      </c>
      <c r="J653" s="1176" t="s">
        <v>675</v>
      </c>
      <c r="K653" s="1177" t="s">
        <v>676</v>
      </c>
      <c r="L653" s="1178" t="s">
        <v>677</v>
      </c>
      <c r="M653" s="1179">
        <f t="shared" si="0"/>
        <v>16500000</v>
      </c>
      <c r="N653" s="1386" t="s">
        <v>770</v>
      </c>
      <c r="O653" s="1174" t="s">
        <v>769</v>
      </c>
      <c r="P653" s="1207" t="s">
        <v>680</v>
      </c>
      <c r="Q653" s="1163"/>
      <c r="R653" s="1357">
        <v>16500000</v>
      </c>
      <c r="S653" s="1357">
        <v>16500000</v>
      </c>
      <c r="T653" s="1357">
        <f>+Tabla16[[#This Row],[CDPS A 31 JULIO 2022]]-Tabla16[[#This Row],[CDP]]</f>
        <v>0</v>
      </c>
      <c r="U653" s="1357"/>
      <c r="V653" s="1357"/>
      <c r="W653" s="1357"/>
      <c r="X653" s="1207"/>
      <c r="Y653" s="1207"/>
      <c r="Z653" s="1207"/>
      <c r="AA653" s="1207"/>
      <c r="AB653" s="1207"/>
      <c r="AC653" s="1207"/>
      <c r="AD653" s="1207"/>
      <c r="AE653" s="1207"/>
      <c r="AF653" s="1207"/>
      <c r="AG653" s="1207"/>
      <c r="AH653" s="1207"/>
      <c r="AI653" s="1207"/>
      <c r="AJ653" s="1207"/>
      <c r="AK653" s="1207"/>
      <c r="AL653" s="1207"/>
      <c r="AM653" s="1207"/>
      <c r="AN653" s="1207"/>
      <c r="AO653" s="1207"/>
      <c r="AP653" s="1207"/>
      <c r="AQ653" s="1207"/>
      <c r="AR653" s="1207"/>
      <c r="AS653" s="1207"/>
      <c r="AT653" s="1207"/>
      <c r="AU653" s="1207"/>
      <c r="AV653" s="1207"/>
      <c r="AW653" s="1207"/>
      <c r="AX653" s="1207"/>
      <c r="AY653" s="1207"/>
      <c r="AZ653" s="1207"/>
      <c r="BA653" s="1207"/>
      <c r="BB653" s="1207"/>
      <c r="BC653" s="1207"/>
      <c r="BD653" s="1207"/>
      <c r="BE653" s="1207"/>
      <c r="BF653" s="1207"/>
      <c r="BG653" s="1207"/>
      <c r="BH653" s="1207"/>
      <c r="BI653" s="1207"/>
      <c r="BJ653" s="1207"/>
      <c r="BK653" s="1207"/>
      <c r="BL653" s="1207"/>
      <c r="BM653" s="1207"/>
      <c r="BN653" s="1207"/>
      <c r="BO653" s="1207"/>
      <c r="BP653" s="1207"/>
      <c r="BQ653" s="1207"/>
      <c r="BR653" s="1207"/>
      <c r="BS653" s="1207"/>
      <c r="BT653" s="1207"/>
      <c r="BU653" s="1207"/>
      <c r="BV653" s="1207"/>
      <c r="BW653" s="1207"/>
      <c r="BX653" s="1207"/>
      <c r="BY653" s="1207"/>
      <c r="BZ653" s="1207"/>
      <c r="CA653" s="1207"/>
      <c r="CB653" s="1207"/>
      <c r="CC653" s="1207"/>
      <c r="CD653" s="1207"/>
      <c r="CE653" s="1207"/>
      <c r="CF653" s="1207"/>
    </row>
    <row r="654" spans="1:84" ht="105" x14ac:dyDescent="0.2">
      <c r="A654" s="1355">
        <v>2022657</v>
      </c>
      <c r="B654" s="1172">
        <v>7658</v>
      </c>
      <c r="C654" s="1356" t="s">
        <v>681</v>
      </c>
      <c r="D654" s="1190" t="s">
        <v>694</v>
      </c>
      <c r="E654" s="1202">
        <v>80111600</v>
      </c>
      <c r="F654" s="1202" t="s">
        <v>1283</v>
      </c>
      <c r="G654" s="1390">
        <v>44743</v>
      </c>
      <c r="H654" s="1390">
        <v>44773</v>
      </c>
      <c r="I654" s="1176">
        <v>6</v>
      </c>
      <c r="J654" s="1176" t="s">
        <v>675</v>
      </c>
      <c r="K654" s="1177" t="s">
        <v>676</v>
      </c>
      <c r="L654" s="1178" t="s">
        <v>677</v>
      </c>
      <c r="M654" s="1179">
        <f t="shared" si="0"/>
        <v>16500000</v>
      </c>
      <c r="N654" s="1386" t="s">
        <v>770</v>
      </c>
      <c r="O654" s="1174" t="s">
        <v>769</v>
      </c>
      <c r="P654" s="1207" t="s">
        <v>680</v>
      </c>
      <c r="Q654" s="1163"/>
      <c r="R654" s="1357">
        <v>16500000</v>
      </c>
      <c r="S654" s="1357">
        <v>16500000</v>
      </c>
      <c r="T654" s="1357">
        <f>+Tabla16[[#This Row],[CDPS A 31 JULIO 2022]]-Tabla16[[#This Row],[CDP]]</f>
        <v>0</v>
      </c>
      <c r="U654" s="1357"/>
      <c r="V654" s="1357"/>
      <c r="W654" s="1357"/>
      <c r="X654" s="1207"/>
      <c r="Y654" s="1207"/>
      <c r="Z654" s="1207"/>
      <c r="AA654" s="1207"/>
      <c r="AB654" s="1207"/>
      <c r="AC654" s="1207"/>
      <c r="AD654" s="1207"/>
      <c r="AE654" s="1207"/>
      <c r="AF654" s="1207"/>
      <c r="AG654" s="1207"/>
      <c r="AH654" s="1207"/>
      <c r="AI654" s="1207"/>
      <c r="AJ654" s="1207"/>
      <c r="AK654" s="1207"/>
      <c r="AL654" s="1207"/>
      <c r="AM654" s="1207"/>
      <c r="AN654" s="1207"/>
      <c r="AO654" s="1207"/>
      <c r="AP654" s="1207"/>
      <c r="AQ654" s="1207"/>
      <c r="AR654" s="1207"/>
      <c r="AS654" s="1207"/>
      <c r="AT654" s="1207"/>
      <c r="AU654" s="1207"/>
      <c r="AV654" s="1207"/>
      <c r="AW654" s="1207"/>
      <c r="AX654" s="1207"/>
      <c r="AY654" s="1207"/>
      <c r="AZ654" s="1207"/>
      <c r="BA654" s="1207"/>
      <c r="BB654" s="1207"/>
      <c r="BC654" s="1207"/>
      <c r="BD654" s="1207"/>
      <c r="BE654" s="1207"/>
      <c r="BF654" s="1207"/>
      <c r="BG654" s="1207"/>
      <c r="BH654" s="1207"/>
      <c r="BI654" s="1207"/>
      <c r="BJ654" s="1207"/>
      <c r="BK654" s="1207"/>
      <c r="BL654" s="1207"/>
      <c r="BM654" s="1207"/>
      <c r="BN654" s="1207"/>
      <c r="BO654" s="1207"/>
      <c r="BP654" s="1207"/>
      <c r="BQ654" s="1207"/>
      <c r="BR654" s="1207"/>
      <c r="BS654" s="1207"/>
      <c r="BT654" s="1207"/>
      <c r="BU654" s="1207"/>
      <c r="BV654" s="1207"/>
      <c r="BW654" s="1207"/>
      <c r="BX654" s="1207"/>
      <c r="BY654" s="1207"/>
      <c r="BZ654" s="1207"/>
      <c r="CA654" s="1207"/>
      <c r="CB654" s="1207"/>
      <c r="CC654" s="1207"/>
      <c r="CD654" s="1207"/>
      <c r="CE654" s="1207"/>
      <c r="CF654" s="1207"/>
    </row>
    <row r="655" spans="1:84" ht="105" x14ac:dyDescent="0.2">
      <c r="A655" s="1355">
        <v>2022658</v>
      </c>
      <c r="B655" s="1172">
        <v>7658</v>
      </c>
      <c r="C655" s="1356" t="s">
        <v>681</v>
      </c>
      <c r="D655" s="1190" t="s">
        <v>694</v>
      </c>
      <c r="E655" s="1202">
        <v>80111600</v>
      </c>
      <c r="F655" s="1202" t="s">
        <v>1283</v>
      </c>
      <c r="G655" s="1390">
        <v>44743</v>
      </c>
      <c r="H655" s="1390">
        <v>44773</v>
      </c>
      <c r="I655" s="1176">
        <v>6</v>
      </c>
      <c r="J655" s="1176" t="s">
        <v>675</v>
      </c>
      <c r="K655" s="1177" t="s">
        <v>676</v>
      </c>
      <c r="L655" s="1178" t="s">
        <v>677</v>
      </c>
      <c r="M655" s="1179">
        <f t="shared" si="0"/>
        <v>16500000</v>
      </c>
      <c r="N655" s="1386" t="s">
        <v>770</v>
      </c>
      <c r="O655" s="1174" t="s">
        <v>769</v>
      </c>
      <c r="P655" s="1207" t="s">
        <v>680</v>
      </c>
      <c r="Q655" s="1163"/>
      <c r="R655" s="1357">
        <v>16500000</v>
      </c>
      <c r="S655" s="1357">
        <v>16500000</v>
      </c>
      <c r="T655" s="1357">
        <f>+Tabla16[[#This Row],[CDPS A 31 JULIO 2022]]-Tabla16[[#This Row],[CDP]]</f>
        <v>0</v>
      </c>
      <c r="U655" s="1357"/>
      <c r="V655" s="1357"/>
      <c r="W655" s="1357"/>
      <c r="X655" s="1207"/>
      <c r="Y655" s="1207"/>
      <c r="Z655" s="1207"/>
      <c r="AA655" s="1207"/>
      <c r="AB655" s="1207"/>
      <c r="AC655" s="1207"/>
      <c r="AD655" s="1207"/>
      <c r="AE655" s="1207"/>
      <c r="AF655" s="1207"/>
      <c r="AG655" s="1207"/>
      <c r="AH655" s="1207"/>
      <c r="AI655" s="1207"/>
      <c r="AJ655" s="1207"/>
      <c r="AK655" s="1207"/>
      <c r="AL655" s="1207"/>
      <c r="AM655" s="1207"/>
      <c r="AN655" s="1207"/>
      <c r="AO655" s="1207"/>
      <c r="AP655" s="1207"/>
      <c r="AQ655" s="1207"/>
      <c r="AR655" s="1207"/>
      <c r="AS655" s="1207"/>
      <c r="AT655" s="1207"/>
      <c r="AU655" s="1207"/>
      <c r="AV655" s="1207"/>
      <c r="AW655" s="1207"/>
      <c r="AX655" s="1207"/>
      <c r="AY655" s="1207"/>
      <c r="AZ655" s="1207"/>
      <c r="BA655" s="1207"/>
      <c r="BB655" s="1207"/>
      <c r="BC655" s="1207"/>
      <c r="BD655" s="1207"/>
      <c r="BE655" s="1207"/>
      <c r="BF655" s="1207"/>
      <c r="BG655" s="1207"/>
      <c r="BH655" s="1207"/>
      <c r="BI655" s="1207"/>
      <c r="BJ655" s="1207"/>
      <c r="BK655" s="1207"/>
      <c r="BL655" s="1207"/>
      <c r="BM655" s="1207"/>
      <c r="BN655" s="1207"/>
      <c r="BO655" s="1207"/>
      <c r="BP655" s="1207"/>
      <c r="BQ655" s="1207"/>
      <c r="BR655" s="1207"/>
      <c r="BS655" s="1207"/>
      <c r="BT655" s="1207"/>
      <c r="BU655" s="1207"/>
      <c r="BV655" s="1207"/>
      <c r="BW655" s="1207"/>
      <c r="BX655" s="1207"/>
      <c r="BY655" s="1207"/>
      <c r="BZ655" s="1207"/>
      <c r="CA655" s="1207"/>
      <c r="CB655" s="1207"/>
      <c r="CC655" s="1207"/>
      <c r="CD655" s="1207"/>
      <c r="CE655" s="1207"/>
      <c r="CF655" s="1207"/>
    </row>
    <row r="656" spans="1:84" ht="105" x14ac:dyDescent="0.2">
      <c r="A656" s="1355">
        <v>2022659</v>
      </c>
      <c r="B656" s="1172">
        <v>7658</v>
      </c>
      <c r="C656" s="1356" t="s">
        <v>681</v>
      </c>
      <c r="D656" s="1190" t="s">
        <v>694</v>
      </c>
      <c r="E656" s="1202">
        <v>80111600</v>
      </c>
      <c r="F656" s="1190" t="s">
        <v>1284</v>
      </c>
      <c r="G656" s="1390">
        <v>44682</v>
      </c>
      <c r="H656" s="1390">
        <v>44712</v>
      </c>
      <c r="I656" s="1176">
        <v>10</v>
      </c>
      <c r="J656" s="1176" t="s">
        <v>675</v>
      </c>
      <c r="K656" s="1177" t="s">
        <v>676</v>
      </c>
      <c r="L656" s="1178" t="s">
        <v>677</v>
      </c>
      <c r="M656" s="1179">
        <f>(4850000*2)-6305000</f>
        <v>3395000</v>
      </c>
      <c r="N656" s="1386" t="s">
        <v>770</v>
      </c>
      <c r="O656" s="1174" t="s">
        <v>769</v>
      </c>
      <c r="P656" s="1207" t="s">
        <v>750</v>
      </c>
      <c r="Q656" s="1163" t="s">
        <v>1285</v>
      </c>
      <c r="R656" s="1357">
        <v>9700000</v>
      </c>
      <c r="S656" s="1357">
        <v>9700000</v>
      </c>
      <c r="T656" s="1357">
        <f>+Tabla16[[#This Row],[CDPS A 31 JULIO 2022]]-Tabla16[[#This Row],[CDP]]</f>
        <v>0</v>
      </c>
      <c r="U656" s="1357">
        <v>9700000</v>
      </c>
      <c r="V656" s="1357"/>
      <c r="W656" s="1357"/>
      <c r="X656" s="1207"/>
      <c r="Y656" s="1207"/>
      <c r="Z656" s="1207"/>
      <c r="AA656" s="1207"/>
      <c r="AB656" s="1207"/>
      <c r="AC656" s="1207"/>
      <c r="AD656" s="1207"/>
      <c r="AE656" s="1207"/>
      <c r="AF656" s="1207"/>
      <c r="AG656" s="1207"/>
      <c r="AH656" s="1207"/>
      <c r="AI656" s="1207"/>
      <c r="AJ656" s="1207"/>
      <c r="AK656" s="1207"/>
      <c r="AL656" s="1207"/>
      <c r="AM656" s="1207"/>
      <c r="AN656" s="1207"/>
      <c r="AO656" s="1207"/>
      <c r="AP656" s="1207"/>
      <c r="AQ656" s="1207"/>
      <c r="AR656" s="1207"/>
      <c r="AS656" s="1207"/>
      <c r="AT656" s="1207"/>
      <c r="AU656" s="1207"/>
      <c r="AV656" s="1207"/>
      <c r="AW656" s="1207"/>
      <c r="AX656" s="1207"/>
      <c r="AY656" s="1207"/>
      <c r="AZ656" s="1207"/>
      <c r="BA656" s="1207"/>
      <c r="BB656" s="1207"/>
      <c r="BC656" s="1207"/>
      <c r="BD656" s="1207"/>
      <c r="BE656" s="1207"/>
      <c r="BF656" s="1207"/>
      <c r="BG656" s="1207"/>
      <c r="BH656" s="1207"/>
      <c r="BI656" s="1207"/>
      <c r="BJ656" s="1207"/>
      <c r="BK656" s="1207"/>
      <c r="BL656" s="1207"/>
      <c r="BM656" s="1207"/>
      <c r="BN656" s="1207"/>
      <c r="BO656" s="1207"/>
      <c r="BP656" s="1207"/>
      <c r="BQ656" s="1207"/>
      <c r="BR656" s="1207"/>
      <c r="BS656" s="1207"/>
      <c r="BT656" s="1207"/>
      <c r="BU656" s="1207"/>
      <c r="BV656" s="1207"/>
      <c r="BW656" s="1207"/>
      <c r="BX656" s="1207"/>
      <c r="BY656" s="1207"/>
      <c r="BZ656" s="1207"/>
      <c r="CA656" s="1207"/>
      <c r="CB656" s="1207"/>
      <c r="CC656" s="1207"/>
      <c r="CD656" s="1207"/>
      <c r="CE656" s="1207"/>
      <c r="CF656" s="1207"/>
    </row>
    <row r="657" spans="1:84" ht="30" x14ac:dyDescent="0.2">
      <c r="A657" s="1355">
        <v>2022661</v>
      </c>
      <c r="B657" s="1172" t="s">
        <v>459</v>
      </c>
      <c r="C657" s="1356"/>
      <c r="D657" s="1190" t="s">
        <v>691</v>
      </c>
      <c r="E657" s="1174" t="s">
        <v>97</v>
      </c>
      <c r="F657" s="1389" t="s">
        <v>1286</v>
      </c>
      <c r="G657" s="1390">
        <v>44722</v>
      </c>
      <c r="H657" s="1390">
        <v>44697</v>
      </c>
      <c r="I657" s="1176">
        <v>2</v>
      </c>
      <c r="J657" s="1176" t="s">
        <v>647</v>
      </c>
      <c r="K657" s="1177" t="s">
        <v>676</v>
      </c>
      <c r="L657" s="1178" t="s">
        <v>97</v>
      </c>
      <c r="M657" s="1179">
        <f>225179326+82565753+110037631+22517933+45035865+10058010</f>
        <v>495394518</v>
      </c>
      <c r="N657" s="1386"/>
      <c r="O657" s="1174"/>
      <c r="P657" s="1207" t="s">
        <v>759</v>
      </c>
      <c r="Q657" s="1207"/>
      <c r="R657" s="1357"/>
      <c r="S657" s="1357"/>
      <c r="T657" s="1357">
        <f>+Tabla16[[#This Row],[CDPS A 31 JULIO 2022]]-Tabla16[[#This Row],[CDP]]</f>
        <v>0</v>
      </c>
      <c r="U657" s="1357"/>
      <c r="V657" s="1357"/>
      <c r="W657" s="1357"/>
      <c r="X657" s="1207"/>
      <c r="Y657" s="1207"/>
      <c r="Z657" s="1207"/>
      <c r="AA657" s="1207"/>
      <c r="AB657" s="1207"/>
      <c r="AC657" s="1207"/>
      <c r="AD657" s="1207"/>
      <c r="AE657" s="1207"/>
      <c r="AF657" s="1207"/>
      <c r="AG657" s="1207"/>
      <c r="AH657" s="1207"/>
      <c r="AI657" s="1207"/>
      <c r="AJ657" s="1207"/>
      <c r="AK657" s="1207"/>
      <c r="AL657" s="1207"/>
      <c r="AM657" s="1207"/>
      <c r="AN657" s="1207"/>
      <c r="AO657" s="1207"/>
      <c r="AP657" s="1207"/>
      <c r="AQ657" s="1207"/>
      <c r="AR657" s="1207"/>
      <c r="AS657" s="1207"/>
      <c r="AT657" s="1207"/>
      <c r="AU657" s="1207"/>
      <c r="AV657" s="1207"/>
      <c r="AW657" s="1207"/>
      <c r="AX657" s="1207"/>
      <c r="AY657" s="1207"/>
      <c r="AZ657" s="1207"/>
      <c r="BA657" s="1207"/>
      <c r="BB657" s="1207"/>
      <c r="BC657" s="1207"/>
      <c r="BD657" s="1207"/>
      <c r="BE657" s="1207"/>
      <c r="BF657" s="1207"/>
      <c r="BG657" s="1207"/>
      <c r="BH657" s="1207"/>
      <c r="BI657" s="1207"/>
      <c r="BJ657" s="1207"/>
      <c r="BK657" s="1207"/>
      <c r="BL657" s="1207"/>
      <c r="BM657" s="1207"/>
      <c r="BN657" s="1207"/>
      <c r="BO657" s="1207"/>
      <c r="BP657" s="1207"/>
      <c r="BQ657" s="1207"/>
      <c r="BR657" s="1207"/>
      <c r="BS657" s="1207"/>
      <c r="BT657" s="1207"/>
      <c r="BU657" s="1207"/>
      <c r="BV657" s="1207"/>
      <c r="BW657" s="1207"/>
      <c r="BX657" s="1207"/>
      <c r="BY657" s="1207"/>
      <c r="BZ657" s="1207"/>
      <c r="CA657" s="1207"/>
      <c r="CB657" s="1207"/>
      <c r="CC657" s="1207"/>
      <c r="CD657" s="1207"/>
      <c r="CE657" s="1207"/>
      <c r="CF657" s="1207"/>
    </row>
    <row r="658" spans="1:84" ht="90" x14ac:dyDescent="0.2">
      <c r="A658" s="1355">
        <v>2022662</v>
      </c>
      <c r="B658" s="1172" t="s">
        <v>459</v>
      </c>
      <c r="C658" s="1356"/>
      <c r="D658" s="1190" t="s">
        <v>691</v>
      </c>
      <c r="E658" s="1202" t="s">
        <v>1287</v>
      </c>
      <c r="F658" s="1190" t="s">
        <v>1288</v>
      </c>
      <c r="G658" s="1387">
        <v>44774</v>
      </c>
      <c r="H658" s="1387">
        <v>44742</v>
      </c>
      <c r="I658" s="1176">
        <v>8</v>
      </c>
      <c r="J658" s="1176" t="s">
        <v>701</v>
      </c>
      <c r="K658" s="1177" t="s">
        <v>676</v>
      </c>
      <c r="L658" s="1178"/>
      <c r="M658" s="1179">
        <v>41115467</v>
      </c>
      <c r="N658" s="1386"/>
      <c r="O658" s="1174"/>
      <c r="P658" s="1207" t="s">
        <v>680</v>
      </c>
      <c r="Q658" s="1207"/>
      <c r="R658" s="1357"/>
      <c r="S658" s="1357"/>
      <c r="T658" s="1357">
        <f>+Tabla16[[#This Row],[CDPS A 31 JULIO 2022]]-Tabla16[[#This Row],[CDP]]</f>
        <v>0</v>
      </c>
      <c r="U658" s="1357"/>
      <c r="V658" s="1357"/>
      <c r="W658" s="1357"/>
      <c r="X658" s="1207"/>
      <c r="Y658" s="1207"/>
      <c r="Z658" s="1207"/>
      <c r="AA658" s="1207"/>
      <c r="AB658" s="1207"/>
      <c r="AC658" s="1207"/>
      <c r="AD658" s="1207"/>
      <c r="AE658" s="1207"/>
      <c r="AF658" s="1207"/>
      <c r="AG658" s="1207"/>
      <c r="AH658" s="1207"/>
      <c r="AI658" s="1207"/>
      <c r="AJ658" s="1207"/>
      <c r="AK658" s="1207"/>
      <c r="AL658" s="1207"/>
      <c r="AM658" s="1207"/>
      <c r="AN658" s="1207"/>
      <c r="AO658" s="1207"/>
      <c r="AP658" s="1207"/>
      <c r="AQ658" s="1207"/>
      <c r="AR658" s="1207"/>
      <c r="AS658" s="1207"/>
      <c r="AT658" s="1207"/>
      <c r="AU658" s="1207"/>
      <c r="AV658" s="1207"/>
      <c r="AW658" s="1207"/>
      <c r="AX658" s="1207"/>
      <c r="AY658" s="1207"/>
      <c r="AZ658" s="1207"/>
      <c r="BA658" s="1207"/>
      <c r="BB658" s="1207"/>
      <c r="BC658" s="1207"/>
      <c r="BD658" s="1207"/>
      <c r="BE658" s="1207"/>
      <c r="BF658" s="1207"/>
      <c r="BG658" s="1207"/>
      <c r="BH658" s="1207"/>
      <c r="BI658" s="1207"/>
      <c r="BJ658" s="1207"/>
      <c r="BK658" s="1207"/>
      <c r="BL658" s="1207"/>
      <c r="BM658" s="1207"/>
      <c r="BN658" s="1207"/>
      <c r="BO658" s="1207"/>
      <c r="BP658" s="1207"/>
      <c r="BQ658" s="1207"/>
      <c r="BR658" s="1207"/>
      <c r="BS658" s="1207"/>
      <c r="BT658" s="1207"/>
      <c r="BU658" s="1207"/>
      <c r="BV658" s="1207"/>
      <c r="BW658" s="1207"/>
      <c r="BX658" s="1207"/>
      <c r="BY658" s="1207"/>
      <c r="BZ658" s="1207"/>
      <c r="CA658" s="1207"/>
      <c r="CB658" s="1207"/>
      <c r="CC658" s="1207"/>
      <c r="CD658" s="1207"/>
      <c r="CE658" s="1207"/>
      <c r="CF658" s="1207"/>
    </row>
    <row r="659" spans="1:84" ht="135" x14ac:dyDescent="0.2">
      <c r="A659" s="1355">
        <v>2022664</v>
      </c>
      <c r="B659" s="1172">
        <v>7658</v>
      </c>
      <c r="C659" s="1356" t="s">
        <v>681</v>
      </c>
      <c r="D659" s="1190" t="s">
        <v>691</v>
      </c>
      <c r="E659" s="1202" t="s">
        <v>1291</v>
      </c>
      <c r="F659" s="1388" t="s">
        <v>1292</v>
      </c>
      <c r="G659" s="1387">
        <v>44732</v>
      </c>
      <c r="H659" s="1387">
        <v>44711</v>
      </c>
      <c r="I659" s="1176">
        <v>2</v>
      </c>
      <c r="J659" s="1176" t="s">
        <v>701</v>
      </c>
      <c r="K659" s="1177" t="s">
        <v>676</v>
      </c>
      <c r="L659" s="1178" t="s">
        <v>983</v>
      </c>
      <c r="M659" s="1179">
        <v>14000000</v>
      </c>
      <c r="N659" s="1386" t="s">
        <v>774</v>
      </c>
      <c r="O659" s="1174" t="s">
        <v>773</v>
      </c>
      <c r="P659" s="1163" t="s">
        <v>680</v>
      </c>
      <c r="Q659" s="1207"/>
      <c r="R659" s="1357">
        <v>14000000</v>
      </c>
      <c r="S659" s="1357">
        <v>14000000</v>
      </c>
      <c r="T659" s="1357">
        <f>+Tabla16[[#This Row],[CDPS A 31 JULIO 2022]]-Tabla16[[#This Row],[CDP]]</f>
        <v>0</v>
      </c>
      <c r="U659" s="1357"/>
      <c r="V659" s="1357"/>
      <c r="W659" s="1357"/>
      <c r="X659" s="1207"/>
      <c r="Y659" s="1207"/>
      <c r="Z659" s="1207"/>
      <c r="AA659" s="1207"/>
      <c r="AB659" s="1207"/>
      <c r="AC659" s="1207"/>
      <c r="AD659" s="1207"/>
      <c r="AE659" s="1207"/>
      <c r="AF659" s="1207"/>
      <c r="AG659" s="1207"/>
      <c r="AH659" s="1207"/>
      <c r="AI659" s="1207"/>
      <c r="AJ659" s="1207"/>
      <c r="AK659" s="1207"/>
      <c r="AL659" s="1207"/>
      <c r="AM659" s="1207"/>
      <c r="AN659" s="1207"/>
      <c r="AO659" s="1207"/>
      <c r="AP659" s="1207"/>
      <c r="AQ659" s="1207"/>
      <c r="AR659" s="1207"/>
      <c r="AS659" s="1207"/>
      <c r="AT659" s="1207"/>
      <c r="AU659" s="1207"/>
      <c r="AV659" s="1207"/>
      <c r="AW659" s="1207"/>
      <c r="AX659" s="1207"/>
      <c r="AY659" s="1207"/>
      <c r="AZ659" s="1207"/>
      <c r="BA659" s="1207"/>
      <c r="BB659" s="1207"/>
      <c r="BC659" s="1207"/>
      <c r="BD659" s="1207"/>
      <c r="BE659" s="1207"/>
      <c r="BF659" s="1207"/>
      <c r="BG659" s="1207"/>
      <c r="BH659" s="1207"/>
      <c r="BI659" s="1207"/>
      <c r="BJ659" s="1207"/>
      <c r="BK659" s="1207"/>
      <c r="BL659" s="1207"/>
      <c r="BM659" s="1207"/>
      <c r="BN659" s="1207"/>
      <c r="BO659" s="1207"/>
      <c r="BP659" s="1207"/>
      <c r="BQ659" s="1207"/>
      <c r="BR659" s="1207"/>
      <c r="BS659" s="1207"/>
      <c r="BT659" s="1207"/>
      <c r="BU659" s="1207"/>
      <c r="BV659" s="1207"/>
      <c r="BW659" s="1207"/>
      <c r="BX659" s="1207"/>
      <c r="BY659" s="1207"/>
      <c r="BZ659" s="1207"/>
      <c r="CA659" s="1207"/>
      <c r="CB659" s="1207"/>
      <c r="CC659" s="1207"/>
      <c r="CD659" s="1207"/>
      <c r="CE659" s="1207"/>
      <c r="CF659" s="1207"/>
    </row>
    <row r="660" spans="1:84" ht="105" x14ac:dyDescent="0.2">
      <c r="A660" s="1355">
        <v>2022665</v>
      </c>
      <c r="B660" s="1172">
        <v>7658</v>
      </c>
      <c r="C660" s="1356" t="s">
        <v>681</v>
      </c>
      <c r="D660" s="1190" t="s">
        <v>694</v>
      </c>
      <c r="E660" s="1202" t="s">
        <v>1293</v>
      </c>
      <c r="F660" s="1190" t="s">
        <v>1294</v>
      </c>
      <c r="G660" s="1387">
        <v>44748</v>
      </c>
      <c r="H660" s="1387">
        <v>44774</v>
      </c>
      <c r="I660" s="1176">
        <v>1</v>
      </c>
      <c r="J660" s="1176" t="s">
        <v>701</v>
      </c>
      <c r="K660" s="1177" t="s">
        <v>676</v>
      </c>
      <c r="L660" s="1178" t="s">
        <v>677</v>
      </c>
      <c r="M660" s="1179">
        <f>45000000-2280785</f>
        <v>42719215</v>
      </c>
      <c r="N660" s="1402" t="s">
        <v>770</v>
      </c>
      <c r="O660" s="1202" t="s">
        <v>769</v>
      </c>
      <c r="P660" s="1163" t="s">
        <v>680</v>
      </c>
      <c r="Q660" s="1207"/>
      <c r="R660" s="1357">
        <v>42719215</v>
      </c>
      <c r="S660" s="1357">
        <v>45000000</v>
      </c>
      <c r="T660" s="1357">
        <f>+Tabla16[[#This Row],[CDPS A 31 JULIO 2022]]-Tabla16[[#This Row],[CDP]]</f>
        <v>-2280785</v>
      </c>
      <c r="U660" s="1357"/>
      <c r="V660" s="1357"/>
      <c r="W660" s="1357"/>
      <c r="X660" s="1207"/>
      <c r="Y660" s="1207"/>
      <c r="Z660" s="1207"/>
      <c r="AA660" s="1207"/>
      <c r="AB660" s="1207"/>
      <c r="AC660" s="1207"/>
      <c r="AD660" s="1207"/>
      <c r="AE660" s="1207"/>
      <c r="AF660" s="1207"/>
      <c r="AG660" s="1207"/>
      <c r="AH660" s="1207"/>
      <c r="AI660" s="1207"/>
      <c r="AJ660" s="1207"/>
      <c r="AK660" s="1207"/>
      <c r="AL660" s="1207"/>
      <c r="AM660" s="1207"/>
      <c r="AN660" s="1207"/>
      <c r="AO660" s="1207"/>
      <c r="AP660" s="1207"/>
      <c r="AQ660" s="1207"/>
      <c r="AR660" s="1207"/>
      <c r="AS660" s="1207"/>
      <c r="AT660" s="1207"/>
      <c r="AU660" s="1207"/>
      <c r="AV660" s="1207"/>
      <c r="AW660" s="1207"/>
      <c r="AX660" s="1207"/>
      <c r="AY660" s="1207"/>
      <c r="AZ660" s="1207"/>
      <c r="BA660" s="1207"/>
      <c r="BB660" s="1207"/>
      <c r="BC660" s="1207"/>
      <c r="BD660" s="1207"/>
      <c r="BE660" s="1207"/>
      <c r="BF660" s="1207"/>
      <c r="BG660" s="1207"/>
      <c r="BH660" s="1207"/>
      <c r="BI660" s="1207"/>
      <c r="BJ660" s="1207"/>
      <c r="BK660" s="1207"/>
      <c r="BL660" s="1207"/>
      <c r="BM660" s="1207"/>
      <c r="BN660" s="1207"/>
      <c r="BO660" s="1207"/>
      <c r="BP660" s="1207"/>
      <c r="BQ660" s="1207"/>
      <c r="BR660" s="1207"/>
      <c r="BS660" s="1207"/>
      <c r="BT660" s="1207"/>
      <c r="BU660" s="1207"/>
      <c r="BV660" s="1207"/>
      <c r="BW660" s="1207"/>
      <c r="BX660" s="1207"/>
      <c r="BY660" s="1207"/>
      <c r="BZ660" s="1207"/>
      <c r="CA660" s="1207"/>
      <c r="CB660" s="1207"/>
      <c r="CC660" s="1207"/>
      <c r="CD660" s="1207"/>
      <c r="CE660" s="1207"/>
      <c r="CF660" s="1207"/>
    </row>
    <row r="661" spans="1:84" ht="135" x14ac:dyDescent="0.2">
      <c r="A661" s="1355">
        <v>2022666</v>
      </c>
      <c r="B661" s="1172">
        <v>7658</v>
      </c>
      <c r="C661" s="1356" t="s">
        <v>681</v>
      </c>
      <c r="D661" s="1190" t="s">
        <v>700</v>
      </c>
      <c r="E661" s="1174">
        <v>50192700</v>
      </c>
      <c r="F661" s="1389" t="s">
        <v>1295</v>
      </c>
      <c r="G661" s="1390">
        <v>44722</v>
      </c>
      <c r="H661" s="1390">
        <v>44722</v>
      </c>
      <c r="I661" s="1176">
        <v>3</v>
      </c>
      <c r="J661" s="1176" t="s">
        <v>701</v>
      </c>
      <c r="K661" s="1177" t="s">
        <v>676</v>
      </c>
      <c r="L661" s="1178" t="s">
        <v>1113</v>
      </c>
      <c r="M661" s="1179">
        <v>10000000</v>
      </c>
      <c r="N661" s="1386" t="s">
        <v>781</v>
      </c>
      <c r="O661" s="1174" t="s">
        <v>773</v>
      </c>
      <c r="P661" s="1163" t="s">
        <v>680</v>
      </c>
      <c r="Q661" s="1207"/>
      <c r="R661" s="1357">
        <v>10000000</v>
      </c>
      <c r="S661" s="1357">
        <v>10000000</v>
      </c>
      <c r="T661" s="1357">
        <f>+Tabla16[[#This Row],[CDPS A 31 JULIO 2022]]-Tabla16[[#This Row],[CDP]]</f>
        <v>0</v>
      </c>
      <c r="U661" s="1357"/>
      <c r="V661" s="1357"/>
      <c r="W661" s="1357"/>
      <c r="X661" s="1207"/>
      <c r="Y661" s="1207"/>
      <c r="Z661" s="1207"/>
      <c r="AA661" s="1207"/>
      <c r="AB661" s="1207"/>
      <c r="AC661" s="1207"/>
      <c r="AD661" s="1207"/>
      <c r="AE661" s="1207"/>
      <c r="AF661" s="1207"/>
      <c r="AG661" s="1207"/>
      <c r="AH661" s="1207"/>
      <c r="AI661" s="1207"/>
      <c r="AJ661" s="1207"/>
      <c r="AK661" s="1207"/>
      <c r="AL661" s="1207"/>
      <c r="AM661" s="1207"/>
      <c r="AN661" s="1207"/>
      <c r="AO661" s="1207"/>
      <c r="AP661" s="1207"/>
      <c r="AQ661" s="1207"/>
      <c r="AR661" s="1207"/>
      <c r="AS661" s="1207"/>
      <c r="AT661" s="1207"/>
      <c r="AU661" s="1207"/>
      <c r="AV661" s="1207"/>
      <c r="AW661" s="1207"/>
      <c r="AX661" s="1207"/>
      <c r="AY661" s="1207"/>
      <c r="AZ661" s="1207"/>
      <c r="BA661" s="1207"/>
      <c r="BB661" s="1207"/>
      <c r="BC661" s="1207"/>
      <c r="BD661" s="1207"/>
      <c r="BE661" s="1207"/>
      <c r="BF661" s="1207"/>
      <c r="BG661" s="1207"/>
      <c r="BH661" s="1207"/>
      <c r="BI661" s="1207"/>
      <c r="BJ661" s="1207"/>
      <c r="BK661" s="1207"/>
      <c r="BL661" s="1207"/>
      <c r="BM661" s="1207"/>
      <c r="BN661" s="1207"/>
      <c r="BO661" s="1207"/>
      <c r="BP661" s="1207"/>
      <c r="BQ661" s="1207"/>
      <c r="BR661" s="1207"/>
      <c r="BS661" s="1207"/>
      <c r="BT661" s="1207"/>
      <c r="BU661" s="1207"/>
      <c r="BV661" s="1207"/>
      <c r="BW661" s="1207"/>
      <c r="BX661" s="1207"/>
      <c r="BY661" s="1207"/>
      <c r="BZ661" s="1207"/>
      <c r="CA661" s="1207"/>
      <c r="CB661" s="1207"/>
      <c r="CC661" s="1207"/>
      <c r="CD661" s="1207"/>
      <c r="CE661" s="1207"/>
      <c r="CF661" s="1207"/>
    </row>
    <row r="662" spans="1:84" ht="135" x14ac:dyDescent="0.2">
      <c r="A662" s="1355">
        <v>2022667</v>
      </c>
      <c r="B662" s="1172">
        <v>7658</v>
      </c>
      <c r="C662" s="1356" t="s">
        <v>681</v>
      </c>
      <c r="D662" s="1190" t="s">
        <v>700</v>
      </c>
      <c r="E662" s="1174">
        <v>80111600</v>
      </c>
      <c r="F662" s="1389" t="s">
        <v>1296</v>
      </c>
      <c r="G662" s="1390">
        <v>44743</v>
      </c>
      <c r="H662" s="1390">
        <v>44757</v>
      </c>
      <c r="I662" s="1176">
        <v>6</v>
      </c>
      <c r="J662" s="1176" t="s">
        <v>675</v>
      </c>
      <c r="K662" s="1177" t="s">
        <v>676</v>
      </c>
      <c r="L662" s="1178" t="s">
        <v>677</v>
      </c>
      <c r="M662" s="1179">
        <v>15400000</v>
      </c>
      <c r="N662" s="1386" t="s">
        <v>786</v>
      </c>
      <c r="O662" s="1174" t="s">
        <v>773</v>
      </c>
      <c r="P662" s="1163" t="s">
        <v>680</v>
      </c>
      <c r="Q662" s="1207"/>
      <c r="R662" s="1357">
        <v>15400000</v>
      </c>
      <c r="S662" s="1357"/>
      <c r="T662" s="1357">
        <f>+Tabla16[[#This Row],[CDPS A 31 JULIO 2022]]-Tabla16[[#This Row],[CDP]]</f>
        <v>15400000</v>
      </c>
      <c r="U662" s="1357"/>
      <c r="V662" s="1357"/>
      <c r="W662" s="1357"/>
      <c r="X662" s="1207"/>
      <c r="Y662" s="1207"/>
      <c r="Z662" s="1207"/>
      <c r="AA662" s="1207"/>
      <c r="AB662" s="1207"/>
      <c r="AC662" s="1207"/>
      <c r="AD662" s="1207"/>
      <c r="AE662" s="1207"/>
      <c r="AF662" s="1207"/>
      <c r="AG662" s="1207"/>
      <c r="AH662" s="1207"/>
      <c r="AI662" s="1207"/>
      <c r="AJ662" s="1207"/>
      <c r="AK662" s="1207"/>
      <c r="AL662" s="1207"/>
      <c r="AM662" s="1207"/>
      <c r="AN662" s="1207"/>
      <c r="AO662" s="1207"/>
      <c r="AP662" s="1207"/>
      <c r="AQ662" s="1207"/>
      <c r="AR662" s="1207"/>
      <c r="AS662" s="1207"/>
      <c r="AT662" s="1207"/>
      <c r="AU662" s="1207"/>
      <c r="AV662" s="1207"/>
      <c r="AW662" s="1207"/>
      <c r="AX662" s="1207"/>
      <c r="AY662" s="1207"/>
      <c r="AZ662" s="1207"/>
      <c r="BA662" s="1207"/>
      <c r="BB662" s="1207"/>
      <c r="BC662" s="1207"/>
      <c r="BD662" s="1207"/>
      <c r="BE662" s="1207"/>
      <c r="BF662" s="1207"/>
      <c r="BG662" s="1207"/>
      <c r="BH662" s="1207"/>
      <c r="BI662" s="1207"/>
      <c r="BJ662" s="1207"/>
      <c r="BK662" s="1207"/>
      <c r="BL662" s="1207"/>
      <c r="BM662" s="1207"/>
      <c r="BN662" s="1207"/>
      <c r="BO662" s="1207"/>
      <c r="BP662" s="1207"/>
      <c r="BQ662" s="1207"/>
      <c r="BR662" s="1207"/>
      <c r="BS662" s="1207"/>
      <c r="BT662" s="1207"/>
      <c r="BU662" s="1207"/>
      <c r="BV662" s="1207"/>
      <c r="BW662" s="1207"/>
      <c r="BX662" s="1207"/>
      <c r="BY662" s="1207"/>
      <c r="BZ662" s="1207"/>
      <c r="CA662" s="1207"/>
      <c r="CB662" s="1207"/>
      <c r="CC662" s="1207"/>
      <c r="CD662" s="1207"/>
      <c r="CE662" s="1207"/>
      <c r="CF662" s="1207"/>
    </row>
    <row r="663" spans="1:84" ht="105" x14ac:dyDescent="0.2">
      <c r="A663" s="1355">
        <v>2022668</v>
      </c>
      <c r="B663" s="1172">
        <v>7637</v>
      </c>
      <c r="C663" s="1356" t="s">
        <v>645</v>
      </c>
      <c r="D663" s="1190" t="s">
        <v>673</v>
      </c>
      <c r="E663" s="1202">
        <v>81112401</v>
      </c>
      <c r="F663" s="1202" t="s">
        <v>1268</v>
      </c>
      <c r="G663" s="1387">
        <v>44713</v>
      </c>
      <c r="H663" s="1387">
        <v>44727</v>
      </c>
      <c r="I663" s="1176">
        <v>1</v>
      </c>
      <c r="J663" s="1176" t="s">
        <v>722</v>
      </c>
      <c r="K663" s="1177" t="s">
        <v>676</v>
      </c>
      <c r="L663" s="1178" t="s">
        <v>731</v>
      </c>
      <c r="M663" s="1179">
        <v>13361620</v>
      </c>
      <c r="N663" s="1189" t="s">
        <v>678</v>
      </c>
      <c r="O663" s="1174" t="s">
        <v>679</v>
      </c>
      <c r="P663" s="1163" t="s">
        <v>750</v>
      </c>
      <c r="Q663" s="1207"/>
      <c r="R663" s="1269">
        <v>13361620</v>
      </c>
      <c r="S663" s="1357">
        <v>13361620</v>
      </c>
      <c r="T663" s="1357">
        <f>+Tabla16[[#This Row],[CDPS A 31 JULIO 2022]]-Tabla16[[#This Row],[CDP]]</f>
        <v>0</v>
      </c>
      <c r="U663" s="1357"/>
      <c r="V663" s="1357"/>
      <c r="W663" s="1357"/>
      <c r="X663" s="1207"/>
      <c r="Y663" s="1207"/>
      <c r="Z663" s="1207"/>
      <c r="AA663" s="1207"/>
      <c r="AB663" s="1207"/>
      <c r="AC663" s="1207"/>
      <c r="AD663" s="1207"/>
      <c r="AE663" s="1207"/>
      <c r="AF663" s="1207"/>
      <c r="AG663" s="1207"/>
      <c r="AH663" s="1207"/>
      <c r="AI663" s="1207"/>
      <c r="AJ663" s="1207"/>
      <c r="AK663" s="1207"/>
      <c r="AL663" s="1207"/>
      <c r="AM663" s="1207"/>
      <c r="AN663" s="1207"/>
      <c r="AO663" s="1207"/>
      <c r="AP663" s="1207"/>
      <c r="AQ663" s="1207"/>
      <c r="AR663" s="1207"/>
      <c r="AS663" s="1207"/>
      <c r="AT663" s="1207"/>
      <c r="AU663" s="1207"/>
      <c r="AV663" s="1207"/>
      <c r="AW663" s="1207"/>
      <c r="AX663" s="1207"/>
      <c r="AY663" s="1207"/>
      <c r="AZ663" s="1207"/>
      <c r="BA663" s="1207"/>
      <c r="BB663" s="1207"/>
      <c r="BC663" s="1207"/>
      <c r="BD663" s="1207"/>
      <c r="BE663" s="1207"/>
      <c r="BF663" s="1207"/>
      <c r="BG663" s="1207"/>
      <c r="BH663" s="1207"/>
      <c r="BI663" s="1207"/>
      <c r="BJ663" s="1207"/>
      <c r="BK663" s="1207"/>
      <c r="BL663" s="1207"/>
      <c r="BM663" s="1207"/>
      <c r="BN663" s="1207"/>
      <c r="BO663" s="1207"/>
      <c r="BP663" s="1207"/>
      <c r="BQ663" s="1207"/>
      <c r="BR663" s="1207"/>
      <c r="BS663" s="1207"/>
      <c r="BT663" s="1207"/>
      <c r="BU663" s="1207"/>
      <c r="BV663" s="1207"/>
      <c r="BW663" s="1207"/>
      <c r="BX663" s="1207"/>
      <c r="BY663" s="1207"/>
      <c r="BZ663" s="1207"/>
      <c r="CA663" s="1207"/>
      <c r="CB663" s="1207"/>
      <c r="CC663" s="1207"/>
      <c r="CD663" s="1207"/>
      <c r="CE663" s="1207"/>
      <c r="CF663" s="1207"/>
    </row>
    <row r="664" spans="1:84" ht="105" x14ac:dyDescent="0.2">
      <c r="A664" s="1355">
        <v>2022669</v>
      </c>
      <c r="B664" s="1172">
        <v>7637</v>
      </c>
      <c r="C664" s="1356" t="s">
        <v>645</v>
      </c>
      <c r="D664" s="1190" t="s">
        <v>673</v>
      </c>
      <c r="E664" s="1174">
        <v>81112401</v>
      </c>
      <c r="F664" s="1389" t="s">
        <v>1297</v>
      </c>
      <c r="G664" s="1390">
        <v>44713</v>
      </c>
      <c r="H664" s="1390">
        <v>44727</v>
      </c>
      <c r="I664" s="1176">
        <v>1</v>
      </c>
      <c r="J664" s="1176" t="s">
        <v>722</v>
      </c>
      <c r="K664" s="1177" t="s">
        <v>676</v>
      </c>
      <c r="L664" s="1178" t="s">
        <v>731</v>
      </c>
      <c r="M664" s="1179">
        <v>945888</v>
      </c>
      <c r="N664" s="1189" t="s">
        <v>678</v>
      </c>
      <c r="O664" s="1174" t="s">
        <v>679</v>
      </c>
      <c r="P664" s="1221" t="s">
        <v>750</v>
      </c>
      <c r="Q664" s="1207"/>
      <c r="R664" s="1269">
        <v>945888</v>
      </c>
      <c r="S664" s="1357">
        <v>945888</v>
      </c>
      <c r="T664" s="1357">
        <f>+Tabla16[[#This Row],[CDPS A 31 JULIO 2022]]-Tabla16[[#This Row],[CDP]]</f>
        <v>0</v>
      </c>
      <c r="U664" s="1357"/>
      <c r="V664" s="1357"/>
      <c r="W664" s="1357"/>
      <c r="X664" s="1207"/>
      <c r="Y664" s="1207"/>
      <c r="Z664" s="1207"/>
      <c r="AA664" s="1207"/>
      <c r="AB664" s="1207"/>
      <c r="AC664" s="1207"/>
      <c r="AD664" s="1207"/>
      <c r="AE664" s="1207"/>
      <c r="AF664" s="1207"/>
      <c r="AG664" s="1207"/>
      <c r="AH664" s="1207"/>
      <c r="AI664" s="1207"/>
      <c r="AJ664" s="1207"/>
      <c r="AK664" s="1207"/>
      <c r="AL664" s="1207"/>
      <c r="AM664" s="1207"/>
      <c r="AN664" s="1207"/>
      <c r="AO664" s="1207"/>
      <c r="AP664" s="1207"/>
      <c r="AQ664" s="1207"/>
      <c r="AR664" s="1207"/>
      <c r="AS664" s="1207"/>
      <c r="AT664" s="1207"/>
      <c r="AU664" s="1207"/>
      <c r="AV664" s="1207"/>
      <c r="AW664" s="1207"/>
      <c r="AX664" s="1207"/>
      <c r="AY664" s="1207"/>
      <c r="AZ664" s="1207"/>
      <c r="BA664" s="1207"/>
      <c r="BB664" s="1207"/>
      <c r="BC664" s="1207"/>
      <c r="BD664" s="1207"/>
      <c r="BE664" s="1207"/>
      <c r="BF664" s="1207"/>
      <c r="BG664" s="1207"/>
      <c r="BH664" s="1207"/>
      <c r="BI664" s="1207"/>
      <c r="BJ664" s="1207"/>
      <c r="BK664" s="1207"/>
      <c r="BL664" s="1207"/>
      <c r="BM664" s="1207"/>
      <c r="BN664" s="1207"/>
      <c r="BO664" s="1207"/>
      <c r="BP664" s="1207"/>
      <c r="BQ664" s="1207"/>
      <c r="BR664" s="1207"/>
      <c r="BS664" s="1207"/>
      <c r="BT664" s="1207"/>
      <c r="BU664" s="1207"/>
      <c r="BV664" s="1207"/>
      <c r="BW664" s="1207"/>
      <c r="BX664" s="1207"/>
      <c r="BY664" s="1207"/>
      <c r="BZ664" s="1207"/>
      <c r="CA664" s="1207"/>
      <c r="CB664" s="1207"/>
      <c r="CC664" s="1207"/>
      <c r="CD664" s="1207"/>
      <c r="CE664" s="1207"/>
      <c r="CF664" s="1207"/>
    </row>
    <row r="665" spans="1:84" ht="105" x14ac:dyDescent="0.2">
      <c r="A665" s="1355">
        <v>2022670</v>
      </c>
      <c r="B665" s="1172">
        <v>7637</v>
      </c>
      <c r="C665" s="1356" t="s">
        <v>645</v>
      </c>
      <c r="D665" s="1173" t="s">
        <v>673</v>
      </c>
      <c r="E665" s="1174" t="s">
        <v>1298</v>
      </c>
      <c r="F665" s="1389" t="s">
        <v>1299</v>
      </c>
      <c r="G665" s="1390">
        <v>44774</v>
      </c>
      <c r="H665" s="1390">
        <v>44804</v>
      </c>
      <c r="I665" s="1176">
        <v>4</v>
      </c>
      <c r="J665" s="1176" t="s">
        <v>675</v>
      </c>
      <c r="K665" s="1177" t="s">
        <v>676</v>
      </c>
      <c r="L665" s="1178" t="s">
        <v>731</v>
      </c>
      <c r="M665" s="1179">
        <f>1281233+848867</f>
        <v>2130100</v>
      </c>
      <c r="N665" s="1189" t="s">
        <v>678</v>
      </c>
      <c r="O665" s="1174" t="s">
        <v>679</v>
      </c>
      <c r="P665" s="1221" t="s">
        <v>759</v>
      </c>
      <c r="Q665" s="1207"/>
      <c r="R665" s="1269">
        <v>2130100</v>
      </c>
      <c r="S665" s="1357">
        <v>1281233</v>
      </c>
      <c r="T665" s="1357">
        <f>+Tabla16[[#This Row],[CDPS A 31 JULIO 2022]]-Tabla16[[#This Row],[CDP]]</f>
        <v>848867</v>
      </c>
      <c r="U665" s="1357"/>
      <c r="V665" s="1357"/>
      <c r="W665" s="1357"/>
      <c r="X665" s="1207"/>
      <c r="Y665" s="1207"/>
      <c r="Z665" s="1207"/>
      <c r="AA665" s="1207"/>
      <c r="AB665" s="1207"/>
      <c r="AC665" s="1207"/>
      <c r="AD665" s="1207"/>
      <c r="AE665" s="1207"/>
      <c r="AF665" s="1207"/>
      <c r="AG665" s="1207"/>
      <c r="AH665" s="1207"/>
      <c r="AI665" s="1207"/>
      <c r="AJ665" s="1207"/>
      <c r="AK665" s="1207"/>
      <c r="AL665" s="1207"/>
      <c r="AM665" s="1207"/>
      <c r="AN665" s="1207"/>
      <c r="AO665" s="1207"/>
      <c r="AP665" s="1207"/>
      <c r="AQ665" s="1207"/>
      <c r="AR665" s="1207"/>
      <c r="AS665" s="1207"/>
      <c r="AT665" s="1207"/>
      <c r="AU665" s="1207"/>
      <c r="AV665" s="1207"/>
      <c r="AW665" s="1207"/>
      <c r="AX665" s="1207"/>
      <c r="AY665" s="1207"/>
      <c r="AZ665" s="1207"/>
      <c r="BA665" s="1207"/>
      <c r="BB665" s="1207"/>
      <c r="BC665" s="1207"/>
      <c r="BD665" s="1207"/>
      <c r="BE665" s="1207"/>
      <c r="BF665" s="1207"/>
      <c r="BG665" s="1207"/>
      <c r="BH665" s="1207"/>
      <c r="BI665" s="1207"/>
      <c r="BJ665" s="1207"/>
      <c r="BK665" s="1207"/>
      <c r="BL665" s="1207"/>
      <c r="BM665" s="1207"/>
      <c r="BN665" s="1207"/>
      <c r="BO665" s="1207"/>
      <c r="BP665" s="1207"/>
      <c r="BQ665" s="1207"/>
      <c r="BR665" s="1207"/>
      <c r="BS665" s="1207"/>
      <c r="BT665" s="1207"/>
      <c r="BU665" s="1207"/>
      <c r="BV665" s="1207"/>
      <c r="BW665" s="1207"/>
      <c r="BX665" s="1207"/>
      <c r="BY665" s="1207"/>
      <c r="BZ665" s="1207"/>
      <c r="CA665" s="1207"/>
      <c r="CB665" s="1207"/>
      <c r="CC665" s="1207"/>
      <c r="CD665" s="1207"/>
      <c r="CE665" s="1207"/>
      <c r="CF665" s="1207"/>
    </row>
    <row r="666" spans="1:84" ht="105" x14ac:dyDescent="0.2">
      <c r="A666" s="1355">
        <v>2022671</v>
      </c>
      <c r="B666" s="1172">
        <v>7637</v>
      </c>
      <c r="C666" s="1356" t="s">
        <v>645</v>
      </c>
      <c r="D666" s="1173" t="s">
        <v>673</v>
      </c>
      <c r="E666" s="1202">
        <v>40101701</v>
      </c>
      <c r="F666" s="1202" t="s">
        <v>1300</v>
      </c>
      <c r="G666" s="1387">
        <v>44727</v>
      </c>
      <c r="H666" s="1387">
        <v>44757</v>
      </c>
      <c r="I666" s="1176">
        <v>2</v>
      </c>
      <c r="J666" s="1176" t="s">
        <v>722</v>
      </c>
      <c r="K666" s="1177" t="s">
        <v>676</v>
      </c>
      <c r="L666" s="1268" t="s">
        <v>731</v>
      </c>
      <c r="M666" s="1179">
        <v>5000000</v>
      </c>
      <c r="N666" s="1189" t="s">
        <v>678</v>
      </c>
      <c r="O666" s="1174" t="s">
        <v>679</v>
      </c>
      <c r="P666" s="1221" t="s">
        <v>680</v>
      </c>
      <c r="Q666" s="1207"/>
      <c r="R666" s="1269">
        <v>5000000</v>
      </c>
      <c r="S666" s="1357">
        <v>5000000</v>
      </c>
      <c r="T666" s="1357">
        <f>+Tabla16[[#This Row],[CDPS A 31 JULIO 2022]]-Tabla16[[#This Row],[CDP]]</f>
        <v>0</v>
      </c>
      <c r="U666" s="1357"/>
      <c r="V666" s="1357"/>
      <c r="W666" s="1357"/>
      <c r="X666" s="1207"/>
      <c r="Y666" s="1207"/>
      <c r="Z666" s="1207"/>
      <c r="AA666" s="1207"/>
      <c r="AB666" s="1207"/>
      <c r="AC666" s="1207"/>
      <c r="AD666" s="1207"/>
      <c r="AE666" s="1207"/>
      <c r="AF666" s="1207"/>
      <c r="AG666" s="1207"/>
      <c r="AH666" s="1207"/>
      <c r="AI666" s="1207"/>
      <c r="AJ666" s="1207"/>
      <c r="AK666" s="1207"/>
      <c r="AL666" s="1207"/>
      <c r="AM666" s="1207"/>
      <c r="AN666" s="1207"/>
      <c r="AO666" s="1207"/>
      <c r="AP666" s="1207"/>
      <c r="AQ666" s="1207"/>
      <c r="AR666" s="1207"/>
      <c r="AS666" s="1207"/>
      <c r="AT666" s="1207"/>
      <c r="AU666" s="1207"/>
      <c r="AV666" s="1207"/>
      <c r="AW666" s="1207"/>
      <c r="AX666" s="1207"/>
      <c r="AY666" s="1207"/>
      <c r="AZ666" s="1207"/>
      <c r="BA666" s="1207"/>
      <c r="BB666" s="1207"/>
      <c r="BC666" s="1207"/>
      <c r="BD666" s="1207"/>
      <c r="BE666" s="1207"/>
      <c r="BF666" s="1207"/>
      <c r="BG666" s="1207"/>
      <c r="BH666" s="1207"/>
      <c r="BI666" s="1207"/>
      <c r="BJ666" s="1207"/>
      <c r="BK666" s="1207"/>
      <c r="BL666" s="1207"/>
      <c r="BM666" s="1207"/>
      <c r="BN666" s="1207"/>
      <c r="BO666" s="1207"/>
      <c r="BP666" s="1207"/>
      <c r="BQ666" s="1207"/>
      <c r="BR666" s="1207"/>
      <c r="BS666" s="1207"/>
      <c r="BT666" s="1207"/>
      <c r="BU666" s="1207"/>
      <c r="BV666" s="1207"/>
      <c r="BW666" s="1207"/>
      <c r="BX666" s="1207"/>
      <c r="BY666" s="1207"/>
      <c r="BZ666" s="1207"/>
      <c r="CA666" s="1207"/>
      <c r="CB666" s="1207"/>
      <c r="CC666" s="1207"/>
      <c r="CD666" s="1207"/>
      <c r="CE666" s="1207"/>
      <c r="CF666" s="1207"/>
    </row>
    <row r="667" spans="1:84" ht="105" x14ac:dyDescent="0.2">
      <c r="A667" s="1355">
        <v>2022672</v>
      </c>
      <c r="B667" s="1172">
        <v>7658</v>
      </c>
      <c r="C667" s="1356" t="s">
        <v>681</v>
      </c>
      <c r="D667" s="1190" t="s">
        <v>694</v>
      </c>
      <c r="E667" s="1202">
        <v>80111600</v>
      </c>
      <c r="F667" s="1190" t="s">
        <v>1301</v>
      </c>
      <c r="G667" s="1387">
        <v>44743</v>
      </c>
      <c r="H667" s="1387">
        <v>44926</v>
      </c>
      <c r="I667" s="1176">
        <v>5</v>
      </c>
      <c r="J667" s="1176" t="s">
        <v>675</v>
      </c>
      <c r="K667" s="1177" t="s">
        <v>676</v>
      </c>
      <c r="L667" s="1178" t="s">
        <v>677</v>
      </c>
      <c r="M667" s="1179">
        <f>8000000*5</f>
        <v>40000000</v>
      </c>
      <c r="N667" s="1402" t="s">
        <v>770</v>
      </c>
      <c r="O667" s="1202" t="s">
        <v>769</v>
      </c>
      <c r="P667" s="1163" t="s">
        <v>680</v>
      </c>
      <c r="Q667" s="1207" t="s">
        <v>1302</v>
      </c>
      <c r="R667" s="1357">
        <v>40000000</v>
      </c>
      <c r="S667" s="1357"/>
      <c r="T667" s="1357">
        <f>+Tabla16[[#This Row],[CDPS A 31 JULIO 2022]]-Tabla16[[#This Row],[CDP]]</f>
        <v>40000000</v>
      </c>
      <c r="U667" s="1357"/>
      <c r="V667" s="1357"/>
      <c r="W667" s="1357"/>
      <c r="X667" s="1207"/>
      <c r="Y667" s="1207"/>
      <c r="Z667" s="1207"/>
      <c r="AA667" s="1207"/>
      <c r="AB667" s="1207"/>
      <c r="AC667" s="1207"/>
      <c r="AD667" s="1207"/>
      <c r="AE667" s="1207"/>
      <c r="AF667" s="1207"/>
      <c r="AG667" s="1207"/>
      <c r="AH667" s="1207"/>
      <c r="AI667" s="1207"/>
      <c r="AJ667" s="1207"/>
      <c r="AK667" s="1207"/>
      <c r="AL667" s="1207"/>
      <c r="AM667" s="1207"/>
      <c r="AN667" s="1207"/>
      <c r="AO667" s="1207"/>
      <c r="AP667" s="1207"/>
      <c r="AQ667" s="1207"/>
      <c r="AR667" s="1207"/>
      <c r="AS667" s="1207"/>
      <c r="AT667" s="1207"/>
      <c r="AU667" s="1207"/>
      <c r="AV667" s="1207"/>
      <c r="AW667" s="1207"/>
      <c r="AX667" s="1207"/>
      <c r="AY667" s="1207"/>
      <c r="AZ667" s="1207"/>
      <c r="BA667" s="1207"/>
      <c r="BB667" s="1207"/>
      <c r="BC667" s="1207"/>
      <c r="BD667" s="1207"/>
      <c r="BE667" s="1207"/>
      <c r="BF667" s="1207"/>
      <c r="BG667" s="1207"/>
      <c r="BH667" s="1207"/>
      <c r="BI667" s="1207"/>
      <c r="BJ667" s="1207"/>
      <c r="BK667" s="1207"/>
      <c r="BL667" s="1207"/>
      <c r="BM667" s="1207"/>
      <c r="BN667" s="1207"/>
      <c r="BO667" s="1207"/>
      <c r="BP667" s="1207"/>
      <c r="BQ667" s="1207"/>
      <c r="BR667" s="1207"/>
      <c r="BS667" s="1207"/>
      <c r="BT667" s="1207"/>
      <c r="BU667" s="1207"/>
      <c r="BV667" s="1207"/>
      <c r="BW667" s="1207"/>
      <c r="BX667" s="1207"/>
      <c r="BY667" s="1207"/>
      <c r="BZ667" s="1207"/>
      <c r="CA667" s="1207"/>
      <c r="CB667" s="1207"/>
      <c r="CC667" s="1207"/>
      <c r="CD667" s="1207"/>
      <c r="CE667" s="1207"/>
      <c r="CF667" s="1207"/>
    </row>
    <row r="668" spans="1:84" ht="105" x14ac:dyDescent="0.2">
      <c r="A668" s="1363">
        <v>2022673</v>
      </c>
      <c r="B668" s="1191">
        <v>7637</v>
      </c>
      <c r="C668" s="1364" t="s">
        <v>645</v>
      </c>
      <c r="D668" s="1403" t="s">
        <v>673</v>
      </c>
      <c r="E668" s="1443">
        <v>80111600</v>
      </c>
      <c r="F668" s="1443" t="s">
        <v>1303</v>
      </c>
      <c r="G668" s="1444">
        <v>44743</v>
      </c>
      <c r="H668" s="1444">
        <v>44773</v>
      </c>
      <c r="I668" s="1285">
        <v>3</v>
      </c>
      <c r="J668" s="1285" t="s">
        <v>675</v>
      </c>
      <c r="K668" s="1404" t="s">
        <v>676</v>
      </c>
      <c r="L668" s="1286" t="s">
        <v>677</v>
      </c>
      <c r="M668" s="1196">
        <v>20400000</v>
      </c>
      <c r="N668" s="1445" t="s">
        <v>678</v>
      </c>
      <c r="O668" s="1284" t="s">
        <v>679</v>
      </c>
      <c r="P668" s="1163" t="s">
        <v>759</v>
      </c>
      <c r="Q668" s="1207"/>
      <c r="R668" s="1269">
        <v>20400000</v>
      </c>
      <c r="S668" s="1357"/>
      <c r="T668" s="1357">
        <f>+Tabla16[[#This Row],[CDPS A 31 JULIO 2022]]-Tabla16[[#This Row],[CDP]]</f>
        <v>20400000</v>
      </c>
      <c r="U668" s="1357"/>
      <c r="V668" s="1357"/>
      <c r="W668" s="1357"/>
      <c r="X668" s="1207"/>
      <c r="Y668" s="1207"/>
      <c r="Z668" s="1207"/>
      <c r="AA668" s="1207"/>
      <c r="AB668" s="1207"/>
      <c r="AC668" s="1207"/>
      <c r="AD668" s="1207"/>
      <c r="AE668" s="1207"/>
      <c r="AF668" s="1207"/>
      <c r="AG668" s="1207"/>
      <c r="AH668" s="1207"/>
      <c r="AI668" s="1207"/>
      <c r="AJ668" s="1207"/>
      <c r="AK668" s="1207"/>
      <c r="AL668" s="1207"/>
      <c r="AM668" s="1207"/>
      <c r="AN668" s="1207"/>
      <c r="AO668" s="1207"/>
      <c r="AP668" s="1207"/>
      <c r="AQ668" s="1207"/>
      <c r="AR668" s="1207"/>
      <c r="AS668" s="1207"/>
      <c r="AT668" s="1207"/>
      <c r="AU668" s="1207"/>
      <c r="AV668" s="1207"/>
      <c r="AW668" s="1207"/>
      <c r="AX668" s="1207"/>
      <c r="AY668" s="1207"/>
      <c r="AZ668" s="1207"/>
      <c r="BA668" s="1207"/>
      <c r="BB668" s="1207"/>
      <c r="BC668" s="1207"/>
      <c r="BD668" s="1207"/>
      <c r="BE668" s="1207"/>
      <c r="BF668" s="1207"/>
      <c r="BG668" s="1207"/>
      <c r="BH668" s="1207"/>
      <c r="BI668" s="1207"/>
      <c r="BJ668" s="1207"/>
      <c r="BK668" s="1207"/>
      <c r="BL668" s="1207"/>
      <c r="BM668" s="1207"/>
      <c r="BN668" s="1207"/>
      <c r="BO668" s="1207"/>
      <c r="BP668" s="1207"/>
      <c r="BQ668" s="1207"/>
      <c r="BR668" s="1207"/>
      <c r="BS668" s="1207"/>
      <c r="BT668" s="1207"/>
      <c r="BU668" s="1207"/>
      <c r="BV668" s="1207"/>
      <c r="BW668" s="1207"/>
      <c r="BX668" s="1207"/>
      <c r="BY668" s="1207"/>
      <c r="BZ668" s="1207"/>
      <c r="CA668" s="1207"/>
      <c r="CB668" s="1207"/>
      <c r="CC668" s="1207"/>
      <c r="CD668" s="1207"/>
      <c r="CE668" s="1207"/>
      <c r="CF668" s="1207"/>
    </row>
    <row r="669" spans="1:84" ht="105" x14ac:dyDescent="0.2">
      <c r="A669" s="1363">
        <v>2022674</v>
      </c>
      <c r="B669" s="1172">
        <v>7637</v>
      </c>
      <c r="C669" s="1356" t="s">
        <v>645</v>
      </c>
      <c r="D669" s="1190" t="s">
        <v>673</v>
      </c>
      <c r="E669" s="1202">
        <v>80111600</v>
      </c>
      <c r="F669" s="1202" t="s">
        <v>1304</v>
      </c>
      <c r="G669" s="1387">
        <v>44743</v>
      </c>
      <c r="H669" s="1387">
        <v>44773</v>
      </c>
      <c r="I669" s="1176">
        <v>3</v>
      </c>
      <c r="J669" s="1176" t="s">
        <v>675</v>
      </c>
      <c r="K669" s="1177" t="s">
        <v>676</v>
      </c>
      <c r="L669" s="1178" t="s">
        <v>677</v>
      </c>
      <c r="M669" s="1179">
        <v>15000000</v>
      </c>
      <c r="N669" s="1386" t="s">
        <v>706</v>
      </c>
      <c r="O669" s="1174" t="s">
        <v>679</v>
      </c>
      <c r="P669" s="1221" t="s">
        <v>759</v>
      </c>
      <c r="Q669" s="1207"/>
      <c r="R669" s="1269">
        <v>15000000</v>
      </c>
      <c r="S669" s="1357"/>
      <c r="T669" s="1357">
        <f>+Tabla16[[#This Row],[CDPS A 31 JULIO 2022]]-Tabla16[[#This Row],[CDP]]</f>
        <v>15000000</v>
      </c>
      <c r="U669" s="1357"/>
      <c r="V669" s="1357"/>
      <c r="W669" s="1357"/>
      <c r="X669" s="1207"/>
      <c r="Y669" s="1207"/>
      <c r="Z669" s="1207"/>
      <c r="AA669" s="1207"/>
      <c r="AB669" s="1207"/>
      <c r="AC669" s="1207"/>
      <c r="AD669" s="1207"/>
      <c r="AE669" s="1207"/>
      <c r="AF669" s="1207"/>
      <c r="AG669" s="1207"/>
      <c r="AH669" s="1207"/>
      <c r="AI669" s="1207"/>
      <c r="AJ669" s="1207"/>
      <c r="AK669" s="1207"/>
      <c r="AL669" s="1207"/>
      <c r="AM669" s="1207"/>
      <c r="AN669" s="1207"/>
      <c r="AO669" s="1207"/>
      <c r="AP669" s="1207"/>
      <c r="AQ669" s="1207"/>
      <c r="AR669" s="1207"/>
      <c r="AS669" s="1207"/>
      <c r="AT669" s="1207"/>
      <c r="AU669" s="1207"/>
      <c r="AV669" s="1207"/>
      <c r="AW669" s="1207"/>
      <c r="AX669" s="1207"/>
      <c r="AY669" s="1207"/>
      <c r="AZ669" s="1207"/>
      <c r="BA669" s="1207"/>
      <c r="BB669" s="1207"/>
      <c r="BC669" s="1207"/>
      <c r="BD669" s="1207"/>
      <c r="BE669" s="1207"/>
      <c r="BF669" s="1207"/>
      <c r="BG669" s="1207"/>
      <c r="BH669" s="1207"/>
      <c r="BI669" s="1207"/>
      <c r="BJ669" s="1207"/>
      <c r="BK669" s="1207"/>
      <c r="BL669" s="1207"/>
      <c r="BM669" s="1207"/>
      <c r="BN669" s="1207"/>
      <c r="BO669" s="1207"/>
      <c r="BP669" s="1207"/>
      <c r="BQ669" s="1207"/>
      <c r="BR669" s="1207"/>
      <c r="BS669" s="1207"/>
      <c r="BT669" s="1207"/>
      <c r="BU669" s="1207"/>
      <c r="BV669" s="1207"/>
      <c r="BW669" s="1207"/>
      <c r="BX669" s="1207"/>
      <c r="BY669" s="1207"/>
      <c r="BZ669" s="1207"/>
      <c r="CA669" s="1207"/>
      <c r="CB669" s="1207"/>
      <c r="CC669" s="1207"/>
      <c r="CD669" s="1207"/>
      <c r="CE669" s="1207"/>
      <c r="CF669" s="1207"/>
    </row>
    <row r="670" spans="1:84" ht="105" x14ac:dyDescent="0.2">
      <c r="A670" s="1363">
        <v>2022675</v>
      </c>
      <c r="B670" s="1172">
        <v>7637</v>
      </c>
      <c r="C670" s="1356" t="s">
        <v>645</v>
      </c>
      <c r="D670" s="1190" t="s">
        <v>673</v>
      </c>
      <c r="E670" s="1202">
        <v>72151600</v>
      </c>
      <c r="F670" s="1202" t="s">
        <v>1305</v>
      </c>
      <c r="G670" s="1387">
        <v>44819</v>
      </c>
      <c r="H670" s="1387">
        <v>44848</v>
      </c>
      <c r="I670" s="1176">
        <v>2</v>
      </c>
      <c r="J670" s="1176" t="s">
        <v>675</v>
      </c>
      <c r="K670" s="1177" t="s">
        <v>676</v>
      </c>
      <c r="L670" s="1178" t="s">
        <v>737</v>
      </c>
      <c r="M670" s="1179">
        <v>29100000</v>
      </c>
      <c r="N670" s="1189" t="s">
        <v>678</v>
      </c>
      <c r="O670" s="1174" t="s">
        <v>679</v>
      </c>
      <c r="P670" s="1221" t="s">
        <v>680</v>
      </c>
      <c r="Q670" s="1207"/>
      <c r="R670" s="1269">
        <v>0</v>
      </c>
      <c r="S670" s="1357"/>
      <c r="T670" s="1357">
        <f>+Tabla16[[#This Row],[CDPS A 31 JULIO 2022]]-Tabla16[[#This Row],[CDP]]</f>
        <v>0</v>
      </c>
      <c r="U670" s="1357"/>
      <c r="V670" s="1357"/>
      <c r="W670" s="1357"/>
      <c r="X670" s="1207"/>
      <c r="Y670" s="1207"/>
      <c r="Z670" s="1207"/>
      <c r="AA670" s="1207"/>
      <c r="AB670" s="1207"/>
      <c r="AC670" s="1207"/>
      <c r="AD670" s="1207"/>
      <c r="AE670" s="1207"/>
      <c r="AF670" s="1207"/>
      <c r="AG670" s="1207"/>
      <c r="AH670" s="1207"/>
      <c r="AI670" s="1207"/>
      <c r="AJ670" s="1207"/>
      <c r="AK670" s="1207"/>
      <c r="AL670" s="1207"/>
      <c r="AM670" s="1207"/>
      <c r="AN670" s="1207"/>
      <c r="AO670" s="1207"/>
      <c r="AP670" s="1207"/>
      <c r="AQ670" s="1207"/>
      <c r="AR670" s="1207"/>
      <c r="AS670" s="1207"/>
      <c r="AT670" s="1207"/>
      <c r="AU670" s="1207"/>
      <c r="AV670" s="1207"/>
      <c r="AW670" s="1207"/>
      <c r="AX670" s="1207"/>
      <c r="AY670" s="1207"/>
      <c r="AZ670" s="1207"/>
      <c r="BA670" s="1207"/>
      <c r="BB670" s="1207"/>
      <c r="BC670" s="1207"/>
      <c r="BD670" s="1207"/>
      <c r="BE670" s="1207"/>
      <c r="BF670" s="1207"/>
      <c r="BG670" s="1207"/>
      <c r="BH670" s="1207"/>
      <c r="BI670" s="1207"/>
      <c r="BJ670" s="1207"/>
      <c r="BK670" s="1207"/>
      <c r="BL670" s="1207"/>
      <c r="BM670" s="1207"/>
      <c r="BN670" s="1207"/>
      <c r="BO670" s="1207"/>
      <c r="BP670" s="1207"/>
      <c r="BQ670" s="1207"/>
      <c r="BR670" s="1207"/>
      <c r="BS670" s="1207"/>
      <c r="BT670" s="1207"/>
      <c r="BU670" s="1207"/>
      <c r="BV670" s="1207"/>
      <c r="BW670" s="1207"/>
      <c r="BX670" s="1207"/>
      <c r="BY670" s="1207"/>
      <c r="BZ670" s="1207"/>
      <c r="CA670" s="1207"/>
      <c r="CB670" s="1207"/>
      <c r="CC670" s="1207"/>
      <c r="CD670" s="1207"/>
      <c r="CE670" s="1207"/>
      <c r="CF670" s="1207"/>
    </row>
    <row r="671" spans="1:84" ht="105" x14ac:dyDescent="0.2">
      <c r="A671" s="1363">
        <v>2022676</v>
      </c>
      <c r="B671" s="1172">
        <v>7637</v>
      </c>
      <c r="C671" s="1356" t="s">
        <v>645</v>
      </c>
      <c r="D671" s="1190" t="s">
        <v>673</v>
      </c>
      <c r="E671" s="1202" t="s">
        <v>1306</v>
      </c>
      <c r="F671" s="1202" t="s">
        <v>1307</v>
      </c>
      <c r="G671" s="1387">
        <v>44732</v>
      </c>
      <c r="H671" s="1387">
        <v>44752</v>
      </c>
      <c r="I671" s="1176">
        <v>4</v>
      </c>
      <c r="J671" s="1176" t="s">
        <v>698</v>
      </c>
      <c r="K671" s="1177" t="s">
        <v>676</v>
      </c>
      <c r="L671" s="1178" t="s">
        <v>737</v>
      </c>
      <c r="M671" s="1179">
        <v>23150000</v>
      </c>
      <c r="N671" s="1189" t="s">
        <v>678</v>
      </c>
      <c r="O671" s="1174" t="s">
        <v>679</v>
      </c>
      <c r="P671" s="1221" t="s">
        <v>759</v>
      </c>
      <c r="Q671" s="1207"/>
      <c r="R671" s="1269">
        <v>23150000</v>
      </c>
      <c r="S671" s="1357"/>
      <c r="T671" s="1357">
        <f>+Tabla16[[#This Row],[CDPS A 31 JULIO 2022]]-Tabla16[[#This Row],[CDP]]</f>
        <v>23150000</v>
      </c>
      <c r="U671" s="1357"/>
      <c r="V671" s="1357"/>
      <c r="W671" s="1357"/>
      <c r="X671" s="1207"/>
      <c r="Y671" s="1207"/>
      <c r="Z671" s="1207"/>
      <c r="AA671" s="1207"/>
      <c r="AB671" s="1207"/>
      <c r="AC671" s="1207"/>
      <c r="AD671" s="1207"/>
      <c r="AE671" s="1207"/>
      <c r="AF671" s="1207"/>
      <c r="AG671" s="1207"/>
      <c r="AH671" s="1207"/>
      <c r="AI671" s="1207"/>
      <c r="AJ671" s="1207"/>
      <c r="AK671" s="1207"/>
      <c r="AL671" s="1207"/>
      <c r="AM671" s="1207"/>
      <c r="AN671" s="1207"/>
      <c r="AO671" s="1207"/>
      <c r="AP671" s="1207"/>
      <c r="AQ671" s="1207"/>
      <c r="AR671" s="1207"/>
      <c r="AS671" s="1207"/>
      <c r="AT671" s="1207"/>
      <c r="AU671" s="1207"/>
      <c r="AV671" s="1207"/>
      <c r="AW671" s="1207"/>
      <c r="AX671" s="1207"/>
      <c r="AY671" s="1207"/>
      <c r="AZ671" s="1207"/>
      <c r="BA671" s="1207"/>
      <c r="BB671" s="1207"/>
      <c r="BC671" s="1207"/>
      <c r="BD671" s="1207"/>
      <c r="BE671" s="1207"/>
      <c r="BF671" s="1207"/>
      <c r="BG671" s="1207"/>
      <c r="BH671" s="1207"/>
      <c r="BI671" s="1207"/>
      <c r="BJ671" s="1207"/>
      <c r="BK671" s="1207"/>
      <c r="BL671" s="1207"/>
      <c r="BM671" s="1207"/>
      <c r="BN671" s="1207"/>
      <c r="BO671" s="1207"/>
      <c r="BP671" s="1207"/>
      <c r="BQ671" s="1207"/>
      <c r="BR671" s="1207"/>
      <c r="BS671" s="1207"/>
      <c r="BT671" s="1207"/>
      <c r="BU671" s="1207"/>
      <c r="BV671" s="1207"/>
      <c r="BW671" s="1207"/>
      <c r="BX671" s="1207"/>
      <c r="BY671" s="1207"/>
      <c r="BZ671" s="1207"/>
      <c r="CA671" s="1207"/>
      <c r="CB671" s="1207"/>
      <c r="CC671" s="1207"/>
      <c r="CD671" s="1207"/>
      <c r="CE671" s="1207"/>
      <c r="CF671" s="1207"/>
    </row>
    <row r="672" spans="1:84" ht="105" x14ac:dyDescent="0.2">
      <c r="A672" s="1363">
        <v>2022677</v>
      </c>
      <c r="B672" s="1172">
        <v>7637</v>
      </c>
      <c r="C672" s="1356" t="s">
        <v>645</v>
      </c>
      <c r="D672" s="1190" t="s">
        <v>673</v>
      </c>
      <c r="E672" s="1202" t="s">
        <v>1308</v>
      </c>
      <c r="F672" s="1388" t="s">
        <v>1309</v>
      </c>
      <c r="G672" s="1387">
        <v>44749</v>
      </c>
      <c r="H672" s="1387">
        <v>44781</v>
      </c>
      <c r="I672" s="1405">
        <v>6</v>
      </c>
      <c r="J672" s="1176" t="s">
        <v>685</v>
      </c>
      <c r="K672" s="1177" t="s">
        <v>676</v>
      </c>
      <c r="L672" s="1178" t="s">
        <v>737</v>
      </c>
      <c r="M672" s="1179">
        <f>120000000+10000000+55735449+12095659+7332250+146454551+1433712-35000000-10750000-230901243</f>
        <v>76400378</v>
      </c>
      <c r="N672" s="1189" t="s">
        <v>678</v>
      </c>
      <c r="O672" s="1174" t="s">
        <v>679</v>
      </c>
      <c r="P672" s="1163" t="s">
        <v>680</v>
      </c>
      <c r="Q672" s="1207"/>
      <c r="R672" s="1269">
        <v>0</v>
      </c>
      <c r="S672" s="1357"/>
      <c r="T672" s="1357">
        <f>+Tabla16[[#This Row],[CDPS A 31 JULIO 2022]]-Tabla16[[#This Row],[CDP]]</f>
        <v>0</v>
      </c>
      <c r="U672" s="1357"/>
      <c r="V672" s="1357"/>
      <c r="W672" s="1357"/>
      <c r="X672" s="1207"/>
      <c r="Y672" s="1207"/>
      <c r="Z672" s="1207"/>
      <c r="AA672" s="1207"/>
      <c r="AB672" s="1207"/>
      <c r="AC672" s="1207"/>
      <c r="AD672" s="1207"/>
      <c r="AE672" s="1207"/>
      <c r="AF672" s="1207"/>
      <c r="AG672" s="1207"/>
      <c r="AH672" s="1207"/>
      <c r="AI672" s="1207"/>
      <c r="AJ672" s="1207"/>
      <c r="AK672" s="1207"/>
      <c r="AL672" s="1207"/>
      <c r="AM672" s="1207"/>
      <c r="AN672" s="1207"/>
      <c r="AO672" s="1207"/>
      <c r="AP672" s="1207"/>
      <c r="AQ672" s="1207"/>
      <c r="AR672" s="1207"/>
      <c r="AS672" s="1207"/>
      <c r="AT672" s="1207"/>
      <c r="AU672" s="1207"/>
      <c r="AV672" s="1207"/>
      <c r="AW672" s="1207"/>
      <c r="AX672" s="1207"/>
      <c r="AY672" s="1207"/>
      <c r="AZ672" s="1207"/>
      <c r="BA672" s="1207"/>
      <c r="BB672" s="1207"/>
      <c r="BC672" s="1207"/>
      <c r="BD672" s="1207"/>
      <c r="BE672" s="1207"/>
      <c r="BF672" s="1207"/>
      <c r="BG672" s="1207"/>
      <c r="BH672" s="1207"/>
      <c r="BI672" s="1207"/>
      <c r="BJ672" s="1207"/>
      <c r="BK672" s="1207"/>
      <c r="BL672" s="1207"/>
      <c r="BM672" s="1207"/>
      <c r="BN672" s="1207"/>
      <c r="BO672" s="1207"/>
      <c r="BP672" s="1207"/>
      <c r="BQ672" s="1207"/>
      <c r="BR672" s="1207"/>
      <c r="BS672" s="1207"/>
      <c r="BT672" s="1207"/>
      <c r="BU672" s="1207"/>
      <c r="BV672" s="1207"/>
      <c r="BW672" s="1207"/>
      <c r="BX672" s="1207"/>
      <c r="BY672" s="1207"/>
      <c r="BZ672" s="1207"/>
      <c r="CA672" s="1207"/>
      <c r="CB672" s="1207"/>
      <c r="CC672" s="1207"/>
      <c r="CD672" s="1207"/>
      <c r="CE672" s="1207"/>
      <c r="CF672" s="1207"/>
    </row>
    <row r="673" spans="1:84" ht="105" x14ac:dyDescent="0.2">
      <c r="A673" s="1355">
        <v>2022678</v>
      </c>
      <c r="B673" s="1172">
        <v>7655</v>
      </c>
      <c r="C673" s="1356" t="s">
        <v>670</v>
      </c>
      <c r="D673" s="1190" t="s">
        <v>697</v>
      </c>
      <c r="E673" s="1202">
        <v>80111600</v>
      </c>
      <c r="F673" s="1190" t="s">
        <v>874</v>
      </c>
      <c r="G673" s="1387">
        <v>44725</v>
      </c>
      <c r="H673" s="1387">
        <v>44732</v>
      </c>
      <c r="I673" s="1176">
        <v>5</v>
      </c>
      <c r="J673" s="1176" t="s">
        <v>675</v>
      </c>
      <c r="K673" s="1177" t="s">
        <v>676</v>
      </c>
      <c r="L673" s="1178" t="s">
        <v>677</v>
      </c>
      <c r="M673" s="1179">
        <v>25000000</v>
      </c>
      <c r="N673" s="1402" t="s">
        <v>785</v>
      </c>
      <c r="O673" s="1202" t="s">
        <v>780</v>
      </c>
      <c r="P673" s="1163" t="s">
        <v>680</v>
      </c>
      <c r="Q673" s="1207"/>
      <c r="R673" s="1269">
        <v>25000000</v>
      </c>
      <c r="S673" s="1357"/>
      <c r="T673" s="1357">
        <f>+Tabla16[[#This Row],[CDPS A 31 JULIO 2022]]-Tabla16[[#This Row],[CDP]]</f>
        <v>25000000</v>
      </c>
      <c r="U673" s="1357"/>
      <c r="V673" s="1357"/>
      <c r="W673" s="1357"/>
      <c r="X673" s="1207"/>
      <c r="Y673" s="1207"/>
      <c r="Z673" s="1207"/>
      <c r="AA673" s="1207"/>
      <c r="AB673" s="1207"/>
      <c r="AC673" s="1207"/>
      <c r="AD673" s="1207"/>
      <c r="AE673" s="1207"/>
      <c r="AF673" s="1207"/>
      <c r="AG673" s="1207"/>
      <c r="AH673" s="1207"/>
      <c r="AI673" s="1207"/>
      <c r="AJ673" s="1207"/>
      <c r="AK673" s="1207"/>
      <c r="AL673" s="1207"/>
      <c r="AM673" s="1207"/>
      <c r="AN673" s="1207"/>
      <c r="AO673" s="1207"/>
      <c r="AP673" s="1207"/>
      <c r="AQ673" s="1207"/>
      <c r="AR673" s="1207"/>
      <c r="AS673" s="1207"/>
      <c r="AT673" s="1207"/>
      <c r="AU673" s="1207"/>
      <c r="AV673" s="1207"/>
      <c r="AW673" s="1207"/>
      <c r="AX673" s="1207"/>
      <c r="AY673" s="1207"/>
      <c r="AZ673" s="1207"/>
      <c r="BA673" s="1207"/>
      <c r="BB673" s="1207"/>
      <c r="BC673" s="1207"/>
      <c r="BD673" s="1207"/>
      <c r="BE673" s="1207"/>
      <c r="BF673" s="1207"/>
      <c r="BG673" s="1207"/>
      <c r="BH673" s="1207"/>
      <c r="BI673" s="1207"/>
      <c r="BJ673" s="1207"/>
      <c r="BK673" s="1207"/>
      <c r="BL673" s="1207"/>
      <c r="BM673" s="1207"/>
      <c r="BN673" s="1207"/>
      <c r="BO673" s="1207"/>
      <c r="BP673" s="1207"/>
      <c r="BQ673" s="1207"/>
      <c r="BR673" s="1207"/>
      <c r="BS673" s="1207"/>
      <c r="BT673" s="1207"/>
      <c r="BU673" s="1207"/>
      <c r="BV673" s="1207"/>
      <c r="BW673" s="1207"/>
      <c r="BX673" s="1207"/>
      <c r="BY673" s="1207"/>
      <c r="BZ673" s="1207"/>
      <c r="CA673" s="1207"/>
      <c r="CB673" s="1207"/>
      <c r="CC673" s="1207"/>
      <c r="CD673" s="1207"/>
      <c r="CE673" s="1207"/>
      <c r="CF673" s="1207"/>
    </row>
    <row r="674" spans="1:84" ht="90" x14ac:dyDescent="0.2">
      <c r="A674" s="1355">
        <v>2022679</v>
      </c>
      <c r="B674" s="1172">
        <v>7658</v>
      </c>
      <c r="C674" s="1356" t="s">
        <v>681</v>
      </c>
      <c r="D674" s="1190" t="s">
        <v>697</v>
      </c>
      <c r="E674" s="1202">
        <v>80111600</v>
      </c>
      <c r="F674" s="1190" t="s">
        <v>1310</v>
      </c>
      <c r="G674" s="1387">
        <v>44725</v>
      </c>
      <c r="H674" s="1387">
        <v>44732</v>
      </c>
      <c r="I674" s="1176">
        <v>5</v>
      </c>
      <c r="J674" s="1176" t="s">
        <v>675</v>
      </c>
      <c r="K674" s="1177" t="s">
        <v>676</v>
      </c>
      <c r="L674" s="1178" t="s">
        <v>677</v>
      </c>
      <c r="M674" s="1179">
        <f>4200000*5</f>
        <v>21000000</v>
      </c>
      <c r="N674" s="1402" t="s">
        <v>767</v>
      </c>
      <c r="O674" s="1202" t="s">
        <v>766</v>
      </c>
      <c r="P674" s="1163" t="s">
        <v>680</v>
      </c>
      <c r="Q674" s="1207"/>
      <c r="R674" s="1357">
        <v>21000000</v>
      </c>
      <c r="S674" s="1357"/>
      <c r="T674" s="1357">
        <f>+Tabla16[[#This Row],[CDPS A 31 JULIO 2022]]-Tabla16[[#This Row],[CDP]]</f>
        <v>21000000</v>
      </c>
      <c r="U674" s="1357"/>
      <c r="V674" s="1357"/>
      <c r="W674" s="1357" t="s">
        <v>1083</v>
      </c>
      <c r="X674" s="1207"/>
      <c r="Y674" s="1207"/>
      <c r="Z674" s="1207"/>
      <c r="AA674" s="1207"/>
      <c r="AB674" s="1207"/>
      <c r="AC674" s="1207"/>
      <c r="AD674" s="1207"/>
      <c r="AE674" s="1207"/>
      <c r="AF674" s="1207"/>
      <c r="AG674" s="1207"/>
      <c r="AH674" s="1207"/>
      <c r="AI674" s="1207"/>
      <c r="AJ674" s="1207"/>
      <c r="AK674" s="1207"/>
      <c r="AL674" s="1207"/>
      <c r="AM674" s="1207"/>
      <c r="AN674" s="1207"/>
      <c r="AO674" s="1207"/>
      <c r="AP674" s="1207"/>
      <c r="AQ674" s="1207"/>
      <c r="AR674" s="1207"/>
      <c r="AS674" s="1207"/>
      <c r="AT674" s="1207"/>
      <c r="AU674" s="1207"/>
      <c r="AV674" s="1207"/>
      <c r="AW674" s="1207"/>
      <c r="AX674" s="1207"/>
      <c r="AY674" s="1207"/>
      <c r="AZ674" s="1207"/>
      <c r="BA674" s="1207"/>
      <c r="BB674" s="1207"/>
      <c r="BC674" s="1207"/>
      <c r="BD674" s="1207"/>
      <c r="BE674" s="1207"/>
      <c r="BF674" s="1207"/>
      <c r="BG674" s="1207"/>
      <c r="BH674" s="1207"/>
      <c r="BI674" s="1207"/>
      <c r="BJ674" s="1207"/>
      <c r="BK674" s="1207"/>
      <c r="BL674" s="1207"/>
      <c r="BM674" s="1207"/>
      <c r="BN674" s="1207"/>
      <c r="BO674" s="1207"/>
      <c r="BP674" s="1207"/>
      <c r="BQ674" s="1207"/>
      <c r="BR674" s="1207"/>
      <c r="BS674" s="1207"/>
      <c r="BT674" s="1207"/>
      <c r="BU674" s="1207"/>
      <c r="BV674" s="1207"/>
      <c r="BW674" s="1207"/>
      <c r="BX674" s="1207"/>
      <c r="BY674" s="1207"/>
      <c r="BZ674" s="1207"/>
      <c r="CA674" s="1207"/>
      <c r="CB674" s="1207"/>
      <c r="CC674" s="1207"/>
      <c r="CD674" s="1207"/>
      <c r="CE674" s="1207"/>
      <c r="CF674" s="1207"/>
    </row>
    <row r="675" spans="1:84" ht="135" x14ac:dyDescent="0.2">
      <c r="A675" s="1355">
        <v>2022681</v>
      </c>
      <c r="B675" s="1172">
        <v>7658</v>
      </c>
      <c r="C675" s="1356" t="s">
        <v>681</v>
      </c>
      <c r="D675" s="1190" t="s">
        <v>703</v>
      </c>
      <c r="E675" s="1174">
        <v>80111600</v>
      </c>
      <c r="F675" s="1389" t="s">
        <v>1311</v>
      </c>
      <c r="G675" s="1390">
        <v>44743</v>
      </c>
      <c r="H675" s="1390">
        <v>44757</v>
      </c>
      <c r="I675" s="1176">
        <v>3</v>
      </c>
      <c r="J675" s="1176" t="s">
        <v>675</v>
      </c>
      <c r="K675" s="1177" t="s">
        <v>676</v>
      </c>
      <c r="L675" s="1178" t="s">
        <v>677</v>
      </c>
      <c r="M675" s="1179">
        <v>18000000</v>
      </c>
      <c r="N675" s="1386" t="s">
        <v>1026</v>
      </c>
      <c r="O675" s="1174" t="s">
        <v>773</v>
      </c>
      <c r="P675" s="1207" t="s">
        <v>680</v>
      </c>
      <c r="Q675" s="1207"/>
      <c r="R675" s="1357">
        <v>12000000</v>
      </c>
      <c r="S675" s="1357"/>
      <c r="T675" s="1357">
        <f>+Tabla16[[#This Row],[CDPS A 31 JULIO 2022]]-Tabla16[[#This Row],[CDP]]</f>
        <v>12000000</v>
      </c>
      <c r="U675" s="1357"/>
      <c r="V675" s="1357"/>
      <c r="W675" s="1357"/>
      <c r="X675" s="1207"/>
      <c r="Y675" s="1207"/>
      <c r="Z675" s="1207"/>
      <c r="AA675" s="1207"/>
      <c r="AB675" s="1207"/>
      <c r="AC675" s="1207"/>
      <c r="AD675" s="1207"/>
      <c r="AE675" s="1207"/>
      <c r="AF675" s="1207"/>
      <c r="AG675" s="1207"/>
      <c r="AH675" s="1207"/>
      <c r="AI675" s="1207"/>
      <c r="AJ675" s="1207"/>
      <c r="AK675" s="1207"/>
      <c r="AL675" s="1207"/>
      <c r="AM675" s="1207"/>
      <c r="AN675" s="1207"/>
      <c r="AO675" s="1207"/>
      <c r="AP675" s="1207"/>
      <c r="AQ675" s="1207"/>
      <c r="AR675" s="1207"/>
      <c r="AS675" s="1207"/>
      <c r="AT675" s="1207"/>
      <c r="AU675" s="1207"/>
      <c r="AV675" s="1207"/>
      <c r="AW675" s="1207"/>
      <c r="AX675" s="1207"/>
      <c r="AY675" s="1207"/>
      <c r="AZ675" s="1207"/>
      <c r="BA675" s="1207"/>
      <c r="BB675" s="1207"/>
      <c r="BC675" s="1207"/>
      <c r="BD675" s="1207"/>
      <c r="BE675" s="1207"/>
      <c r="BF675" s="1207"/>
      <c r="BG675" s="1207"/>
      <c r="BH675" s="1207"/>
      <c r="BI675" s="1207"/>
      <c r="BJ675" s="1207"/>
      <c r="BK675" s="1207"/>
      <c r="BL675" s="1207"/>
      <c r="BM675" s="1207"/>
      <c r="BN675" s="1207"/>
      <c r="BO675" s="1207"/>
      <c r="BP675" s="1207"/>
      <c r="BQ675" s="1207"/>
      <c r="BR675" s="1207"/>
      <c r="BS675" s="1207"/>
      <c r="BT675" s="1207"/>
      <c r="BU675" s="1207"/>
      <c r="BV675" s="1207"/>
      <c r="BW675" s="1207"/>
      <c r="BX675" s="1207"/>
      <c r="BY675" s="1207"/>
      <c r="BZ675" s="1207"/>
      <c r="CA675" s="1207"/>
      <c r="CB675" s="1207"/>
      <c r="CC675" s="1207"/>
      <c r="CD675" s="1207"/>
      <c r="CE675" s="1207"/>
      <c r="CF675" s="1207"/>
    </row>
    <row r="676" spans="1:84" ht="135" x14ac:dyDescent="0.2">
      <c r="A676" s="1355">
        <v>2022682</v>
      </c>
      <c r="B676" s="1172">
        <v>7658</v>
      </c>
      <c r="C676" s="1356" t="s">
        <v>681</v>
      </c>
      <c r="D676" s="1190" t="s">
        <v>703</v>
      </c>
      <c r="E676" s="1174">
        <v>80111600</v>
      </c>
      <c r="F676" s="1389" t="s">
        <v>1312</v>
      </c>
      <c r="G676" s="1390">
        <v>44778</v>
      </c>
      <c r="H676" s="1390">
        <v>44788</v>
      </c>
      <c r="I676" s="1176">
        <v>4.5</v>
      </c>
      <c r="J676" s="1176" t="s">
        <v>675</v>
      </c>
      <c r="K676" s="1177" t="s">
        <v>676</v>
      </c>
      <c r="L676" s="1178" t="s">
        <v>677</v>
      </c>
      <c r="M676" s="1179">
        <v>15075000</v>
      </c>
      <c r="N676" s="1386" t="s">
        <v>1026</v>
      </c>
      <c r="O676" s="1174" t="s">
        <v>773</v>
      </c>
      <c r="P676" s="1207" t="s">
        <v>680</v>
      </c>
      <c r="Q676" s="1207"/>
      <c r="R676" s="1357">
        <v>15075000</v>
      </c>
      <c r="S676" s="1357"/>
      <c r="T676" s="1357">
        <f>+Tabla16[[#This Row],[CDPS A 31 JULIO 2022]]-Tabla16[[#This Row],[CDP]]</f>
        <v>15075000</v>
      </c>
      <c r="U676" s="1357"/>
      <c r="V676" s="1357"/>
      <c r="W676" s="1357"/>
      <c r="X676" s="1207"/>
      <c r="Y676" s="1207"/>
      <c r="Z676" s="1207"/>
      <c r="AA676" s="1207"/>
      <c r="AB676" s="1207"/>
      <c r="AC676" s="1207"/>
      <c r="AD676" s="1207"/>
      <c r="AE676" s="1207"/>
      <c r="AF676" s="1207"/>
      <c r="AG676" s="1207"/>
      <c r="AH676" s="1207"/>
      <c r="AI676" s="1207"/>
      <c r="AJ676" s="1207"/>
      <c r="AK676" s="1207"/>
      <c r="AL676" s="1207"/>
      <c r="AM676" s="1207"/>
      <c r="AN676" s="1207"/>
      <c r="AO676" s="1207"/>
      <c r="AP676" s="1207"/>
      <c r="AQ676" s="1207"/>
      <c r="AR676" s="1207"/>
      <c r="AS676" s="1207"/>
      <c r="AT676" s="1207"/>
      <c r="AU676" s="1207"/>
      <c r="AV676" s="1207"/>
      <c r="AW676" s="1207"/>
      <c r="AX676" s="1207"/>
      <c r="AY676" s="1207"/>
      <c r="AZ676" s="1207"/>
      <c r="BA676" s="1207"/>
      <c r="BB676" s="1207"/>
      <c r="BC676" s="1207"/>
      <c r="BD676" s="1207"/>
      <c r="BE676" s="1207"/>
      <c r="BF676" s="1207"/>
      <c r="BG676" s="1207"/>
      <c r="BH676" s="1207"/>
      <c r="BI676" s="1207"/>
      <c r="BJ676" s="1207"/>
      <c r="BK676" s="1207"/>
      <c r="BL676" s="1207"/>
      <c r="BM676" s="1207"/>
      <c r="BN676" s="1207"/>
      <c r="BO676" s="1207"/>
      <c r="BP676" s="1207"/>
      <c r="BQ676" s="1207"/>
      <c r="BR676" s="1207"/>
      <c r="BS676" s="1207"/>
      <c r="BT676" s="1207"/>
      <c r="BU676" s="1207"/>
      <c r="BV676" s="1207"/>
      <c r="BW676" s="1207"/>
      <c r="BX676" s="1207"/>
      <c r="BY676" s="1207"/>
      <c r="BZ676" s="1207"/>
      <c r="CA676" s="1207"/>
      <c r="CB676" s="1207"/>
      <c r="CC676" s="1207"/>
      <c r="CD676" s="1207"/>
      <c r="CE676" s="1207"/>
      <c r="CF676" s="1207"/>
    </row>
    <row r="677" spans="1:84" ht="105" x14ac:dyDescent="0.2">
      <c r="A677" s="1355">
        <v>2022683</v>
      </c>
      <c r="B677" s="1172">
        <v>7658</v>
      </c>
      <c r="C677" s="1356" t="s">
        <v>681</v>
      </c>
      <c r="D677" s="1190" t="s">
        <v>694</v>
      </c>
      <c r="E677" s="1174">
        <v>80111600</v>
      </c>
      <c r="F677" s="1389" t="s">
        <v>1313</v>
      </c>
      <c r="G677" s="1390">
        <v>44743</v>
      </c>
      <c r="H677" s="1390">
        <v>44743</v>
      </c>
      <c r="I677" s="1176">
        <v>6</v>
      </c>
      <c r="J677" s="1176" t="s">
        <v>675</v>
      </c>
      <c r="K677" s="1177" t="s">
        <v>676</v>
      </c>
      <c r="L677" s="1178" t="s">
        <v>677</v>
      </c>
      <c r="M677" s="1179">
        <v>39000000</v>
      </c>
      <c r="N677" s="1386" t="s">
        <v>770</v>
      </c>
      <c r="O677" s="1174" t="s">
        <v>769</v>
      </c>
      <c r="P677" s="1163" t="s">
        <v>680</v>
      </c>
      <c r="Q677" s="1207"/>
      <c r="R677" s="1357">
        <v>39000000</v>
      </c>
      <c r="S677" s="1357"/>
      <c r="T677" s="1357">
        <f>+Tabla16[[#This Row],[CDPS A 31 JULIO 2022]]-Tabla16[[#This Row],[CDP]]</f>
        <v>39000000</v>
      </c>
      <c r="U677" s="1357"/>
      <c r="V677" s="1357"/>
      <c r="W677" s="1357"/>
      <c r="X677" s="1207"/>
      <c r="Y677" s="1207"/>
      <c r="Z677" s="1207"/>
      <c r="AA677" s="1207"/>
      <c r="AB677" s="1207"/>
      <c r="AC677" s="1207"/>
      <c r="AD677" s="1207"/>
      <c r="AE677" s="1207"/>
      <c r="AF677" s="1207"/>
      <c r="AG677" s="1207"/>
      <c r="AH677" s="1207"/>
      <c r="AI677" s="1207"/>
      <c r="AJ677" s="1207"/>
      <c r="AK677" s="1207"/>
      <c r="AL677" s="1207"/>
      <c r="AM677" s="1207"/>
      <c r="AN677" s="1207"/>
      <c r="AO677" s="1207"/>
      <c r="AP677" s="1207"/>
      <c r="AQ677" s="1207"/>
      <c r="AR677" s="1207"/>
      <c r="AS677" s="1207"/>
      <c r="AT677" s="1207"/>
      <c r="AU677" s="1207"/>
      <c r="AV677" s="1207"/>
      <c r="AW677" s="1207"/>
      <c r="AX677" s="1207"/>
      <c r="AY677" s="1207"/>
      <c r="AZ677" s="1207"/>
      <c r="BA677" s="1207"/>
      <c r="BB677" s="1207"/>
      <c r="BC677" s="1207"/>
      <c r="BD677" s="1207"/>
      <c r="BE677" s="1207"/>
      <c r="BF677" s="1207"/>
      <c r="BG677" s="1207"/>
      <c r="BH677" s="1207"/>
      <c r="BI677" s="1207"/>
      <c r="BJ677" s="1207"/>
      <c r="BK677" s="1207"/>
      <c r="BL677" s="1207"/>
      <c r="BM677" s="1207"/>
      <c r="BN677" s="1207"/>
      <c r="BO677" s="1207"/>
      <c r="BP677" s="1207"/>
      <c r="BQ677" s="1207"/>
      <c r="BR677" s="1207"/>
      <c r="BS677" s="1207"/>
      <c r="BT677" s="1207"/>
      <c r="BU677" s="1207"/>
      <c r="BV677" s="1207"/>
      <c r="BW677" s="1207"/>
      <c r="BX677" s="1207"/>
      <c r="BY677" s="1207"/>
      <c r="BZ677" s="1207"/>
      <c r="CA677" s="1207"/>
      <c r="CB677" s="1207"/>
      <c r="CC677" s="1207"/>
      <c r="CD677" s="1207"/>
      <c r="CE677" s="1207"/>
      <c r="CF677" s="1207"/>
    </row>
    <row r="678" spans="1:84" ht="105" x14ac:dyDescent="0.2">
      <c r="A678" s="1355">
        <v>2022684</v>
      </c>
      <c r="B678" s="1172">
        <v>7658</v>
      </c>
      <c r="C678" s="1356" t="s">
        <v>681</v>
      </c>
      <c r="D678" s="1190" t="s">
        <v>694</v>
      </c>
      <c r="E678" s="1174">
        <v>80111600</v>
      </c>
      <c r="F678" s="1389" t="s">
        <v>1087</v>
      </c>
      <c r="G678" s="1390">
        <v>44743</v>
      </c>
      <c r="H678" s="1390">
        <v>44743</v>
      </c>
      <c r="I678" s="1176">
        <v>6</v>
      </c>
      <c r="J678" s="1176" t="s">
        <v>675</v>
      </c>
      <c r="K678" s="1177" t="s">
        <v>676</v>
      </c>
      <c r="L678" s="1178" t="s">
        <v>677</v>
      </c>
      <c r="M678" s="1179">
        <v>16800000</v>
      </c>
      <c r="N678" s="1386" t="s">
        <v>770</v>
      </c>
      <c r="O678" s="1174" t="s">
        <v>769</v>
      </c>
      <c r="P678" s="1163" t="s">
        <v>680</v>
      </c>
      <c r="Q678" s="1207"/>
      <c r="R678" s="1357">
        <v>14000000</v>
      </c>
      <c r="S678" s="1357"/>
      <c r="T678" s="1357">
        <f>+Tabla16[[#This Row],[CDPS A 31 JULIO 2022]]-Tabla16[[#This Row],[CDP]]</f>
        <v>14000000</v>
      </c>
      <c r="U678" s="1357"/>
      <c r="V678" s="1357"/>
      <c r="W678" s="1357"/>
      <c r="X678" s="1207"/>
      <c r="Y678" s="1207"/>
      <c r="Z678" s="1207"/>
      <c r="AA678" s="1207"/>
      <c r="AB678" s="1207"/>
      <c r="AC678" s="1207"/>
      <c r="AD678" s="1207"/>
      <c r="AE678" s="1207"/>
      <c r="AF678" s="1207"/>
      <c r="AG678" s="1207"/>
      <c r="AH678" s="1207"/>
      <c r="AI678" s="1207"/>
      <c r="AJ678" s="1207"/>
      <c r="AK678" s="1207"/>
      <c r="AL678" s="1207"/>
      <c r="AM678" s="1207"/>
      <c r="AN678" s="1207"/>
      <c r="AO678" s="1207"/>
      <c r="AP678" s="1207"/>
      <c r="AQ678" s="1207"/>
      <c r="AR678" s="1207"/>
      <c r="AS678" s="1207"/>
      <c r="AT678" s="1207"/>
      <c r="AU678" s="1207"/>
      <c r="AV678" s="1207"/>
      <c r="AW678" s="1207"/>
      <c r="AX678" s="1207"/>
      <c r="AY678" s="1207"/>
      <c r="AZ678" s="1207"/>
      <c r="BA678" s="1207"/>
      <c r="BB678" s="1207"/>
      <c r="BC678" s="1207"/>
      <c r="BD678" s="1207"/>
      <c r="BE678" s="1207"/>
      <c r="BF678" s="1207"/>
      <c r="BG678" s="1207"/>
      <c r="BH678" s="1207"/>
      <c r="BI678" s="1207"/>
      <c r="BJ678" s="1207"/>
      <c r="BK678" s="1207"/>
      <c r="BL678" s="1207"/>
      <c r="BM678" s="1207"/>
      <c r="BN678" s="1207"/>
      <c r="BO678" s="1207"/>
      <c r="BP678" s="1207"/>
      <c r="BQ678" s="1207"/>
      <c r="BR678" s="1207"/>
      <c r="BS678" s="1207"/>
      <c r="BT678" s="1207"/>
      <c r="BU678" s="1207"/>
      <c r="BV678" s="1207"/>
      <c r="BW678" s="1207"/>
      <c r="BX678" s="1207"/>
      <c r="BY678" s="1207"/>
      <c r="BZ678" s="1207"/>
      <c r="CA678" s="1207"/>
      <c r="CB678" s="1207"/>
      <c r="CC678" s="1207"/>
      <c r="CD678" s="1207"/>
      <c r="CE678" s="1207"/>
      <c r="CF678" s="1207"/>
    </row>
    <row r="679" spans="1:84" ht="105" x14ac:dyDescent="0.2">
      <c r="A679" s="1355">
        <v>2022685</v>
      </c>
      <c r="B679" s="1172">
        <v>7658</v>
      </c>
      <c r="C679" s="1356" t="s">
        <v>681</v>
      </c>
      <c r="D679" s="1190" t="s">
        <v>694</v>
      </c>
      <c r="E679" s="1174">
        <v>80111600</v>
      </c>
      <c r="F679" s="1389" t="s">
        <v>1087</v>
      </c>
      <c r="G679" s="1390">
        <v>44743</v>
      </c>
      <c r="H679" s="1390">
        <v>44743</v>
      </c>
      <c r="I679" s="1176">
        <v>6</v>
      </c>
      <c r="J679" s="1176" t="s">
        <v>675</v>
      </c>
      <c r="K679" s="1177" t="s">
        <v>676</v>
      </c>
      <c r="L679" s="1178" t="s">
        <v>677</v>
      </c>
      <c r="M679" s="1179">
        <v>16800000</v>
      </c>
      <c r="N679" s="1386" t="s">
        <v>770</v>
      </c>
      <c r="O679" s="1174" t="s">
        <v>769</v>
      </c>
      <c r="P679" s="1163" t="s">
        <v>680</v>
      </c>
      <c r="Q679" s="1207"/>
      <c r="R679" s="1357">
        <v>14000000</v>
      </c>
      <c r="S679" s="1357"/>
      <c r="T679" s="1357">
        <f>+Tabla16[[#This Row],[CDPS A 31 JULIO 2022]]-Tabla16[[#This Row],[CDP]]</f>
        <v>14000000</v>
      </c>
      <c r="U679" s="1357"/>
      <c r="V679" s="1357"/>
      <c r="W679" s="1357"/>
      <c r="X679" s="1207"/>
      <c r="Y679" s="1207"/>
      <c r="Z679" s="1207"/>
      <c r="AA679" s="1207"/>
      <c r="AB679" s="1207"/>
      <c r="AC679" s="1207"/>
      <c r="AD679" s="1207"/>
      <c r="AE679" s="1207"/>
      <c r="AF679" s="1207"/>
      <c r="AG679" s="1207"/>
      <c r="AH679" s="1207"/>
      <c r="AI679" s="1207"/>
      <c r="AJ679" s="1207"/>
      <c r="AK679" s="1207"/>
      <c r="AL679" s="1207"/>
      <c r="AM679" s="1207"/>
      <c r="AN679" s="1207"/>
      <c r="AO679" s="1207"/>
      <c r="AP679" s="1207"/>
      <c r="AQ679" s="1207"/>
      <c r="AR679" s="1207"/>
      <c r="AS679" s="1207"/>
      <c r="AT679" s="1207"/>
      <c r="AU679" s="1207"/>
      <c r="AV679" s="1207"/>
      <c r="AW679" s="1207"/>
      <c r="AX679" s="1207"/>
      <c r="AY679" s="1207"/>
      <c r="AZ679" s="1207"/>
      <c r="BA679" s="1207"/>
      <c r="BB679" s="1207"/>
      <c r="BC679" s="1207"/>
      <c r="BD679" s="1207"/>
      <c r="BE679" s="1207"/>
      <c r="BF679" s="1207"/>
      <c r="BG679" s="1207"/>
      <c r="BH679" s="1207"/>
      <c r="BI679" s="1207"/>
      <c r="BJ679" s="1207"/>
      <c r="BK679" s="1207"/>
      <c r="BL679" s="1207"/>
      <c r="BM679" s="1207"/>
      <c r="BN679" s="1207"/>
      <c r="BO679" s="1207"/>
      <c r="BP679" s="1207"/>
      <c r="BQ679" s="1207"/>
      <c r="BR679" s="1207"/>
      <c r="BS679" s="1207"/>
      <c r="BT679" s="1207"/>
      <c r="BU679" s="1207"/>
      <c r="BV679" s="1207"/>
      <c r="BW679" s="1207"/>
      <c r="BX679" s="1207"/>
      <c r="BY679" s="1207"/>
      <c r="BZ679" s="1207"/>
      <c r="CA679" s="1207"/>
      <c r="CB679" s="1207"/>
      <c r="CC679" s="1207"/>
      <c r="CD679" s="1207"/>
      <c r="CE679" s="1207"/>
      <c r="CF679" s="1207"/>
    </row>
    <row r="680" spans="1:84" ht="105" x14ac:dyDescent="0.2">
      <c r="A680" s="1355">
        <v>2022686</v>
      </c>
      <c r="B680" s="1172">
        <v>7658</v>
      </c>
      <c r="C680" s="1356" t="s">
        <v>681</v>
      </c>
      <c r="D680" s="1190" t="s">
        <v>694</v>
      </c>
      <c r="E680" s="1174">
        <v>80111600</v>
      </c>
      <c r="F680" s="1389" t="s">
        <v>1087</v>
      </c>
      <c r="G680" s="1390">
        <v>44743</v>
      </c>
      <c r="H680" s="1390">
        <v>44743</v>
      </c>
      <c r="I680" s="1176">
        <v>6</v>
      </c>
      <c r="J680" s="1176" t="s">
        <v>675</v>
      </c>
      <c r="K680" s="1177" t="s">
        <v>676</v>
      </c>
      <c r="L680" s="1178" t="s">
        <v>677</v>
      </c>
      <c r="M680" s="1179">
        <v>16800000</v>
      </c>
      <c r="N680" s="1386" t="s">
        <v>770</v>
      </c>
      <c r="O680" s="1174" t="s">
        <v>769</v>
      </c>
      <c r="P680" s="1163" t="s">
        <v>680</v>
      </c>
      <c r="Q680" s="1207"/>
      <c r="R680" s="1357">
        <v>14000000</v>
      </c>
      <c r="S680" s="1357"/>
      <c r="T680" s="1357">
        <f>+Tabla16[[#This Row],[CDPS A 31 JULIO 2022]]-Tabla16[[#This Row],[CDP]]</f>
        <v>14000000</v>
      </c>
      <c r="U680" s="1357"/>
      <c r="V680" s="1357"/>
      <c r="W680" s="1357"/>
      <c r="X680" s="1207"/>
      <c r="Y680" s="1207"/>
      <c r="Z680" s="1207"/>
      <c r="AA680" s="1207"/>
      <c r="AB680" s="1207"/>
      <c r="AC680" s="1207"/>
      <c r="AD680" s="1207"/>
      <c r="AE680" s="1207"/>
      <c r="AF680" s="1207"/>
      <c r="AG680" s="1207"/>
      <c r="AH680" s="1207"/>
      <c r="AI680" s="1207"/>
      <c r="AJ680" s="1207"/>
      <c r="AK680" s="1207"/>
      <c r="AL680" s="1207"/>
      <c r="AM680" s="1207"/>
      <c r="AN680" s="1207"/>
      <c r="AO680" s="1207"/>
      <c r="AP680" s="1207"/>
      <c r="AQ680" s="1207"/>
      <c r="AR680" s="1207"/>
      <c r="AS680" s="1207"/>
      <c r="AT680" s="1207"/>
      <c r="AU680" s="1207"/>
      <c r="AV680" s="1207"/>
      <c r="AW680" s="1207"/>
      <c r="AX680" s="1207"/>
      <c r="AY680" s="1207"/>
      <c r="AZ680" s="1207"/>
      <c r="BA680" s="1207"/>
      <c r="BB680" s="1207"/>
      <c r="BC680" s="1207"/>
      <c r="BD680" s="1207"/>
      <c r="BE680" s="1207"/>
      <c r="BF680" s="1207"/>
      <c r="BG680" s="1207"/>
      <c r="BH680" s="1207"/>
      <c r="BI680" s="1207"/>
      <c r="BJ680" s="1207"/>
      <c r="BK680" s="1207"/>
      <c r="BL680" s="1207"/>
      <c r="BM680" s="1207"/>
      <c r="BN680" s="1207"/>
      <c r="BO680" s="1207"/>
      <c r="BP680" s="1207"/>
      <c r="BQ680" s="1207"/>
      <c r="BR680" s="1207"/>
      <c r="BS680" s="1207"/>
      <c r="BT680" s="1207"/>
      <c r="BU680" s="1207"/>
      <c r="BV680" s="1207"/>
      <c r="BW680" s="1207"/>
      <c r="BX680" s="1207"/>
      <c r="BY680" s="1207"/>
      <c r="BZ680" s="1207"/>
      <c r="CA680" s="1207"/>
      <c r="CB680" s="1207"/>
      <c r="CC680" s="1207"/>
      <c r="CD680" s="1207"/>
      <c r="CE680" s="1207"/>
      <c r="CF680" s="1207"/>
    </row>
    <row r="681" spans="1:84" ht="105" x14ac:dyDescent="0.2">
      <c r="A681" s="1355">
        <v>2022687</v>
      </c>
      <c r="B681" s="1172">
        <v>7637</v>
      </c>
      <c r="C681" s="1356" t="s">
        <v>645</v>
      </c>
      <c r="D681" s="1190" t="s">
        <v>673</v>
      </c>
      <c r="E681" s="1174">
        <v>45111616</v>
      </c>
      <c r="F681" s="1389" t="s">
        <v>1314</v>
      </c>
      <c r="G681" s="1390">
        <v>44757</v>
      </c>
      <c r="H681" s="1390">
        <v>44771</v>
      </c>
      <c r="I681" s="1176">
        <v>1</v>
      </c>
      <c r="J681" s="1176" t="s">
        <v>722</v>
      </c>
      <c r="K681" s="1177" t="s">
        <v>772</v>
      </c>
      <c r="L681" s="1178" t="s">
        <v>737</v>
      </c>
      <c r="M681" s="1179">
        <f>15317646</f>
        <v>15317646</v>
      </c>
      <c r="N681" s="1189" t="s">
        <v>678</v>
      </c>
      <c r="O681" s="1174" t="s">
        <v>679</v>
      </c>
      <c r="P681" s="1163" t="s">
        <v>680</v>
      </c>
      <c r="Q681" s="1207"/>
      <c r="R681" s="1269">
        <v>0</v>
      </c>
      <c r="S681" s="1357"/>
      <c r="T681" s="1357">
        <f>+Tabla16[[#This Row],[CDPS A 31 JULIO 2022]]-Tabla16[[#This Row],[CDP]]</f>
        <v>0</v>
      </c>
      <c r="U681" s="1357"/>
      <c r="V681" s="1357"/>
      <c r="W681" s="1357"/>
      <c r="X681" s="1207"/>
      <c r="Y681" s="1207"/>
      <c r="Z681" s="1207"/>
      <c r="AA681" s="1207"/>
      <c r="AB681" s="1207"/>
      <c r="AC681" s="1207"/>
      <c r="AD681" s="1207"/>
      <c r="AE681" s="1207"/>
      <c r="AF681" s="1207"/>
      <c r="AG681" s="1207"/>
      <c r="AH681" s="1207"/>
      <c r="AI681" s="1207"/>
      <c r="AJ681" s="1207"/>
      <c r="AK681" s="1207"/>
      <c r="AL681" s="1207"/>
      <c r="AM681" s="1207"/>
      <c r="AN681" s="1207"/>
      <c r="AO681" s="1207"/>
      <c r="AP681" s="1207"/>
      <c r="AQ681" s="1207"/>
      <c r="AR681" s="1207"/>
      <c r="AS681" s="1207"/>
      <c r="AT681" s="1207"/>
      <c r="AU681" s="1207"/>
      <c r="AV681" s="1207"/>
      <c r="AW681" s="1207"/>
      <c r="AX681" s="1207"/>
      <c r="AY681" s="1207"/>
      <c r="AZ681" s="1207"/>
      <c r="BA681" s="1207"/>
      <c r="BB681" s="1207"/>
      <c r="BC681" s="1207"/>
      <c r="BD681" s="1207"/>
      <c r="BE681" s="1207"/>
      <c r="BF681" s="1207"/>
      <c r="BG681" s="1207"/>
      <c r="BH681" s="1207"/>
      <c r="BI681" s="1207"/>
      <c r="BJ681" s="1207"/>
      <c r="BK681" s="1207"/>
      <c r="BL681" s="1207"/>
      <c r="BM681" s="1207"/>
      <c r="BN681" s="1207"/>
      <c r="BO681" s="1207"/>
      <c r="BP681" s="1207"/>
      <c r="BQ681" s="1207"/>
      <c r="BR681" s="1207"/>
      <c r="BS681" s="1207"/>
      <c r="BT681" s="1207"/>
      <c r="BU681" s="1207"/>
      <c r="BV681" s="1207"/>
      <c r="BW681" s="1207"/>
      <c r="BX681" s="1207"/>
      <c r="BY681" s="1207"/>
      <c r="BZ681" s="1207"/>
      <c r="CA681" s="1207"/>
      <c r="CB681" s="1207"/>
      <c r="CC681" s="1207"/>
      <c r="CD681" s="1207"/>
      <c r="CE681" s="1207"/>
      <c r="CF681" s="1207"/>
    </row>
    <row r="682" spans="1:84" ht="90" x14ac:dyDescent="0.2">
      <c r="A682" s="1355">
        <v>2022688</v>
      </c>
      <c r="B682" s="1172">
        <v>7658</v>
      </c>
      <c r="C682" s="1356" t="s">
        <v>681</v>
      </c>
      <c r="D682" s="1190" t="s">
        <v>697</v>
      </c>
      <c r="E682" s="1174">
        <v>80111600</v>
      </c>
      <c r="F682" s="1389" t="s">
        <v>1010</v>
      </c>
      <c r="G682" s="1390">
        <v>44739</v>
      </c>
      <c r="H682" s="1390">
        <v>44746</v>
      </c>
      <c r="I682" s="1176">
        <v>5</v>
      </c>
      <c r="J682" s="1176" t="s">
        <v>675</v>
      </c>
      <c r="K682" s="1177" t="s">
        <v>676</v>
      </c>
      <c r="L682" s="1178" t="s">
        <v>677</v>
      </c>
      <c r="M682" s="1179">
        <f>11550000+7700000</f>
        <v>19250000</v>
      </c>
      <c r="N682" s="1386" t="s">
        <v>767</v>
      </c>
      <c r="O682" s="1174" t="s">
        <v>766</v>
      </c>
      <c r="P682" s="1163" t="s">
        <v>680</v>
      </c>
      <c r="Q682" s="1207"/>
      <c r="R682" s="1357">
        <v>19250000</v>
      </c>
      <c r="S682" s="1357"/>
      <c r="T682" s="1357">
        <f>+Tabla16[[#This Row],[CDPS A 31 JULIO 2022]]-Tabla16[[#This Row],[CDP]]</f>
        <v>19250000</v>
      </c>
      <c r="U682" s="1357"/>
      <c r="V682" s="1357"/>
      <c r="W682" s="1357"/>
      <c r="X682" s="1207"/>
      <c r="Y682" s="1207"/>
      <c r="Z682" s="1207"/>
      <c r="AA682" s="1207"/>
      <c r="AB682" s="1207"/>
      <c r="AC682" s="1207"/>
      <c r="AD682" s="1207"/>
      <c r="AE682" s="1207"/>
      <c r="AF682" s="1207"/>
      <c r="AG682" s="1207"/>
      <c r="AH682" s="1207"/>
      <c r="AI682" s="1207"/>
      <c r="AJ682" s="1207"/>
      <c r="AK682" s="1207"/>
      <c r="AL682" s="1207"/>
      <c r="AM682" s="1207"/>
      <c r="AN682" s="1207"/>
      <c r="AO682" s="1207"/>
      <c r="AP682" s="1207"/>
      <c r="AQ682" s="1207"/>
      <c r="AR682" s="1207"/>
      <c r="AS682" s="1207"/>
      <c r="AT682" s="1207"/>
      <c r="AU682" s="1207"/>
      <c r="AV682" s="1207"/>
      <c r="AW682" s="1207"/>
      <c r="AX682" s="1207"/>
      <c r="AY682" s="1207"/>
      <c r="AZ682" s="1207"/>
      <c r="BA682" s="1207"/>
      <c r="BB682" s="1207"/>
      <c r="BC682" s="1207"/>
      <c r="BD682" s="1207"/>
      <c r="BE682" s="1207"/>
      <c r="BF682" s="1207"/>
      <c r="BG682" s="1207"/>
      <c r="BH682" s="1207"/>
      <c r="BI682" s="1207"/>
      <c r="BJ682" s="1207"/>
      <c r="BK682" s="1207"/>
      <c r="BL682" s="1207"/>
      <c r="BM682" s="1207"/>
      <c r="BN682" s="1207"/>
      <c r="BO682" s="1207"/>
      <c r="BP682" s="1207"/>
      <c r="BQ682" s="1207"/>
      <c r="BR682" s="1207"/>
      <c r="BS682" s="1207"/>
      <c r="BT682" s="1207"/>
      <c r="BU682" s="1207"/>
      <c r="BV682" s="1207"/>
      <c r="BW682" s="1207"/>
      <c r="BX682" s="1207"/>
      <c r="BY682" s="1207"/>
      <c r="BZ682" s="1207"/>
      <c r="CA682" s="1207"/>
      <c r="CB682" s="1207"/>
      <c r="CC682" s="1207"/>
      <c r="CD682" s="1207"/>
      <c r="CE682" s="1207"/>
      <c r="CF682" s="1207"/>
    </row>
    <row r="683" spans="1:84" ht="105" x14ac:dyDescent="0.2">
      <c r="A683" s="1355">
        <v>2022689</v>
      </c>
      <c r="B683" s="1172">
        <v>7655</v>
      </c>
      <c r="C683" s="1356" t="s">
        <v>670</v>
      </c>
      <c r="D683" s="1190" t="s">
        <v>671</v>
      </c>
      <c r="E683" s="1174">
        <v>80111600</v>
      </c>
      <c r="F683" s="1389" t="s">
        <v>920</v>
      </c>
      <c r="G683" s="1390">
        <v>44743</v>
      </c>
      <c r="H683" s="1390">
        <v>44760</v>
      </c>
      <c r="I683" s="1176">
        <v>5</v>
      </c>
      <c r="J683" s="1176" t="s">
        <v>675</v>
      </c>
      <c r="K683" s="1177" t="s">
        <v>676</v>
      </c>
      <c r="L683" s="1178" t="s">
        <v>677</v>
      </c>
      <c r="M683" s="1179">
        <v>35600000</v>
      </c>
      <c r="N683" s="1386" t="s">
        <v>785</v>
      </c>
      <c r="O683" s="1174" t="s">
        <v>780</v>
      </c>
      <c r="P683" s="1163" t="s">
        <v>680</v>
      </c>
      <c r="Q683" s="1207"/>
      <c r="R683" s="1269">
        <v>35600000</v>
      </c>
      <c r="S683" s="1357"/>
      <c r="T683" s="1357">
        <f>+Tabla16[[#This Row],[CDPS A 31 JULIO 2022]]-Tabla16[[#This Row],[CDP]]</f>
        <v>35600000</v>
      </c>
      <c r="U683" s="1357"/>
      <c r="V683" s="1357"/>
      <c r="W683" s="1357"/>
      <c r="X683" s="1207"/>
      <c r="Y683" s="1207"/>
      <c r="Z683" s="1207"/>
      <c r="AA683" s="1207"/>
      <c r="AB683" s="1207"/>
      <c r="AC683" s="1207"/>
      <c r="AD683" s="1207"/>
      <c r="AE683" s="1207"/>
      <c r="AF683" s="1207"/>
      <c r="AG683" s="1207"/>
      <c r="AH683" s="1207"/>
      <c r="AI683" s="1207"/>
      <c r="AJ683" s="1207"/>
      <c r="AK683" s="1207"/>
      <c r="AL683" s="1207"/>
      <c r="AM683" s="1207"/>
      <c r="AN683" s="1207"/>
      <c r="AO683" s="1207"/>
      <c r="AP683" s="1207"/>
      <c r="AQ683" s="1207"/>
      <c r="AR683" s="1207"/>
      <c r="AS683" s="1207"/>
      <c r="AT683" s="1207"/>
      <c r="AU683" s="1207"/>
      <c r="AV683" s="1207"/>
      <c r="AW683" s="1207"/>
      <c r="AX683" s="1207"/>
      <c r="AY683" s="1207"/>
      <c r="AZ683" s="1207"/>
      <c r="BA683" s="1207"/>
      <c r="BB683" s="1207"/>
      <c r="BC683" s="1207"/>
      <c r="BD683" s="1207"/>
      <c r="BE683" s="1207"/>
      <c r="BF683" s="1207"/>
      <c r="BG683" s="1207"/>
      <c r="BH683" s="1207"/>
      <c r="BI683" s="1207"/>
      <c r="BJ683" s="1207"/>
      <c r="BK683" s="1207"/>
      <c r="BL683" s="1207"/>
      <c r="BM683" s="1207"/>
      <c r="BN683" s="1207"/>
      <c r="BO683" s="1207"/>
      <c r="BP683" s="1207"/>
      <c r="BQ683" s="1207"/>
      <c r="BR683" s="1207"/>
      <c r="BS683" s="1207"/>
      <c r="BT683" s="1207"/>
      <c r="BU683" s="1207"/>
      <c r="BV683" s="1207"/>
      <c r="BW683" s="1207"/>
      <c r="BX683" s="1207"/>
      <c r="BY683" s="1207"/>
      <c r="BZ683" s="1207"/>
      <c r="CA683" s="1207"/>
      <c r="CB683" s="1207"/>
      <c r="CC683" s="1207"/>
      <c r="CD683" s="1207"/>
      <c r="CE683" s="1207"/>
      <c r="CF683" s="1207"/>
    </row>
    <row r="684" spans="1:84" ht="105" x14ac:dyDescent="0.2">
      <c r="A684" s="1355">
        <v>2022690</v>
      </c>
      <c r="B684" s="1172">
        <v>7655</v>
      </c>
      <c r="C684" s="1356" t="s">
        <v>670</v>
      </c>
      <c r="D684" s="1190" t="s">
        <v>671</v>
      </c>
      <c r="E684" s="1174">
        <v>80111600</v>
      </c>
      <c r="F684" s="1389" t="s">
        <v>929</v>
      </c>
      <c r="G684" s="1390">
        <v>44767</v>
      </c>
      <c r="H684" s="1390">
        <v>44775</v>
      </c>
      <c r="I684" s="1176">
        <v>5</v>
      </c>
      <c r="J684" s="1176" t="s">
        <v>675</v>
      </c>
      <c r="K684" s="1177" t="s">
        <v>676</v>
      </c>
      <c r="L684" s="1178" t="s">
        <v>677</v>
      </c>
      <c r="M684" s="1179">
        <v>24000000</v>
      </c>
      <c r="N684" s="1386" t="s">
        <v>785</v>
      </c>
      <c r="O684" s="1174" t="s">
        <v>780</v>
      </c>
      <c r="P684" s="1163" t="s">
        <v>680</v>
      </c>
      <c r="Q684" s="1207"/>
      <c r="R684" s="1269">
        <v>24000000</v>
      </c>
      <c r="S684" s="1357"/>
      <c r="T684" s="1357">
        <f>+Tabla16[[#This Row],[CDPS A 31 JULIO 2022]]-Tabla16[[#This Row],[CDP]]</f>
        <v>24000000</v>
      </c>
      <c r="U684" s="1357"/>
      <c r="V684" s="1357"/>
      <c r="W684" s="1357"/>
      <c r="X684" s="1207"/>
      <c r="Y684" s="1207"/>
      <c r="Z684" s="1207"/>
      <c r="AA684" s="1207"/>
      <c r="AB684" s="1207"/>
      <c r="AC684" s="1207"/>
      <c r="AD684" s="1207"/>
      <c r="AE684" s="1207"/>
      <c r="AF684" s="1207"/>
      <c r="AG684" s="1207"/>
      <c r="AH684" s="1207"/>
      <c r="AI684" s="1207"/>
      <c r="AJ684" s="1207"/>
      <c r="AK684" s="1207"/>
      <c r="AL684" s="1207"/>
      <c r="AM684" s="1207"/>
      <c r="AN684" s="1207"/>
      <c r="AO684" s="1207"/>
      <c r="AP684" s="1207"/>
      <c r="AQ684" s="1207"/>
      <c r="AR684" s="1207"/>
      <c r="AS684" s="1207"/>
      <c r="AT684" s="1207"/>
      <c r="AU684" s="1207"/>
      <c r="AV684" s="1207"/>
      <c r="AW684" s="1207"/>
      <c r="AX684" s="1207"/>
      <c r="AY684" s="1207"/>
      <c r="AZ684" s="1207"/>
      <c r="BA684" s="1207"/>
      <c r="BB684" s="1207"/>
      <c r="BC684" s="1207"/>
      <c r="BD684" s="1207"/>
      <c r="BE684" s="1207"/>
      <c r="BF684" s="1207"/>
      <c r="BG684" s="1207"/>
      <c r="BH684" s="1207"/>
      <c r="BI684" s="1207"/>
      <c r="BJ684" s="1207"/>
      <c r="BK684" s="1207"/>
      <c r="BL684" s="1207"/>
      <c r="BM684" s="1207"/>
      <c r="BN684" s="1207"/>
      <c r="BO684" s="1207"/>
      <c r="BP684" s="1207"/>
      <c r="BQ684" s="1207"/>
      <c r="BR684" s="1207"/>
      <c r="BS684" s="1207"/>
      <c r="BT684" s="1207"/>
      <c r="BU684" s="1207"/>
      <c r="BV684" s="1207"/>
      <c r="BW684" s="1207"/>
      <c r="BX684" s="1207"/>
      <c r="BY684" s="1207"/>
      <c r="BZ684" s="1207"/>
      <c r="CA684" s="1207"/>
      <c r="CB684" s="1207"/>
      <c r="CC684" s="1207"/>
      <c r="CD684" s="1207"/>
      <c r="CE684" s="1207"/>
      <c r="CF684" s="1207"/>
    </row>
    <row r="685" spans="1:84" ht="105" x14ac:dyDescent="0.2">
      <c r="A685" s="1355">
        <v>2022691</v>
      </c>
      <c r="B685" s="1172">
        <v>7655</v>
      </c>
      <c r="C685" s="1356" t="s">
        <v>670</v>
      </c>
      <c r="D685" s="1190" t="s">
        <v>671</v>
      </c>
      <c r="E685" s="1174">
        <v>80111600</v>
      </c>
      <c r="F685" s="1389" t="s">
        <v>1315</v>
      </c>
      <c r="G685" s="1390">
        <v>44767</v>
      </c>
      <c r="H685" s="1390">
        <v>44775</v>
      </c>
      <c r="I685" s="1176">
        <v>5</v>
      </c>
      <c r="J685" s="1176" t="s">
        <v>675</v>
      </c>
      <c r="K685" s="1177" t="s">
        <v>676</v>
      </c>
      <c r="L685" s="1178" t="s">
        <v>677</v>
      </c>
      <c r="M685" s="1179">
        <v>11500000</v>
      </c>
      <c r="N685" s="1386" t="s">
        <v>785</v>
      </c>
      <c r="O685" s="1174" t="s">
        <v>780</v>
      </c>
      <c r="P685" s="1163" t="s">
        <v>680</v>
      </c>
      <c r="Q685" s="1207"/>
      <c r="R685" s="1269">
        <v>11500000</v>
      </c>
      <c r="S685" s="1357"/>
      <c r="T685" s="1357">
        <f>+Tabla16[[#This Row],[CDPS A 31 JULIO 2022]]-Tabla16[[#This Row],[CDP]]</f>
        <v>11500000</v>
      </c>
      <c r="U685" s="1357"/>
      <c r="V685" s="1357"/>
      <c r="W685" s="1357"/>
      <c r="X685" s="1207"/>
      <c r="Y685" s="1207"/>
      <c r="Z685" s="1207"/>
      <c r="AA685" s="1207"/>
      <c r="AB685" s="1207"/>
      <c r="AC685" s="1207"/>
      <c r="AD685" s="1207"/>
      <c r="AE685" s="1207"/>
      <c r="AF685" s="1207"/>
      <c r="AG685" s="1207"/>
      <c r="AH685" s="1207"/>
      <c r="AI685" s="1207"/>
      <c r="AJ685" s="1207"/>
      <c r="AK685" s="1207"/>
      <c r="AL685" s="1207"/>
      <c r="AM685" s="1207"/>
      <c r="AN685" s="1207"/>
      <c r="AO685" s="1207"/>
      <c r="AP685" s="1207"/>
      <c r="AQ685" s="1207"/>
      <c r="AR685" s="1207"/>
      <c r="AS685" s="1207"/>
      <c r="AT685" s="1207"/>
      <c r="AU685" s="1207"/>
      <c r="AV685" s="1207"/>
      <c r="AW685" s="1207"/>
      <c r="AX685" s="1207"/>
      <c r="AY685" s="1207"/>
      <c r="AZ685" s="1207"/>
      <c r="BA685" s="1207"/>
      <c r="BB685" s="1207"/>
      <c r="BC685" s="1207"/>
      <c r="BD685" s="1207"/>
      <c r="BE685" s="1207"/>
      <c r="BF685" s="1207"/>
      <c r="BG685" s="1207"/>
      <c r="BH685" s="1207"/>
      <c r="BI685" s="1207"/>
      <c r="BJ685" s="1207"/>
      <c r="BK685" s="1207"/>
      <c r="BL685" s="1207"/>
      <c r="BM685" s="1207"/>
      <c r="BN685" s="1207"/>
      <c r="BO685" s="1207"/>
      <c r="BP685" s="1207"/>
      <c r="BQ685" s="1207"/>
      <c r="BR685" s="1207"/>
      <c r="BS685" s="1207"/>
      <c r="BT685" s="1207"/>
      <c r="BU685" s="1207"/>
      <c r="BV685" s="1207"/>
      <c r="BW685" s="1207"/>
      <c r="BX685" s="1207"/>
      <c r="BY685" s="1207"/>
      <c r="BZ685" s="1207"/>
      <c r="CA685" s="1207"/>
      <c r="CB685" s="1207"/>
      <c r="CC685" s="1207"/>
      <c r="CD685" s="1207"/>
      <c r="CE685" s="1207"/>
      <c r="CF685" s="1207"/>
    </row>
    <row r="686" spans="1:84" ht="105" x14ac:dyDescent="0.2">
      <c r="A686" s="1355">
        <v>2022692</v>
      </c>
      <c r="B686" s="1172">
        <v>7655</v>
      </c>
      <c r="C686" s="1356" t="s">
        <v>670</v>
      </c>
      <c r="D686" s="1190" t="s">
        <v>671</v>
      </c>
      <c r="E686" s="1174">
        <v>80111600</v>
      </c>
      <c r="F686" s="1389" t="s">
        <v>1316</v>
      </c>
      <c r="G686" s="1390">
        <v>44848</v>
      </c>
      <c r="H686" s="1390">
        <v>44848</v>
      </c>
      <c r="I686" s="1176">
        <v>2.5</v>
      </c>
      <c r="J686" s="1176" t="s">
        <v>675</v>
      </c>
      <c r="K686" s="1177" t="s">
        <v>676</v>
      </c>
      <c r="L686" s="1178" t="s">
        <v>677</v>
      </c>
      <c r="M686" s="1179">
        <v>8400000</v>
      </c>
      <c r="N686" s="1386" t="s">
        <v>785</v>
      </c>
      <c r="O686" s="1174" t="s">
        <v>780</v>
      </c>
      <c r="P686" s="1163" t="s">
        <v>680</v>
      </c>
      <c r="Q686" s="1207"/>
      <c r="R686" s="1269">
        <v>0</v>
      </c>
      <c r="S686" s="1357"/>
      <c r="T686" s="1357">
        <f>+Tabla16[[#This Row],[CDPS A 31 JULIO 2022]]-Tabla16[[#This Row],[CDP]]</f>
        <v>0</v>
      </c>
      <c r="U686" s="1357"/>
      <c r="V686" s="1357"/>
      <c r="W686" s="1357"/>
      <c r="X686" s="1207"/>
      <c r="Y686" s="1207"/>
      <c r="Z686" s="1207"/>
      <c r="AA686" s="1207"/>
      <c r="AB686" s="1207"/>
      <c r="AC686" s="1207"/>
      <c r="AD686" s="1207"/>
      <c r="AE686" s="1207"/>
      <c r="AF686" s="1207"/>
      <c r="AG686" s="1207"/>
      <c r="AH686" s="1207"/>
      <c r="AI686" s="1207"/>
      <c r="AJ686" s="1207"/>
      <c r="AK686" s="1207"/>
      <c r="AL686" s="1207"/>
      <c r="AM686" s="1207"/>
      <c r="AN686" s="1207"/>
      <c r="AO686" s="1207"/>
      <c r="AP686" s="1207"/>
      <c r="AQ686" s="1207"/>
      <c r="AR686" s="1207"/>
      <c r="AS686" s="1207"/>
      <c r="AT686" s="1207"/>
      <c r="AU686" s="1207"/>
      <c r="AV686" s="1207"/>
      <c r="AW686" s="1207"/>
      <c r="AX686" s="1207"/>
      <c r="AY686" s="1207"/>
      <c r="AZ686" s="1207"/>
      <c r="BA686" s="1207"/>
      <c r="BB686" s="1207"/>
      <c r="BC686" s="1207"/>
      <c r="BD686" s="1207"/>
      <c r="BE686" s="1207"/>
      <c r="BF686" s="1207"/>
      <c r="BG686" s="1207"/>
      <c r="BH686" s="1207"/>
      <c r="BI686" s="1207"/>
      <c r="BJ686" s="1207"/>
      <c r="BK686" s="1207"/>
      <c r="BL686" s="1207"/>
      <c r="BM686" s="1207"/>
      <c r="BN686" s="1207"/>
      <c r="BO686" s="1207"/>
      <c r="BP686" s="1207"/>
      <c r="BQ686" s="1207"/>
      <c r="BR686" s="1207"/>
      <c r="BS686" s="1207"/>
      <c r="BT686" s="1207"/>
      <c r="BU686" s="1207"/>
      <c r="BV686" s="1207"/>
      <c r="BW686" s="1207"/>
      <c r="BX686" s="1207"/>
      <c r="BY686" s="1207"/>
      <c r="BZ686" s="1207"/>
      <c r="CA686" s="1207"/>
      <c r="CB686" s="1207"/>
      <c r="CC686" s="1207"/>
      <c r="CD686" s="1207"/>
      <c r="CE686" s="1207"/>
      <c r="CF686" s="1207"/>
    </row>
    <row r="687" spans="1:84" ht="105" x14ac:dyDescent="0.2">
      <c r="A687" s="1355">
        <v>2022693</v>
      </c>
      <c r="B687" s="1172">
        <v>7655</v>
      </c>
      <c r="C687" s="1356" t="s">
        <v>670</v>
      </c>
      <c r="D687" s="1190" t="s">
        <v>697</v>
      </c>
      <c r="E687" s="1174">
        <v>80111600</v>
      </c>
      <c r="F687" s="1389" t="s">
        <v>867</v>
      </c>
      <c r="G687" s="1390">
        <v>44755</v>
      </c>
      <c r="H687" s="1390">
        <v>44763</v>
      </c>
      <c r="I687" s="1176">
        <v>5</v>
      </c>
      <c r="J687" s="1176" t="s">
        <v>675</v>
      </c>
      <c r="K687" s="1177" t="s">
        <v>676</v>
      </c>
      <c r="L687" s="1178" t="s">
        <v>677</v>
      </c>
      <c r="M687" s="1179">
        <f>7350000+4900000</f>
        <v>12250000</v>
      </c>
      <c r="N687" s="1386" t="s">
        <v>785</v>
      </c>
      <c r="O687" s="1174" t="s">
        <v>780</v>
      </c>
      <c r="P687" s="1163" t="s">
        <v>680</v>
      </c>
      <c r="Q687" s="1207"/>
      <c r="R687" s="1269">
        <v>12250000</v>
      </c>
      <c r="S687" s="1357"/>
      <c r="T687" s="1357">
        <f>+Tabla16[[#This Row],[CDPS A 31 JULIO 2022]]-Tabla16[[#This Row],[CDP]]</f>
        <v>12250000</v>
      </c>
      <c r="U687" s="1357"/>
      <c r="V687" s="1357"/>
      <c r="W687" s="1357"/>
      <c r="X687" s="1207"/>
      <c r="Y687" s="1207"/>
      <c r="Z687" s="1207"/>
      <c r="AA687" s="1207"/>
      <c r="AB687" s="1207"/>
      <c r="AC687" s="1207"/>
      <c r="AD687" s="1207"/>
      <c r="AE687" s="1207"/>
      <c r="AF687" s="1207"/>
      <c r="AG687" s="1207"/>
      <c r="AH687" s="1207"/>
      <c r="AI687" s="1207"/>
      <c r="AJ687" s="1207"/>
      <c r="AK687" s="1207"/>
      <c r="AL687" s="1207"/>
      <c r="AM687" s="1207"/>
      <c r="AN687" s="1207"/>
      <c r="AO687" s="1207"/>
      <c r="AP687" s="1207"/>
      <c r="AQ687" s="1207"/>
      <c r="AR687" s="1207"/>
      <c r="AS687" s="1207"/>
      <c r="AT687" s="1207"/>
      <c r="AU687" s="1207"/>
      <c r="AV687" s="1207"/>
      <c r="AW687" s="1207"/>
      <c r="AX687" s="1207"/>
      <c r="AY687" s="1207"/>
      <c r="AZ687" s="1207"/>
      <c r="BA687" s="1207"/>
      <c r="BB687" s="1207"/>
      <c r="BC687" s="1207"/>
      <c r="BD687" s="1207"/>
      <c r="BE687" s="1207"/>
      <c r="BF687" s="1207"/>
      <c r="BG687" s="1207"/>
      <c r="BH687" s="1207"/>
      <c r="BI687" s="1207"/>
      <c r="BJ687" s="1207"/>
      <c r="BK687" s="1207"/>
      <c r="BL687" s="1207"/>
      <c r="BM687" s="1207"/>
      <c r="BN687" s="1207"/>
      <c r="BO687" s="1207"/>
      <c r="BP687" s="1207"/>
      <c r="BQ687" s="1207"/>
      <c r="BR687" s="1207"/>
      <c r="BS687" s="1207"/>
      <c r="BT687" s="1207"/>
      <c r="BU687" s="1207"/>
      <c r="BV687" s="1207"/>
      <c r="BW687" s="1207"/>
      <c r="BX687" s="1207"/>
      <c r="BY687" s="1207"/>
      <c r="BZ687" s="1207"/>
      <c r="CA687" s="1207"/>
      <c r="CB687" s="1207"/>
      <c r="CC687" s="1207"/>
      <c r="CD687" s="1207"/>
      <c r="CE687" s="1207"/>
      <c r="CF687" s="1207"/>
    </row>
    <row r="688" spans="1:84" ht="105" x14ac:dyDescent="0.2">
      <c r="A688" s="1355">
        <v>2022694</v>
      </c>
      <c r="B688" s="1172">
        <v>7655</v>
      </c>
      <c r="C688" s="1356" t="s">
        <v>670</v>
      </c>
      <c r="D688" s="1190" t="s">
        <v>697</v>
      </c>
      <c r="E688" s="1174">
        <v>80111600</v>
      </c>
      <c r="F688" s="1389" t="s">
        <v>874</v>
      </c>
      <c r="G688" s="1390">
        <v>44760</v>
      </c>
      <c r="H688" s="1390">
        <v>44767</v>
      </c>
      <c r="I688" s="1176">
        <v>4</v>
      </c>
      <c r="J688" s="1176" t="s">
        <v>675</v>
      </c>
      <c r="K688" s="1177" t="s">
        <v>676</v>
      </c>
      <c r="L688" s="1178" t="s">
        <v>677</v>
      </c>
      <c r="M688" s="1179">
        <v>17388000</v>
      </c>
      <c r="N688" s="1386" t="s">
        <v>785</v>
      </c>
      <c r="O688" s="1174" t="s">
        <v>780</v>
      </c>
      <c r="P688" s="1163" t="s">
        <v>680</v>
      </c>
      <c r="Q688" s="1207"/>
      <c r="R688" s="1269">
        <v>17388000</v>
      </c>
      <c r="S688" s="1357"/>
      <c r="T688" s="1357">
        <f>+Tabla16[[#This Row],[CDPS A 31 JULIO 2022]]-Tabla16[[#This Row],[CDP]]</f>
        <v>17388000</v>
      </c>
      <c r="U688" s="1357"/>
      <c r="V688" s="1357"/>
      <c r="W688" s="1357"/>
      <c r="X688" s="1207"/>
      <c r="Y688" s="1207"/>
      <c r="Z688" s="1207"/>
      <c r="AA688" s="1207"/>
      <c r="AB688" s="1207"/>
      <c r="AC688" s="1207"/>
      <c r="AD688" s="1207"/>
      <c r="AE688" s="1207"/>
      <c r="AF688" s="1207"/>
      <c r="AG688" s="1207"/>
      <c r="AH688" s="1207"/>
      <c r="AI688" s="1207"/>
      <c r="AJ688" s="1207"/>
      <c r="AK688" s="1207"/>
      <c r="AL688" s="1207"/>
      <c r="AM688" s="1207"/>
      <c r="AN688" s="1207"/>
      <c r="AO688" s="1207"/>
      <c r="AP688" s="1207"/>
      <c r="AQ688" s="1207"/>
      <c r="AR688" s="1207"/>
      <c r="AS688" s="1207"/>
      <c r="AT688" s="1207"/>
      <c r="AU688" s="1207"/>
      <c r="AV688" s="1207"/>
      <c r="AW688" s="1207"/>
      <c r="AX688" s="1207"/>
      <c r="AY688" s="1207"/>
      <c r="AZ688" s="1207"/>
      <c r="BA688" s="1207"/>
      <c r="BB688" s="1207"/>
      <c r="BC688" s="1207"/>
      <c r="BD688" s="1207"/>
      <c r="BE688" s="1207"/>
      <c r="BF688" s="1207"/>
      <c r="BG688" s="1207"/>
      <c r="BH688" s="1207"/>
      <c r="BI688" s="1207"/>
      <c r="BJ688" s="1207"/>
      <c r="BK688" s="1207"/>
      <c r="BL688" s="1207"/>
      <c r="BM688" s="1207"/>
      <c r="BN688" s="1207"/>
      <c r="BO688" s="1207"/>
      <c r="BP688" s="1207"/>
      <c r="BQ688" s="1207"/>
      <c r="BR688" s="1207"/>
      <c r="BS688" s="1207"/>
      <c r="BT688" s="1207"/>
      <c r="BU688" s="1207"/>
      <c r="BV688" s="1207"/>
      <c r="BW688" s="1207"/>
      <c r="BX688" s="1207"/>
      <c r="BY688" s="1207"/>
      <c r="BZ688" s="1207"/>
      <c r="CA688" s="1207"/>
      <c r="CB688" s="1207"/>
      <c r="CC688" s="1207"/>
      <c r="CD688" s="1207"/>
      <c r="CE688" s="1207"/>
      <c r="CF688" s="1207"/>
    </row>
    <row r="689" spans="1:84" ht="105" x14ac:dyDescent="0.2">
      <c r="A689" s="1355">
        <v>2022695</v>
      </c>
      <c r="B689" s="1172">
        <v>7655</v>
      </c>
      <c r="C689" s="1356" t="s">
        <v>670</v>
      </c>
      <c r="D689" s="1190" t="s">
        <v>697</v>
      </c>
      <c r="E689" s="1174">
        <v>80111600</v>
      </c>
      <c r="F689" s="1389" t="s">
        <v>877</v>
      </c>
      <c r="G689" s="1390">
        <v>44767</v>
      </c>
      <c r="H689" s="1390">
        <v>44774</v>
      </c>
      <c r="I689" s="1176">
        <v>4</v>
      </c>
      <c r="J689" s="1176" t="s">
        <v>675</v>
      </c>
      <c r="K689" s="1177" t="s">
        <v>676</v>
      </c>
      <c r="L689" s="1178" t="s">
        <v>677</v>
      </c>
      <c r="M689" s="1179">
        <f>6800000+550000</f>
        <v>7350000</v>
      </c>
      <c r="N689" s="1386" t="s">
        <v>785</v>
      </c>
      <c r="O689" s="1174" t="s">
        <v>780</v>
      </c>
      <c r="P689" s="1163" t="s">
        <v>680</v>
      </c>
      <c r="Q689" s="1207"/>
      <c r="R689" s="1269">
        <v>6800000</v>
      </c>
      <c r="S689" s="1357"/>
      <c r="T689" s="1357">
        <f>+Tabla16[[#This Row],[CDPS A 31 JULIO 2022]]-Tabla16[[#This Row],[CDP]]</f>
        <v>6800000</v>
      </c>
      <c r="U689" s="1357"/>
      <c r="V689" s="1357"/>
      <c r="W689" s="1357"/>
      <c r="X689" s="1207"/>
      <c r="Y689" s="1207"/>
      <c r="Z689" s="1207"/>
      <c r="AA689" s="1207"/>
      <c r="AB689" s="1207"/>
      <c r="AC689" s="1207"/>
      <c r="AD689" s="1207"/>
      <c r="AE689" s="1207"/>
      <c r="AF689" s="1207"/>
      <c r="AG689" s="1207"/>
      <c r="AH689" s="1207"/>
      <c r="AI689" s="1207"/>
      <c r="AJ689" s="1207"/>
      <c r="AK689" s="1207"/>
      <c r="AL689" s="1207"/>
      <c r="AM689" s="1207"/>
      <c r="AN689" s="1207"/>
      <c r="AO689" s="1207"/>
      <c r="AP689" s="1207"/>
      <c r="AQ689" s="1207"/>
      <c r="AR689" s="1207"/>
      <c r="AS689" s="1207"/>
      <c r="AT689" s="1207"/>
      <c r="AU689" s="1207"/>
      <c r="AV689" s="1207"/>
      <c r="AW689" s="1207"/>
      <c r="AX689" s="1207"/>
      <c r="AY689" s="1207"/>
      <c r="AZ689" s="1207"/>
      <c r="BA689" s="1207"/>
      <c r="BB689" s="1207"/>
      <c r="BC689" s="1207"/>
      <c r="BD689" s="1207"/>
      <c r="BE689" s="1207"/>
      <c r="BF689" s="1207"/>
      <c r="BG689" s="1207"/>
      <c r="BH689" s="1207"/>
      <c r="BI689" s="1207"/>
      <c r="BJ689" s="1207"/>
      <c r="BK689" s="1207"/>
      <c r="BL689" s="1207"/>
      <c r="BM689" s="1207"/>
      <c r="BN689" s="1207"/>
      <c r="BO689" s="1207"/>
      <c r="BP689" s="1207"/>
      <c r="BQ689" s="1207"/>
      <c r="BR689" s="1207"/>
      <c r="BS689" s="1207"/>
      <c r="BT689" s="1207"/>
      <c r="BU689" s="1207"/>
      <c r="BV689" s="1207"/>
      <c r="BW689" s="1207"/>
      <c r="BX689" s="1207"/>
      <c r="BY689" s="1207"/>
      <c r="BZ689" s="1207"/>
      <c r="CA689" s="1207"/>
      <c r="CB689" s="1207"/>
      <c r="CC689" s="1207"/>
      <c r="CD689" s="1207"/>
      <c r="CE689" s="1207"/>
      <c r="CF689" s="1207"/>
    </row>
    <row r="690" spans="1:84" ht="135" x14ac:dyDescent="0.2">
      <c r="A690" s="1355">
        <v>2022696</v>
      </c>
      <c r="B690" s="1172">
        <v>7658</v>
      </c>
      <c r="C690" s="1356" t="s">
        <v>681</v>
      </c>
      <c r="D690" s="1190" t="s">
        <v>700</v>
      </c>
      <c r="E690" s="1174">
        <v>72101500</v>
      </c>
      <c r="F690" s="1389" t="s">
        <v>1317</v>
      </c>
      <c r="G690" s="1390">
        <v>44774</v>
      </c>
      <c r="H690" s="1390">
        <v>44788</v>
      </c>
      <c r="I690" s="1176">
        <v>6</v>
      </c>
      <c r="J690" s="1176" t="s">
        <v>675</v>
      </c>
      <c r="K690" s="1177" t="s">
        <v>676</v>
      </c>
      <c r="L690" s="1178" t="s">
        <v>959</v>
      </c>
      <c r="M690" s="1179">
        <v>28798000</v>
      </c>
      <c r="N690" s="1386" t="s">
        <v>786</v>
      </c>
      <c r="O690" s="1174" t="s">
        <v>773</v>
      </c>
      <c r="P690" s="1163" t="s">
        <v>680</v>
      </c>
      <c r="Q690" s="1207"/>
      <c r="R690" s="1269">
        <v>0</v>
      </c>
      <c r="S690" s="1357"/>
      <c r="T690" s="1357">
        <f>+Tabla16[[#This Row],[CDPS A 31 JULIO 2022]]-Tabla16[[#This Row],[CDP]]</f>
        <v>0</v>
      </c>
      <c r="U690" s="1357"/>
      <c r="V690" s="1357"/>
      <c r="W690" s="1357"/>
      <c r="X690" s="1207"/>
      <c r="Y690" s="1207"/>
      <c r="Z690" s="1207"/>
      <c r="AA690" s="1207"/>
      <c r="AB690" s="1207"/>
      <c r="AC690" s="1207"/>
      <c r="AD690" s="1207"/>
      <c r="AE690" s="1207"/>
      <c r="AF690" s="1207"/>
      <c r="AG690" s="1207"/>
      <c r="AH690" s="1207"/>
      <c r="AI690" s="1207"/>
      <c r="AJ690" s="1207"/>
      <c r="AK690" s="1207"/>
      <c r="AL690" s="1207"/>
      <c r="AM690" s="1207"/>
      <c r="AN690" s="1207"/>
      <c r="AO690" s="1207"/>
      <c r="AP690" s="1207"/>
      <c r="AQ690" s="1207"/>
      <c r="AR690" s="1207"/>
      <c r="AS690" s="1207"/>
      <c r="AT690" s="1207"/>
      <c r="AU690" s="1207"/>
      <c r="AV690" s="1207"/>
      <c r="AW690" s="1207"/>
      <c r="AX690" s="1207"/>
      <c r="AY690" s="1207"/>
      <c r="AZ690" s="1207"/>
      <c r="BA690" s="1207"/>
      <c r="BB690" s="1207"/>
      <c r="BC690" s="1207"/>
      <c r="BD690" s="1207"/>
      <c r="BE690" s="1207"/>
      <c r="BF690" s="1207"/>
      <c r="BG690" s="1207"/>
      <c r="BH690" s="1207"/>
      <c r="BI690" s="1207"/>
      <c r="BJ690" s="1207"/>
      <c r="BK690" s="1207"/>
      <c r="BL690" s="1207"/>
      <c r="BM690" s="1207"/>
      <c r="BN690" s="1207"/>
      <c r="BO690" s="1207"/>
      <c r="BP690" s="1207"/>
      <c r="BQ690" s="1207"/>
      <c r="BR690" s="1207"/>
      <c r="BS690" s="1207"/>
      <c r="BT690" s="1207"/>
      <c r="BU690" s="1207"/>
      <c r="BV690" s="1207"/>
      <c r="BW690" s="1207"/>
      <c r="BX690" s="1207"/>
      <c r="BY690" s="1207"/>
      <c r="BZ690" s="1207"/>
      <c r="CA690" s="1207"/>
      <c r="CB690" s="1207"/>
      <c r="CC690" s="1207"/>
      <c r="CD690" s="1207"/>
      <c r="CE690" s="1207"/>
      <c r="CF690" s="1207"/>
    </row>
    <row r="691" spans="1:84" ht="135" x14ac:dyDescent="0.2">
      <c r="A691" s="1355">
        <v>2022697</v>
      </c>
      <c r="B691" s="1172">
        <v>7658</v>
      </c>
      <c r="C691" s="1356" t="s">
        <v>681</v>
      </c>
      <c r="D691" s="1190" t="s">
        <v>700</v>
      </c>
      <c r="E691" s="1174" t="s">
        <v>1318</v>
      </c>
      <c r="F691" s="1389" t="s">
        <v>1319</v>
      </c>
      <c r="G691" s="1390">
        <v>44774</v>
      </c>
      <c r="H691" s="1390">
        <v>44788</v>
      </c>
      <c r="I691" s="1176">
        <v>6</v>
      </c>
      <c r="J691" s="1176" t="s">
        <v>675</v>
      </c>
      <c r="K691" s="1177" t="s">
        <v>676</v>
      </c>
      <c r="L691" s="1178" t="s">
        <v>959</v>
      </c>
      <c r="M691" s="1179">
        <v>46278754</v>
      </c>
      <c r="N691" s="1386" t="s">
        <v>786</v>
      </c>
      <c r="O691" s="1174" t="s">
        <v>773</v>
      </c>
      <c r="P691" s="1163" t="s">
        <v>680</v>
      </c>
      <c r="Q691" s="1207"/>
      <c r="R691" s="1269">
        <v>0</v>
      </c>
      <c r="S691" s="1357"/>
      <c r="T691" s="1357">
        <f>+Tabla16[[#This Row],[CDPS A 31 JULIO 2022]]-Tabla16[[#This Row],[CDP]]</f>
        <v>0</v>
      </c>
      <c r="U691" s="1357"/>
      <c r="V691" s="1357"/>
      <c r="W691" s="1357"/>
      <c r="X691" s="1207"/>
      <c r="Y691" s="1207"/>
      <c r="Z691" s="1207"/>
      <c r="AA691" s="1207"/>
      <c r="AB691" s="1207"/>
      <c r="AC691" s="1207"/>
      <c r="AD691" s="1207"/>
      <c r="AE691" s="1207"/>
      <c r="AF691" s="1207"/>
      <c r="AG691" s="1207"/>
      <c r="AH691" s="1207"/>
      <c r="AI691" s="1207"/>
      <c r="AJ691" s="1207"/>
      <c r="AK691" s="1207"/>
      <c r="AL691" s="1207"/>
      <c r="AM691" s="1207"/>
      <c r="AN691" s="1207"/>
      <c r="AO691" s="1207"/>
      <c r="AP691" s="1207"/>
      <c r="AQ691" s="1207"/>
      <c r="AR691" s="1207"/>
      <c r="AS691" s="1207"/>
      <c r="AT691" s="1207"/>
      <c r="AU691" s="1207"/>
      <c r="AV691" s="1207"/>
      <c r="AW691" s="1207"/>
      <c r="AX691" s="1207"/>
      <c r="AY691" s="1207"/>
      <c r="AZ691" s="1207"/>
      <c r="BA691" s="1207"/>
      <c r="BB691" s="1207"/>
      <c r="BC691" s="1207"/>
      <c r="BD691" s="1207"/>
      <c r="BE691" s="1207"/>
      <c r="BF691" s="1207"/>
      <c r="BG691" s="1207"/>
      <c r="BH691" s="1207"/>
      <c r="BI691" s="1207"/>
      <c r="BJ691" s="1207"/>
      <c r="BK691" s="1207"/>
      <c r="BL691" s="1207"/>
      <c r="BM691" s="1207"/>
      <c r="BN691" s="1207"/>
      <c r="BO691" s="1207"/>
      <c r="BP691" s="1207"/>
      <c r="BQ691" s="1207"/>
      <c r="BR691" s="1207"/>
      <c r="BS691" s="1207"/>
      <c r="BT691" s="1207"/>
      <c r="BU691" s="1207"/>
      <c r="BV691" s="1207"/>
      <c r="BW691" s="1207"/>
      <c r="BX691" s="1207"/>
      <c r="BY691" s="1207"/>
      <c r="BZ691" s="1207"/>
      <c r="CA691" s="1207"/>
      <c r="CB691" s="1207"/>
      <c r="CC691" s="1207"/>
      <c r="CD691" s="1207"/>
      <c r="CE691" s="1207"/>
      <c r="CF691" s="1207"/>
    </row>
    <row r="692" spans="1:84" ht="135" x14ac:dyDescent="0.2">
      <c r="A692" s="1355">
        <v>2022698</v>
      </c>
      <c r="B692" s="1172">
        <v>7658</v>
      </c>
      <c r="C692" s="1356" t="s">
        <v>681</v>
      </c>
      <c r="D692" s="1190" t="s">
        <v>700</v>
      </c>
      <c r="E692" s="1174" t="s">
        <v>1127</v>
      </c>
      <c r="F692" s="1389" t="s">
        <v>1320</v>
      </c>
      <c r="G692" s="1390">
        <v>44774</v>
      </c>
      <c r="H692" s="1390">
        <v>44788</v>
      </c>
      <c r="I692" s="1176">
        <v>6</v>
      </c>
      <c r="J692" s="1176" t="s">
        <v>675</v>
      </c>
      <c r="K692" s="1177" t="s">
        <v>676</v>
      </c>
      <c r="L692" s="1178" t="s">
        <v>959</v>
      </c>
      <c r="M692" s="1179">
        <f>80000000+19000000+1000000</f>
        <v>100000000</v>
      </c>
      <c r="N692" s="1386" t="s">
        <v>786</v>
      </c>
      <c r="O692" s="1174" t="s">
        <v>773</v>
      </c>
      <c r="P692" s="1163" t="s">
        <v>680</v>
      </c>
      <c r="Q692" s="1207"/>
      <c r="R692" s="1269">
        <v>0</v>
      </c>
      <c r="S692" s="1357"/>
      <c r="T692" s="1357">
        <f>+Tabla16[[#This Row],[CDPS A 31 JULIO 2022]]-Tabla16[[#This Row],[CDP]]</f>
        <v>0</v>
      </c>
      <c r="U692" s="1357"/>
      <c r="V692" s="1357"/>
      <c r="W692" s="1357"/>
      <c r="X692" s="1207"/>
      <c r="Y692" s="1207"/>
      <c r="Z692" s="1207"/>
      <c r="AA692" s="1207"/>
      <c r="AB692" s="1207"/>
      <c r="AC692" s="1207"/>
      <c r="AD692" s="1207"/>
      <c r="AE692" s="1207"/>
      <c r="AF692" s="1207"/>
      <c r="AG692" s="1207"/>
      <c r="AH692" s="1207"/>
      <c r="AI692" s="1207"/>
      <c r="AJ692" s="1207"/>
      <c r="AK692" s="1207"/>
      <c r="AL692" s="1207"/>
      <c r="AM692" s="1207"/>
      <c r="AN692" s="1207"/>
      <c r="AO692" s="1207"/>
      <c r="AP692" s="1207"/>
      <c r="AQ692" s="1207"/>
      <c r="AR692" s="1207"/>
      <c r="AS692" s="1207"/>
      <c r="AT692" s="1207"/>
      <c r="AU692" s="1207"/>
      <c r="AV692" s="1207"/>
      <c r="AW692" s="1207"/>
      <c r="AX692" s="1207"/>
      <c r="AY692" s="1207"/>
      <c r="AZ692" s="1207"/>
      <c r="BA692" s="1207"/>
      <c r="BB692" s="1207"/>
      <c r="BC692" s="1207"/>
      <c r="BD692" s="1207"/>
      <c r="BE692" s="1207"/>
      <c r="BF692" s="1207"/>
      <c r="BG692" s="1207"/>
      <c r="BH692" s="1207"/>
      <c r="BI692" s="1207"/>
      <c r="BJ692" s="1207"/>
      <c r="BK692" s="1207"/>
      <c r="BL692" s="1207"/>
      <c r="BM692" s="1207"/>
      <c r="BN692" s="1207"/>
      <c r="BO692" s="1207"/>
      <c r="BP692" s="1207"/>
      <c r="BQ692" s="1207"/>
      <c r="BR692" s="1207"/>
      <c r="BS692" s="1207"/>
      <c r="BT692" s="1207"/>
      <c r="BU692" s="1207"/>
      <c r="BV692" s="1207"/>
      <c r="BW692" s="1207"/>
      <c r="BX692" s="1207"/>
      <c r="BY692" s="1207"/>
      <c r="BZ692" s="1207"/>
      <c r="CA692" s="1207"/>
      <c r="CB692" s="1207"/>
      <c r="CC692" s="1207"/>
      <c r="CD692" s="1207"/>
      <c r="CE692" s="1207"/>
      <c r="CF692" s="1207"/>
    </row>
    <row r="693" spans="1:84" ht="135" x14ac:dyDescent="0.2">
      <c r="A693" s="1355">
        <v>2022699</v>
      </c>
      <c r="B693" s="1172">
        <v>7658</v>
      </c>
      <c r="C693" s="1356" t="s">
        <v>681</v>
      </c>
      <c r="D693" s="1190" t="s">
        <v>700</v>
      </c>
      <c r="E693" s="1174">
        <v>72101509</v>
      </c>
      <c r="F693" s="1389" t="s">
        <v>1321</v>
      </c>
      <c r="G693" s="1390">
        <v>44774</v>
      </c>
      <c r="H693" s="1390">
        <v>44788</v>
      </c>
      <c r="I693" s="1176">
        <v>6</v>
      </c>
      <c r="J693" s="1176" t="s">
        <v>675</v>
      </c>
      <c r="K693" s="1177" t="s">
        <v>676</v>
      </c>
      <c r="L693" s="1178" t="s">
        <v>959</v>
      </c>
      <c r="M693" s="1179">
        <f>40000000+30148267</f>
        <v>70148267</v>
      </c>
      <c r="N693" s="1386" t="s">
        <v>786</v>
      </c>
      <c r="O693" s="1174" t="s">
        <v>773</v>
      </c>
      <c r="P693" s="1163" t="s">
        <v>680</v>
      </c>
      <c r="Q693" s="1207"/>
      <c r="R693" s="1269">
        <v>0</v>
      </c>
      <c r="S693" s="1357"/>
      <c r="T693" s="1357">
        <f>+Tabla16[[#This Row],[CDPS A 31 JULIO 2022]]-Tabla16[[#This Row],[CDP]]</f>
        <v>0</v>
      </c>
      <c r="U693" s="1357"/>
      <c r="V693" s="1357"/>
      <c r="W693" s="1357"/>
      <c r="X693" s="1207"/>
      <c r="Y693" s="1207"/>
      <c r="Z693" s="1207"/>
      <c r="AA693" s="1207"/>
      <c r="AB693" s="1207"/>
      <c r="AC693" s="1207"/>
      <c r="AD693" s="1207"/>
      <c r="AE693" s="1207"/>
      <c r="AF693" s="1207"/>
      <c r="AG693" s="1207"/>
      <c r="AH693" s="1207"/>
      <c r="AI693" s="1207"/>
      <c r="AJ693" s="1207"/>
      <c r="AK693" s="1207"/>
      <c r="AL693" s="1207"/>
      <c r="AM693" s="1207"/>
      <c r="AN693" s="1207"/>
      <c r="AO693" s="1207"/>
      <c r="AP693" s="1207"/>
      <c r="AQ693" s="1207"/>
      <c r="AR693" s="1207"/>
      <c r="AS693" s="1207"/>
      <c r="AT693" s="1207"/>
      <c r="AU693" s="1207"/>
      <c r="AV693" s="1207"/>
      <c r="AW693" s="1207"/>
      <c r="AX693" s="1207"/>
      <c r="AY693" s="1207"/>
      <c r="AZ693" s="1207"/>
      <c r="BA693" s="1207"/>
      <c r="BB693" s="1207"/>
      <c r="BC693" s="1207"/>
      <c r="BD693" s="1207"/>
      <c r="BE693" s="1207"/>
      <c r="BF693" s="1207"/>
      <c r="BG693" s="1207"/>
      <c r="BH693" s="1207"/>
      <c r="BI693" s="1207"/>
      <c r="BJ693" s="1207"/>
      <c r="BK693" s="1207"/>
      <c r="BL693" s="1207"/>
      <c r="BM693" s="1207"/>
      <c r="BN693" s="1207"/>
      <c r="BO693" s="1207"/>
      <c r="BP693" s="1207"/>
      <c r="BQ693" s="1207"/>
      <c r="BR693" s="1207"/>
      <c r="BS693" s="1207"/>
      <c r="BT693" s="1207"/>
      <c r="BU693" s="1207"/>
      <c r="BV693" s="1207"/>
      <c r="BW693" s="1207"/>
      <c r="BX693" s="1207"/>
      <c r="BY693" s="1207"/>
      <c r="BZ693" s="1207"/>
      <c r="CA693" s="1207"/>
      <c r="CB693" s="1207"/>
      <c r="CC693" s="1207"/>
      <c r="CD693" s="1207"/>
      <c r="CE693" s="1207"/>
      <c r="CF693" s="1207"/>
    </row>
    <row r="694" spans="1:84" ht="135" x14ac:dyDescent="0.2">
      <c r="A694" s="1355">
        <v>2022700</v>
      </c>
      <c r="B694" s="1172">
        <v>7658</v>
      </c>
      <c r="C694" s="1356" t="s">
        <v>681</v>
      </c>
      <c r="D694" s="1190" t="s">
        <v>700</v>
      </c>
      <c r="E694" s="1174">
        <v>80111600</v>
      </c>
      <c r="F694" s="1389" t="s">
        <v>1322</v>
      </c>
      <c r="G694" s="1390">
        <v>44757</v>
      </c>
      <c r="H694" s="1390">
        <v>44762</v>
      </c>
      <c r="I694" s="1176">
        <v>6</v>
      </c>
      <c r="J694" s="1176" t="s">
        <v>675</v>
      </c>
      <c r="K694" s="1177" t="s">
        <v>676</v>
      </c>
      <c r="L694" s="1178" t="s">
        <v>677</v>
      </c>
      <c r="M694" s="1179">
        <v>20100000</v>
      </c>
      <c r="N694" s="1386" t="s">
        <v>781</v>
      </c>
      <c r="O694" s="1174" t="s">
        <v>773</v>
      </c>
      <c r="P694" s="1163" t="s">
        <v>680</v>
      </c>
      <c r="Q694" s="1207"/>
      <c r="R694" s="1269">
        <v>0</v>
      </c>
      <c r="S694" s="1357"/>
      <c r="T694" s="1357">
        <f>+Tabla16[[#This Row],[CDPS A 31 JULIO 2022]]-Tabla16[[#This Row],[CDP]]</f>
        <v>0</v>
      </c>
      <c r="U694" s="1357"/>
      <c r="V694" s="1357"/>
      <c r="W694" s="1357"/>
      <c r="X694" s="1207"/>
      <c r="Y694" s="1207"/>
      <c r="Z694" s="1207"/>
      <c r="AA694" s="1207"/>
      <c r="AB694" s="1207"/>
      <c r="AC694" s="1207"/>
      <c r="AD694" s="1207"/>
      <c r="AE694" s="1207"/>
      <c r="AF694" s="1207"/>
      <c r="AG694" s="1207"/>
      <c r="AH694" s="1207"/>
      <c r="AI694" s="1207"/>
      <c r="AJ694" s="1207"/>
      <c r="AK694" s="1207"/>
      <c r="AL694" s="1207"/>
      <c r="AM694" s="1207"/>
      <c r="AN694" s="1207"/>
      <c r="AO694" s="1207"/>
      <c r="AP694" s="1207"/>
      <c r="AQ694" s="1207"/>
      <c r="AR694" s="1207"/>
      <c r="AS694" s="1207"/>
      <c r="AT694" s="1207"/>
      <c r="AU694" s="1207"/>
      <c r="AV694" s="1207"/>
      <c r="AW694" s="1207"/>
      <c r="AX694" s="1207"/>
      <c r="AY694" s="1207"/>
      <c r="AZ694" s="1207"/>
      <c r="BA694" s="1207"/>
      <c r="BB694" s="1207"/>
      <c r="BC694" s="1207"/>
      <c r="BD694" s="1207"/>
      <c r="BE694" s="1207"/>
      <c r="BF694" s="1207"/>
      <c r="BG694" s="1207"/>
      <c r="BH694" s="1207"/>
      <c r="BI694" s="1207"/>
      <c r="BJ694" s="1207"/>
      <c r="BK694" s="1207"/>
      <c r="BL694" s="1207"/>
      <c r="BM694" s="1207"/>
      <c r="BN694" s="1207"/>
      <c r="BO694" s="1207"/>
      <c r="BP694" s="1207"/>
      <c r="BQ694" s="1207"/>
      <c r="BR694" s="1207"/>
      <c r="BS694" s="1207"/>
      <c r="BT694" s="1207"/>
      <c r="BU694" s="1207"/>
      <c r="BV694" s="1207"/>
      <c r="BW694" s="1207"/>
      <c r="BX694" s="1207"/>
      <c r="BY694" s="1207"/>
      <c r="BZ694" s="1207"/>
      <c r="CA694" s="1207"/>
      <c r="CB694" s="1207"/>
      <c r="CC694" s="1207"/>
      <c r="CD694" s="1207"/>
      <c r="CE694" s="1207"/>
      <c r="CF694" s="1207"/>
    </row>
    <row r="695" spans="1:84" ht="135" x14ac:dyDescent="0.2">
      <c r="A695" s="1355">
        <v>2022701</v>
      </c>
      <c r="B695" s="1172">
        <v>7658</v>
      </c>
      <c r="C695" s="1356" t="s">
        <v>681</v>
      </c>
      <c r="D695" s="1190" t="s">
        <v>700</v>
      </c>
      <c r="E695" s="1174">
        <v>80111600</v>
      </c>
      <c r="F695" s="1389" t="s">
        <v>1323</v>
      </c>
      <c r="G695" s="1390">
        <v>44757</v>
      </c>
      <c r="H695" s="1390">
        <v>44762</v>
      </c>
      <c r="I695" s="1176">
        <v>6</v>
      </c>
      <c r="J695" s="1176" t="s">
        <v>675</v>
      </c>
      <c r="K695" s="1177" t="s">
        <v>676</v>
      </c>
      <c r="L695" s="1178" t="s">
        <v>677</v>
      </c>
      <c r="M695" s="1179">
        <v>30000000</v>
      </c>
      <c r="N695" s="1386" t="s">
        <v>781</v>
      </c>
      <c r="O695" s="1174" t="s">
        <v>773</v>
      </c>
      <c r="P695" s="1163" t="s">
        <v>680</v>
      </c>
      <c r="Q695" s="1207"/>
      <c r="R695" s="1357">
        <v>30000000</v>
      </c>
      <c r="S695" s="1357"/>
      <c r="T695" s="1357">
        <f>+Tabla16[[#This Row],[CDPS A 31 JULIO 2022]]-Tabla16[[#This Row],[CDP]]</f>
        <v>30000000</v>
      </c>
      <c r="U695" s="1357"/>
      <c r="V695" s="1357"/>
      <c r="W695" s="1357"/>
      <c r="X695" s="1207"/>
      <c r="Y695" s="1207"/>
      <c r="Z695" s="1207"/>
      <c r="AA695" s="1207"/>
      <c r="AB695" s="1207"/>
      <c r="AC695" s="1207"/>
      <c r="AD695" s="1207"/>
      <c r="AE695" s="1207"/>
      <c r="AF695" s="1207"/>
      <c r="AG695" s="1207"/>
      <c r="AH695" s="1207"/>
      <c r="AI695" s="1207"/>
      <c r="AJ695" s="1207"/>
      <c r="AK695" s="1207"/>
      <c r="AL695" s="1207"/>
      <c r="AM695" s="1207"/>
      <c r="AN695" s="1207"/>
      <c r="AO695" s="1207"/>
      <c r="AP695" s="1207"/>
      <c r="AQ695" s="1207"/>
      <c r="AR695" s="1207"/>
      <c r="AS695" s="1207"/>
      <c r="AT695" s="1207"/>
      <c r="AU695" s="1207"/>
      <c r="AV695" s="1207"/>
      <c r="AW695" s="1207"/>
      <c r="AX695" s="1207"/>
      <c r="AY695" s="1207"/>
      <c r="AZ695" s="1207"/>
      <c r="BA695" s="1207"/>
      <c r="BB695" s="1207"/>
      <c r="BC695" s="1207"/>
      <c r="BD695" s="1207"/>
      <c r="BE695" s="1207"/>
      <c r="BF695" s="1207"/>
      <c r="BG695" s="1207"/>
      <c r="BH695" s="1207"/>
      <c r="BI695" s="1207"/>
      <c r="BJ695" s="1207"/>
      <c r="BK695" s="1207"/>
      <c r="BL695" s="1207"/>
      <c r="BM695" s="1207"/>
      <c r="BN695" s="1207"/>
      <c r="BO695" s="1207"/>
      <c r="BP695" s="1207"/>
      <c r="BQ695" s="1207"/>
      <c r="BR695" s="1207"/>
      <c r="BS695" s="1207"/>
      <c r="BT695" s="1207"/>
      <c r="BU695" s="1207"/>
      <c r="BV695" s="1207"/>
      <c r="BW695" s="1207"/>
      <c r="BX695" s="1207"/>
      <c r="BY695" s="1207"/>
      <c r="BZ695" s="1207"/>
      <c r="CA695" s="1207"/>
      <c r="CB695" s="1207"/>
      <c r="CC695" s="1207"/>
      <c r="CD695" s="1207"/>
      <c r="CE695" s="1207"/>
      <c r="CF695" s="1207"/>
    </row>
    <row r="696" spans="1:84" ht="135" x14ac:dyDescent="0.2">
      <c r="A696" s="1355">
        <v>2022702</v>
      </c>
      <c r="B696" s="1172">
        <v>7658</v>
      </c>
      <c r="C696" s="1356" t="s">
        <v>681</v>
      </c>
      <c r="D696" s="1190" t="s">
        <v>691</v>
      </c>
      <c r="E696" s="1174" t="s">
        <v>1324</v>
      </c>
      <c r="F696" s="1389" t="s">
        <v>1325</v>
      </c>
      <c r="G696" s="1390">
        <v>44757</v>
      </c>
      <c r="H696" s="1390">
        <v>44753</v>
      </c>
      <c r="I696" s="1176">
        <v>2.5</v>
      </c>
      <c r="J696" s="1176" t="s">
        <v>682</v>
      </c>
      <c r="K696" s="1177" t="s">
        <v>676</v>
      </c>
      <c r="L696" s="1178" t="s">
        <v>968</v>
      </c>
      <c r="M696" s="1179">
        <f>50011677-50011677</f>
        <v>0</v>
      </c>
      <c r="N696" s="1386" t="s">
        <v>774</v>
      </c>
      <c r="O696" s="1174" t="s">
        <v>773</v>
      </c>
      <c r="P696" s="1163" t="s">
        <v>759</v>
      </c>
      <c r="Q696" s="1207"/>
      <c r="R696" s="1269">
        <v>0</v>
      </c>
      <c r="S696" s="1357"/>
      <c r="T696" s="1357">
        <f>+Tabla16[[#This Row],[CDPS A 31 JULIO 2022]]-Tabla16[[#This Row],[CDP]]</f>
        <v>0</v>
      </c>
      <c r="U696" s="1357"/>
      <c r="V696" s="1357"/>
      <c r="W696" s="1357"/>
      <c r="X696" s="1207"/>
      <c r="Y696" s="1207"/>
      <c r="Z696" s="1207"/>
      <c r="AA696" s="1207"/>
      <c r="AB696" s="1207"/>
      <c r="AC696" s="1207"/>
      <c r="AD696" s="1207"/>
      <c r="AE696" s="1207"/>
      <c r="AF696" s="1207"/>
      <c r="AG696" s="1207"/>
      <c r="AH696" s="1207"/>
      <c r="AI696" s="1207"/>
      <c r="AJ696" s="1207"/>
      <c r="AK696" s="1207"/>
      <c r="AL696" s="1207"/>
      <c r="AM696" s="1207"/>
      <c r="AN696" s="1207"/>
      <c r="AO696" s="1207"/>
      <c r="AP696" s="1207"/>
      <c r="AQ696" s="1207"/>
      <c r="AR696" s="1207"/>
      <c r="AS696" s="1207"/>
      <c r="AT696" s="1207"/>
      <c r="AU696" s="1207"/>
      <c r="AV696" s="1207"/>
      <c r="AW696" s="1207"/>
      <c r="AX696" s="1207"/>
      <c r="AY696" s="1207"/>
      <c r="AZ696" s="1207"/>
      <c r="BA696" s="1207"/>
      <c r="BB696" s="1207"/>
      <c r="BC696" s="1207"/>
      <c r="BD696" s="1207"/>
      <c r="BE696" s="1207"/>
      <c r="BF696" s="1207"/>
      <c r="BG696" s="1207"/>
      <c r="BH696" s="1207"/>
      <c r="BI696" s="1207"/>
      <c r="BJ696" s="1207"/>
      <c r="BK696" s="1207"/>
      <c r="BL696" s="1207"/>
      <c r="BM696" s="1207"/>
      <c r="BN696" s="1207"/>
      <c r="BO696" s="1207"/>
      <c r="BP696" s="1207"/>
      <c r="BQ696" s="1207"/>
      <c r="BR696" s="1207"/>
      <c r="BS696" s="1207"/>
      <c r="BT696" s="1207"/>
      <c r="BU696" s="1207"/>
      <c r="BV696" s="1207"/>
      <c r="BW696" s="1207"/>
      <c r="BX696" s="1207"/>
      <c r="BY696" s="1207"/>
      <c r="BZ696" s="1207"/>
      <c r="CA696" s="1207"/>
      <c r="CB696" s="1207"/>
      <c r="CC696" s="1207"/>
      <c r="CD696" s="1207"/>
      <c r="CE696" s="1207"/>
      <c r="CF696" s="1207"/>
    </row>
    <row r="697" spans="1:84" ht="135" x14ac:dyDescent="0.2">
      <c r="A697" s="1355">
        <v>2022703</v>
      </c>
      <c r="B697" s="1172">
        <v>7658</v>
      </c>
      <c r="C697" s="1356" t="s">
        <v>681</v>
      </c>
      <c r="D697" s="1190" t="s">
        <v>691</v>
      </c>
      <c r="E697" s="1174" t="s">
        <v>1326</v>
      </c>
      <c r="F697" s="1389" t="s">
        <v>1327</v>
      </c>
      <c r="G697" s="1390">
        <v>44757</v>
      </c>
      <c r="H697" s="1390">
        <v>44753</v>
      </c>
      <c r="I697" s="1176">
        <v>2.5</v>
      </c>
      <c r="J697" s="1176" t="s">
        <v>1328</v>
      </c>
      <c r="K697" s="1177" t="s">
        <v>676</v>
      </c>
      <c r="L697" s="1178" t="s">
        <v>968</v>
      </c>
      <c r="M697" s="1179">
        <f>370857468-370857468</f>
        <v>0</v>
      </c>
      <c r="N697" s="1386" t="s">
        <v>774</v>
      </c>
      <c r="O697" s="1174" t="s">
        <v>773</v>
      </c>
      <c r="P697" s="1163" t="s">
        <v>759</v>
      </c>
      <c r="Q697" s="1207"/>
      <c r="R697" s="1269">
        <v>0</v>
      </c>
      <c r="S697" s="1357"/>
      <c r="T697" s="1357">
        <f>+Tabla16[[#This Row],[CDPS A 31 JULIO 2022]]-Tabla16[[#This Row],[CDP]]</f>
        <v>0</v>
      </c>
      <c r="U697" s="1357"/>
      <c r="V697" s="1357"/>
      <c r="W697" s="1357"/>
      <c r="X697" s="1207"/>
      <c r="Y697" s="1207"/>
      <c r="Z697" s="1207"/>
      <c r="AA697" s="1207"/>
      <c r="AB697" s="1207"/>
      <c r="AC697" s="1207"/>
      <c r="AD697" s="1207"/>
      <c r="AE697" s="1207"/>
      <c r="AF697" s="1207"/>
      <c r="AG697" s="1207"/>
      <c r="AH697" s="1207"/>
      <c r="AI697" s="1207"/>
      <c r="AJ697" s="1207"/>
      <c r="AK697" s="1207"/>
      <c r="AL697" s="1207"/>
      <c r="AM697" s="1207"/>
      <c r="AN697" s="1207"/>
      <c r="AO697" s="1207"/>
      <c r="AP697" s="1207"/>
      <c r="AQ697" s="1207"/>
      <c r="AR697" s="1207"/>
      <c r="AS697" s="1207"/>
      <c r="AT697" s="1207"/>
      <c r="AU697" s="1207"/>
      <c r="AV697" s="1207"/>
      <c r="AW697" s="1207"/>
      <c r="AX697" s="1207"/>
      <c r="AY697" s="1207"/>
      <c r="AZ697" s="1207"/>
      <c r="BA697" s="1207"/>
      <c r="BB697" s="1207"/>
      <c r="BC697" s="1207"/>
      <c r="BD697" s="1207"/>
      <c r="BE697" s="1207"/>
      <c r="BF697" s="1207"/>
      <c r="BG697" s="1207"/>
      <c r="BH697" s="1207"/>
      <c r="BI697" s="1207"/>
      <c r="BJ697" s="1207"/>
      <c r="BK697" s="1207"/>
      <c r="BL697" s="1207"/>
      <c r="BM697" s="1207"/>
      <c r="BN697" s="1207"/>
      <c r="BO697" s="1207"/>
      <c r="BP697" s="1207"/>
      <c r="BQ697" s="1207"/>
      <c r="BR697" s="1207"/>
      <c r="BS697" s="1207"/>
      <c r="BT697" s="1207"/>
      <c r="BU697" s="1207"/>
      <c r="BV697" s="1207"/>
      <c r="BW697" s="1207"/>
      <c r="BX697" s="1207"/>
      <c r="BY697" s="1207"/>
      <c r="BZ697" s="1207"/>
      <c r="CA697" s="1207"/>
      <c r="CB697" s="1207"/>
      <c r="CC697" s="1207"/>
      <c r="CD697" s="1207"/>
      <c r="CE697" s="1207"/>
      <c r="CF697" s="1207"/>
    </row>
    <row r="698" spans="1:84" ht="135" x14ac:dyDescent="0.2">
      <c r="A698" s="1355">
        <v>2022704</v>
      </c>
      <c r="B698" s="1172">
        <v>7658</v>
      </c>
      <c r="C698" s="1356" t="s">
        <v>681</v>
      </c>
      <c r="D698" s="1190" t="s">
        <v>691</v>
      </c>
      <c r="E698" s="1174">
        <v>80111600</v>
      </c>
      <c r="F698" s="1389" t="s">
        <v>1329</v>
      </c>
      <c r="G698" s="1390">
        <v>44770</v>
      </c>
      <c r="H698" s="1390">
        <v>44757</v>
      </c>
      <c r="I698" s="1176">
        <v>6</v>
      </c>
      <c r="J698" s="1176" t="s">
        <v>675</v>
      </c>
      <c r="K698" s="1177" t="s">
        <v>676</v>
      </c>
      <c r="L698" s="1178" t="s">
        <v>677</v>
      </c>
      <c r="M698" s="1179">
        <v>49200000</v>
      </c>
      <c r="N698" s="1386" t="s">
        <v>774</v>
      </c>
      <c r="O698" s="1174" t="s">
        <v>773</v>
      </c>
      <c r="P698" s="1163" t="s">
        <v>680</v>
      </c>
      <c r="Q698" s="1207"/>
      <c r="R698" s="1357">
        <v>49200000</v>
      </c>
      <c r="S698" s="1357"/>
      <c r="T698" s="1357">
        <f>+Tabla16[[#This Row],[CDPS A 31 JULIO 2022]]-Tabla16[[#This Row],[CDP]]</f>
        <v>49200000</v>
      </c>
      <c r="U698" s="1357"/>
      <c r="V698" s="1357"/>
      <c r="W698" s="1357"/>
      <c r="X698" s="1207"/>
      <c r="Y698" s="1207"/>
      <c r="Z698" s="1207"/>
      <c r="AA698" s="1207"/>
      <c r="AB698" s="1207"/>
      <c r="AC698" s="1207"/>
      <c r="AD698" s="1207"/>
      <c r="AE698" s="1207"/>
      <c r="AF698" s="1207"/>
      <c r="AG698" s="1207"/>
      <c r="AH698" s="1207"/>
      <c r="AI698" s="1207"/>
      <c r="AJ698" s="1207"/>
      <c r="AK698" s="1207"/>
      <c r="AL698" s="1207"/>
      <c r="AM698" s="1207"/>
      <c r="AN698" s="1207"/>
      <c r="AO698" s="1207"/>
      <c r="AP698" s="1207"/>
      <c r="AQ698" s="1207"/>
      <c r="AR698" s="1207"/>
      <c r="AS698" s="1207"/>
      <c r="AT698" s="1207"/>
      <c r="AU698" s="1207"/>
      <c r="AV698" s="1207"/>
      <c r="AW698" s="1207"/>
      <c r="AX698" s="1207"/>
      <c r="AY698" s="1207"/>
      <c r="AZ698" s="1207"/>
      <c r="BA698" s="1207"/>
      <c r="BB698" s="1207"/>
      <c r="BC698" s="1207"/>
      <c r="BD698" s="1207"/>
      <c r="BE698" s="1207"/>
      <c r="BF698" s="1207"/>
      <c r="BG698" s="1207"/>
      <c r="BH698" s="1207"/>
      <c r="BI698" s="1207"/>
      <c r="BJ698" s="1207"/>
      <c r="BK698" s="1207"/>
      <c r="BL698" s="1207"/>
      <c r="BM698" s="1207"/>
      <c r="BN698" s="1207"/>
      <c r="BO698" s="1207"/>
      <c r="BP698" s="1207"/>
      <c r="BQ698" s="1207"/>
      <c r="BR698" s="1207"/>
      <c r="BS698" s="1207"/>
      <c r="BT698" s="1207"/>
      <c r="BU698" s="1207"/>
      <c r="BV698" s="1207"/>
      <c r="BW698" s="1207"/>
      <c r="BX698" s="1207"/>
      <c r="BY698" s="1207"/>
      <c r="BZ698" s="1207"/>
      <c r="CA698" s="1207"/>
      <c r="CB698" s="1207"/>
      <c r="CC698" s="1207"/>
      <c r="CD698" s="1207"/>
      <c r="CE698" s="1207"/>
      <c r="CF698" s="1207"/>
    </row>
    <row r="699" spans="1:84" ht="135" x14ac:dyDescent="0.2">
      <c r="A699" s="1355">
        <v>2022705</v>
      </c>
      <c r="B699" s="1172">
        <v>7658</v>
      </c>
      <c r="C699" s="1356" t="s">
        <v>681</v>
      </c>
      <c r="D699" s="1190" t="s">
        <v>691</v>
      </c>
      <c r="E699" s="1174">
        <v>80111600</v>
      </c>
      <c r="F699" s="1389" t="s">
        <v>1330</v>
      </c>
      <c r="G699" s="1390">
        <v>44770</v>
      </c>
      <c r="H699" s="1390">
        <v>44757</v>
      </c>
      <c r="I699" s="1176">
        <v>6</v>
      </c>
      <c r="J699" s="1176" t="s">
        <v>675</v>
      </c>
      <c r="K699" s="1177" t="s">
        <v>676</v>
      </c>
      <c r="L699" s="1178" t="s">
        <v>677</v>
      </c>
      <c r="M699" s="1179">
        <v>36000000</v>
      </c>
      <c r="N699" s="1386" t="s">
        <v>774</v>
      </c>
      <c r="O699" s="1174" t="s">
        <v>773</v>
      </c>
      <c r="P699" s="1163" t="s">
        <v>680</v>
      </c>
      <c r="Q699" s="1207"/>
      <c r="R699" s="1357">
        <v>36000000</v>
      </c>
      <c r="S699" s="1357"/>
      <c r="T699" s="1357">
        <f>+Tabla16[[#This Row],[CDPS A 31 JULIO 2022]]-Tabla16[[#This Row],[CDP]]</f>
        <v>36000000</v>
      </c>
      <c r="U699" s="1357"/>
      <c r="V699" s="1357"/>
      <c r="W699" s="1357"/>
      <c r="X699" s="1207"/>
      <c r="Y699" s="1207"/>
      <c r="Z699" s="1207"/>
      <c r="AA699" s="1207"/>
      <c r="AB699" s="1207"/>
      <c r="AC699" s="1207"/>
      <c r="AD699" s="1207"/>
      <c r="AE699" s="1207"/>
      <c r="AF699" s="1207"/>
      <c r="AG699" s="1207"/>
      <c r="AH699" s="1207"/>
      <c r="AI699" s="1207"/>
      <c r="AJ699" s="1207"/>
      <c r="AK699" s="1207"/>
      <c r="AL699" s="1207"/>
      <c r="AM699" s="1207"/>
      <c r="AN699" s="1207"/>
      <c r="AO699" s="1207"/>
      <c r="AP699" s="1207"/>
      <c r="AQ699" s="1207"/>
      <c r="AR699" s="1207"/>
      <c r="AS699" s="1207"/>
      <c r="AT699" s="1207"/>
      <c r="AU699" s="1207"/>
      <c r="AV699" s="1207"/>
      <c r="AW699" s="1207"/>
      <c r="AX699" s="1207"/>
      <c r="AY699" s="1207"/>
      <c r="AZ699" s="1207"/>
      <c r="BA699" s="1207"/>
      <c r="BB699" s="1207"/>
      <c r="BC699" s="1207"/>
      <c r="BD699" s="1207"/>
      <c r="BE699" s="1207"/>
      <c r="BF699" s="1207"/>
      <c r="BG699" s="1207"/>
      <c r="BH699" s="1207"/>
      <c r="BI699" s="1207"/>
      <c r="BJ699" s="1207"/>
      <c r="BK699" s="1207"/>
      <c r="BL699" s="1207"/>
      <c r="BM699" s="1207"/>
      <c r="BN699" s="1207"/>
      <c r="BO699" s="1207"/>
      <c r="BP699" s="1207"/>
      <c r="BQ699" s="1207"/>
      <c r="BR699" s="1207"/>
      <c r="BS699" s="1207"/>
      <c r="BT699" s="1207"/>
      <c r="BU699" s="1207"/>
      <c r="BV699" s="1207"/>
      <c r="BW699" s="1207"/>
      <c r="BX699" s="1207"/>
      <c r="BY699" s="1207"/>
      <c r="BZ699" s="1207"/>
      <c r="CA699" s="1207"/>
      <c r="CB699" s="1207"/>
      <c r="CC699" s="1207"/>
      <c r="CD699" s="1207"/>
      <c r="CE699" s="1207"/>
      <c r="CF699" s="1207"/>
    </row>
    <row r="700" spans="1:84" ht="105" x14ac:dyDescent="0.2">
      <c r="A700" s="1355">
        <v>2022707</v>
      </c>
      <c r="B700" s="1172">
        <v>7655</v>
      </c>
      <c r="C700" s="1356" t="s">
        <v>670</v>
      </c>
      <c r="D700" s="1190" t="s">
        <v>691</v>
      </c>
      <c r="E700" s="1174" t="s">
        <v>782</v>
      </c>
      <c r="F700" s="1389" t="s">
        <v>1333</v>
      </c>
      <c r="G700" s="1390">
        <v>44762</v>
      </c>
      <c r="H700" s="1390">
        <v>44762</v>
      </c>
      <c r="I700" s="1176">
        <v>6</v>
      </c>
      <c r="J700" s="1176" t="s">
        <v>675</v>
      </c>
      <c r="K700" s="1177" t="s">
        <v>676</v>
      </c>
      <c r="L700" s="1178" t="s">
        <v>677</v>
      </c>
      <c r="M700" s="1179">
        <v>16800000</v>
      </c>
      <c r="N700" s="1386" t="s">
        <v>785</v>
      </c>
      <c r="O700" s="1174" t="s">
        <v>780</v>
      </c>
      <c r="P700" s="1298" t="s">
        <v>680</v>
      </c>
      <c r="Q700" s="1207"/>
      <c r="R700" s="1269">
        <v>16800000</v>
      </c>
      <c r="S700" s="1357"/>
      <c r="T700" s="1357">
        <f>+Tabla16[[#This Row],[CDPS A 31 JULIO 2022]]-Tabla16[[#This Row],[CDP]]</f>
        <v>16800000</v>
      </c>
      <c r="U700" s="1357"/>
      <c r="V700" s="1357"/>
      <c r="W700" s="1357"/>
      <c r="X700" s="1207"/>
      <c r="Y700" s="1207"/>
      <c r="Z700" s="1207"/>
      <c r="AA700" s="1207"/>
      <c r="AB700" s="1207"/>
      <c r="AC700" s="1207"/>
      <c r="AD700" s="1207"/>
      <c r="AE700" s="1207"/>
      <c r="AF700" s="1207"/>
      <c r="AG700" s="1207"/>
      <c r="AH700" s="1207"/>
      <c r="AI700" s="1207"/>
      <c r="AJ700" s="1207"/>
      <c r="AK700" s="1207"/>
      <c r="AL700" s="1207"/>
      <c r="AM700" s="1207"/>
      <c r="AN700" s="1207"/>
      <c r="AO700" s="1207"/>
      <c r="AP700" s="1207"/>
      <c r="AQ700" s="1207"/>
      <c r="AR700" s="1207"/>
      <c r="AS700" s="1207"/>
      <c r="AT700" s="1207"/>
      <c r="AU700" s="1207"/>
      <c r="AV700" s="1207"/>
      <c r="AW700" s="1207"/>
      <c r="AX700" s="1207"/>
      <c r="AY700" s="1207"/>
      <c r="AZ700" s="1207"/>
      <c r="BA700" s="1207"/>
      <c r="BB700" s="1207"/>
      <c r="BC700" s="1207"/>
      <c r="BD700" s="1207"/>
      <c r="BE700" s="1207"/>
      <c r="BF700" s="1207"/>
      <c r="BG700" s="1207"/>
      <c r="BH700" s="1207"/>
      <c r="BI700" s="1207"/>
      <c r="BJ700" s="1207"/>
      <c r="BK700" s="1207"/>
      <c r="BL700" s="1207"/>
      <c r="BM700" s="1207"/>
      <c r="BN700" s="1207"/>
      <c r="BO700" s="1207"/>
      <c r="BP700" s="1207"/>
      <c r="BQ700" s="1207"/>
      <c r="BR700" s="1207"/>
      <c r="BS700" s="1207"/>
      <c r="BT700" s="1207"/>
      <c r="BU700" s="1207"/>
      <c r="BV700" s="1207"/>
      <c r="BW700" s="1207"/>
      <c r="BX700" s="1207"/>
      <c r="BY700" s="1207"/>
      <c r="BZ700" s="1207"/>
      <c r="CA700" s="1207"/>
      <c r="CB700" s="1207"/>
      <c r="CC700" s="1207"/>
      <c r="CD700" s="1207"/>
      <c r="CE700" s="1207"/>
      <c r="CF700" s="1207"/>
    </row>
    <row r="701" spans="1:84" ht="105" x14ac:dyDescent="0.2">
      <c r="A701" s="1355">
        <v>2022708</v>
      </c>
      <c r="B701" s="1172">
        <v>7658</v>
      </c>
      <c r="C701" s="1356" t="s">
        <v>681</v>
      </c>
      <c r="D701" s="1190" t="s">
        <v>694</v>
      </c>
      <c r="E701" s="1174">
        <v>80111600</v>
      </c>
      <c r="F701" s="1389" t="s">
        <v>1087</v>
      </c>
      <c r="G701" s="1390">
        <v>44774</v>
      </c>
      <c r="H701" s="1390">
        <v>44804</v>
      </c>
      <c r="I701" s="1176">
        <v>4</v>
      </c>
      <c r="J701" s="1176" t="s">
        <v>675</v>
      </c>
      <c r="K701" s="1177" t="s">
        <v>676</v>
      </c>
      <c r="L701" s="1178" t="s">
        <v>677</v>
      </c>
      <c r="M701" s="1179">
        <v>13400000</v>
      </c>
      <c r="N701" s="1386" t="s">
        <v>770</v>
      </c>
      <c r="O701" s="1174" t="s">
        <v>769</v>
      </c>
      <c r="P701" s="1207" t="s">
        <v>680</v>
      </c>
      <c r="Q701" s="1207"/>
      <c r="R701" s="1357">
        <v>13400000</v>
      </c>
      <c r="S701" s="1357"/>
      <c r="T701" s="1357">
        <f>+Tabla16[[#This Row],[CDPS A 31 JULIO 2022]]-Tabla16[[#This Row],[CDP]]</f>
        <v>13400000</v>
      </c>
      <c r="U701" s="1357"/>
      <c r="V701" s="1357"/>
      <c r="W701" s="1357" t="s">
        <v>1334</v>
      </c>
      <c r="X701" s="1207"/>
      <c r="Y701" s="1207"/>
      <c r="Z701" s="1207"/>
      <c r="AA701" s="1207"/>
      <c r="AB701" s="1207"/>
      <c r="AC701" s="1207"/>
      <c r="AD701" s="1207"/>
      <c r="AE701" s="1207"/>
      <c r="AF701" s="1207"/>
      <c r="AG701" s="1207"/>
      <c r="AH701" s="1207"/>
      <c r="AI701" s="1207"/>
      <c r="AJ701" s="1207"/>
      <c r="AK701" s="1207"/>
      <c r="AL701" s="1207"/>
      <c r="AM701" s="1207"/>
      <c r="AN701" s="1207"/>
      <c r="AO701" s="1207"/>
      <c r="AP701" s="1207"/>
      <c r="AQ701" s="1207"/>
      <c r="AR701" s="1207"/>
      <c r="AS701" s="1207"/>
      <c r="AT701" s="1207"/>
      <c r="AU701" s="1207"/>
      <c r="AV701" s="1207"/>
      <c r="AW701" s="1207"/>
      <c r="AX701" s="1207"/>
      <c r="AY701" s="1207"/>
      <c r="AZ701" s="1207"/>
      <c r="BA701" s="1207"/>
      <c r="BB701" s="1207"/>
      <c r="BC701" s="1207"/>
      <c r="BD701" s="1207"/>
      <c r="BE701" s="1207"/>
      <c r="BF701" s="1207"/>
      <c r="BG701" s="1207"/>
      <c r="BH701" s="1207"/>
      <c r="BI701" s="1207"/>
      <c r="BJ701" s="1207"/>
      <c r="BK701" s="1207"/>
      <c r="BL701" s="1207"/>
      <c r="BM701" s="1207"/>
      <c r="BN701" s="1207"/>
      <c r="BO701" s="1207"/>
      <c r="BP701" s="1207"/>
      <c r="BQ701" s="1207"/>
      <c r="BR701" s="1207"/>
      <c r="BS701" s="1207"/>
      <c r="BT701" s="1207"/>
      <c r="BU701" s="1207"/>
      <c r="BV701" s="1207"/>
      <c r="BW701" s="1207"/>
      <c r="BX701" s="1207"/>
      <c r="BY701" s="1207"/>
      <c r="BZ701" s="1207"/>
      <c r="CA701" s="1207"/>
      <c r="CB701" s="1207"/>
      <c r="CC701" s="1207"/>
      <c r="CD701" s="1207"/>
      <c r="CE701" s="1207"/>
      <c r="CF701" s="1207"/>
    </row>
    <row r="702" spans="1:84" ht="105" x14ac:dyDescent="0.2">
      <c r="A702" s="1355">
        <v>2022709</v>
      </c>
      <c r="B702" s="1172">
        <v>7658</v>
      </c>
      <c r="C702" s="1356" t="s">
        <v>681</v>
      </c>
      <c r="D702" s="1190" t="s">
        <v>694</v>
      </c>
      <c r="E702" s="1174">
        <v>80111600</v>
      </c>
      <c r="F702" s="1389" t="s">
        <v>1087</v>
      </c>
      <c r="G702" s="1390">
        <v>44774</v>
      </c>
      <c r="H702" s="1390">
        <v>44804</v>
      </c>
      <c r="I702" s="1176">
        <v>4</v>
      </c>
      <c r="J702" s="1176" t="s">
        <v>675</v>
      </c>
      <c r="K702" s="1177" t="s">
        <v>676</v>
      </c>
      <c r="L702" s="1178" t="s">
        <v>677</v>
      </c>
      <c r="M702" s="1179">
        <v>13200000</v>
      </c>
      <c r="N702" s="1386" t="s">
        <v>770</v>
      </c>
      <c r="O702" s="1174" t="s">
        <v>769</v>
      </c>
      <c r="P702" s="1207" t="s">
        <v>680</v>
      </c>
      <c r="Q702" s="1207"/>
      <c r="R702" s="1357">
        <v>13200000</v>
      </c>
      <c r="S702" s="1357"/>
      <c r="T702" s="1357">
        <f>+Tabla16[[#This Row],[CDPS A 31 JULIO 2022]]-Tabla16[[#This Row],[CDP]]</f>
        <v>13200000</v>
      </c>
      <c r="U702" s="1357"/>
      <c r="V702" s="1357"/>
      <c r="W702" s="1357" t="s">
        <v>1334</v>
      </c>
      <c r="X702" s="1207"/>
      <c r="Y702" s="1207"/>
      <c r="Z702" s="1207"/>
      <c r="AA702" s="1207"/>
      <c r="AB702" s="1207"/>
      <c r="AC702" s="1207"/>
      <c r="AD702" s="1207"/>
      <c r="AE702" s="1207"/>
      <c r="AF702" s="1207"/>
      <c r="AG702" s="1207"/>
      <c r="AH702" s="1207"/>
      <c r="AI702" s="1207"/>
      <c r="AJ702" s="1207"/>
      <c r="AK702" s="1207"/>
      <c r="AL702" s="1207"/>
      <c r="AM702" s="1207"/>
      <c r="AN702" s="1207"/>
      <c r="AO702" s="1207"/>
      <c r="AP702" s="1207"/>
      <c r="AQ702" s="1207"/>
      <c r="AR702" s="1207"/>
      <c r="AS702" s="1207"/>
      <c r="AT702" s="1207"/>
      <c r="AU702" s="1207"/>
      <c r="AV702" s="1207"/>
      <c r="AW702" s="1207"/>
      <c r="AX702" s="1207"/>
      <c r="AY702" s="1207"/>
      <c r="AZ702" s="1207"/>
      <c r="BA702" s="1207"/>
      <c r="BB702" s="1207"/>
      <c r="BC702" s="1207"/>
      <c r="BD702" s="1207"/>
      <c r="BE702" s="1207"/>
      <c r="BF702" s="1207"/>
      <c r="BG702" s="1207"/>
      <c r="BH702" s="1207"/>
      <c r="BI702" s="1207"/>
      <c r="BJ702" s="1207"/>
      <c r="BK702" s="1207"/>
      <c r="BL702" s="1207"/>
      <c r="BM702" s="1207"/>
      <c r="BN702" s="1207"/>
      <c r="BO702" s="1207"/>
      <c r="BP702" s="1207"/>
      <c r="BQ702" s="1207"/>
      <c r="BR702" s="1207"/>
      <c r="BS702" s="1207"/>
      <c r="BT702" s="1207"/>
      <c r="BU702" s="1207"/>
      <c r="BV702" s="1207"/>
      <c r="BW702" s="1207"/>
      <c r="BX702" s="1207"/>
      <c r="BY702" s="1207"/>
      <c r="BZ702" s="1207"/>
      <c r="CA702" s="1207"/>
      <c r="CB702" s="1207"/>
      <c r="CC702" s="1207"/>
      <c r="CD702" s="1207"/>
      <c r="CE702" s="1207"/>
      <c r="CF702" s="1207"/>
    </row>
    <row r="703" spans="1:84" ht="105" x14ac:dyDescent="0.2">
      <c r="A703" s="1355">
        <v>2022710</v>
      </c>
      <c r="B703" s="1172">
        <v>7658</v>
      </c>
      <c r="C703" s="1356" t="s">
        <v>681</v>
      </c>
      <c r="D703" s="1190" t="s">
        <v>694</v>
      </c>
      <c r="E703" s="1174">
        <v>80111600</v>
      </c>
      <c r="F703" s="1389" t="s">
        <v>1094</v>
      </c>
      <c r="G703" s="1390">
        <v>44774</v>
      </c>
      <c r="H703" s="1390">
        <v>44804</v>
      </c>
      <c r="I703" s="1176">
        <v>4</v>
      </c>
      <c r="J703" s="1176" t="s">
        <v>675</v>
      </c>
      <c r="K703" s="1177" t="s">
        <v>676</v>
      </c>
      <c r="L703" s="1178" t="s">
        <v>677</v>
      </c>
      <c r="M703" s="1179">
        <v>19400000</v>
      </c>
      <c r="N703" s="1386" t="s">
        <v>770</v>
      </c>
      <c r="O703" s="1174" t="s">
        <v>769</v>
      </c>
      <c r="P703" s="1207" t="s">
        <v>680</v>
      </c>
      <c r="Q703" s="1207"/>
      <c r="R703" s="1357">
        <v>19400000</v>
      </c>
      <c r="S703" s="1357"/>
      <c r="T703" s="1357">
        <f>+Tabla16[[#This Row],[CDPS A 31 JULIO 2022]]-Tabla16[[#This Row],[CDP]]</f>
        <v>19400000</v>
      </c>
      <c r="U703" s="1357"/>
      <c r="V703" s="1357"/>
      <c r="W703" s="1357" t="s">
        <v>1334</v>
      </c>
      <c r="X703" s="1207"/>
      <c r="Y703" s="1207"/>
      <c r="Z703" s="1207"/>
      <c r="AA703" s="1207"/>
      <c r="AB703" s="1207"/>
      <c r="AC703" s="1207"/>
      <c r="AD703" s="1207"/>
      <c r="AE703" s="1207"/>
      <c r="AF703" s="1207"/>
      <c r="AG703" s="1207"/>
      <c r="AH703" s="1207"/>
      <c r="AI703" s="1207"/>
      <c r="AJ703" s="1207"/>
      <c r="AK703" s="1207"/>
      <c r="AL703" s="1207"/>
      <c r="AM703" s="1207"/>
      <c r="AN703" s="1207"/>
      <c r="AO703" s="1207"/>
      <c r="AP703" s="1207"/>
      <c r="AQ703" s="1207"/>
      <c r="AR703" s="1207"/>
      <c r="AS703" s="1207"/>
      <c r="AT703" s="1207"/>
      <c r="AU703" s="1207"/>
      <c r="AV703" s="1207"/>
      <c r="AW703" s="1207"/>
      <c r="AX703" s="1207"/>
      <c r="AY703" s="1207"/>
      <c r="AZ703" s="1207"/>
      <c r="BA703" s="1207"/>
      <c r="BB703" s="1207"/>
      <c r="BC703" s="1207"/>
      <c r="BD703" s="1207"/>
      <c r="BE703" s="1207"/>
      <c r="BF703" s="1207"/>
      <c r="BG703" s="1207"/>
      <c r="BH703" s="1207"/>
      <c r="BI703" s="1207"/>
      <c r="BJ703" s="1207"/>
      <c r="BK703" s="1207"/>
      <c r="BL703" s="1207"/>
      <c r="BM703" s="1207"/>
      <c r="BN703" s="1207"/>
      <c r="BO703" s="1207"/>
      <c r="BP703" s="1207"/>
      <c r="BQ703" s="1207"/>
      <c r="BR703" s="1207"/>
      <c r="BS703" s="1207"/>
      <c r="BT703" s="1207"/>
      <c r="BU703" s="1207"/>
      <c r="BV703" s="1207"/>
      <c r="BW703" s="1207"/>
      <c r="BX703" s="1207"/>
      <c r="BY703" s="1207"/>
      <c r="BZ703" s="1207"/>
      <c r="CA703" s="1207"/>
      <c r="CB703" s="1207"/>
      <c r="CC703" s="1207"/>
      <c r="CD703" s="1207"/>
      <c r="CE703" s="1207"/>
      <c r="CF703" s="1207"/>
    </row>
    <row r="704" spans="1:84" ht="105" x14ac:dyDescent="0.2">
      <c r="A704" s="1355">
        <v>2022711</v>
      </c>
      <c r="B704" s="1172">
        <v>7658</v>
      </c>
      <c r="C704" s="1356" t="s">
        <v>681</v>
      </c>
      <c r="D704" s="1190" t="s">
        <v>694</v>
      </c>
      <c r="E704" s="1174">
        <v>80111600</v>
      </c>
      <c r="F704" s="1389" t="s">
        <v>1094</v>
      </c>
      <c r="G704" s="1390">
        <v>44774</v>
      </c>
      <c r="H704" s="1390">
        <v>44804</v>
      </c>
      <c r="I704" s="1176">
        <v>4</v>
      </c>
      <c r="J704" s="1176" t="s">
        <v>675</v>
      </c>
      <c r="K704" s="1177" t="s">
        <v>676</v>
      </c>
      <c r="L704" s="1178" t="s">
        <v>677</v>
      </c>
      <c r="M704" s="1179">
        <v>14000000</v>
      </c>
      <c r="N704" s="1386" t="s">
        <v>770</v>
      </c>
      <c r="O704" s="1174" t="s">
        <v>769</v>
      </c>
      <c r="P704" s="1207" t="s">
        <v>680</v>
      </c>
      <c r="Q704" s="1207"/>
      <c r="R704" s="1357">
        <v>14000000</v>
      </c>
      <c r="S704" s="1357"/>
      <c r="T704" s="1357">
        <f>+Tabla16[[#This Row],[CDPS A 31 JULIO 2022]]-Tabla16[[#This Row],[CDP]]</f>
        <v>14000000</v>
      </c>
      <c r="U704" s="1357"/>
      <c r="V704" s="1357"/>
      <c r="W704" s="1357"/>
      <c r="X704" s="1207"/>
      <c r="Y704" s="1207"/>
      <c r="Z704" s="1207"/>
      <c r="AA704" s="1207"/>
      <c r="AB704" s="1207"/>
      <c r="AC704" s="1207"/>
      <c r="AD704" s="1207"/>
      <c r="AE704" s="1207"/>
      <c r="AF704" s="1207"/>
      <c r="AG704" s="1207"/>
      <c r="AH704" s="1207"/>
      <c r="AI704" s="1207"/>
      <c r="AJ704" s="1207"/>
      <c r="AK704" s="1207"/>
      <c r="AL704" s="1207"/>
      <c r="AM704" s="1207"/>
      <c r="AN704" s="1207"/>
      <c r="AO704" s="1207"/>
      <c r="AP704" s="1207"/>
      <c r="AQ704" s="1207"/>
      <c r="AR704" s="1207"/>
      <c r="AS704" s="1207"/>
      <c r="AT704" s="1207"/>
      <c r="AU704" s="1207"/>
      <c r="AV704" s="1207"/>
      <c r="AW704" s="1207"/>
      <c r="AX704" s="1207"/>
      <c r="AY704" s="1207"/>
      <c r="AZ704" s="1207"/>
      <c r="BA704" s="1207"/>
      <c r="BB704" s="1207"/>
      <c r="BC704" s="1207"/>
      <c r="BD704" s="1207"/>
      <c r="BE704" s="1207"/>
      <c r="BF704" s="1207"/>
      <c r="BG704" s="1207"/>
      <c r="BH704" s="1207"/>
      <c r="BI704" s="1207"/>
      <c r="BJ704" s="1207"/>
      <c r="BK704" s="1207"/>
      <c r="BL704" s="1207"/>
      <c r="BM704" s="1207"/>
      <c r="BN704" s="1207"/>
      <c r="BO704" s="1207"/>
      <c r="BP704" s="1207"/>
      <c r="BQ704" s="1207"/>
      <c r="BR704" s="1207"/>
      <c r="BS704" s="1207"/>
      <c r="BT704" s="1207"/>
      <c r="BU704" s="1207"/>
      <c r="BV704" s="1207"/>
      <c r="BW704" s="1207"/>
      <c r="BX704" s="1207"/>
      <c r="BY704" s="1207"/>
      <c r="BZ704" s="1207"/>
      <c r="CA704" s="1207"/>
      <c r="CB704" s="1207"/>
      <c r="CC704" s="1207"/>
      <c r="CD704" s="1207"/>
      <c r="CE704" s="1207"/>
      <c r="CF704" s="1207"/>
    </row>
    <row r="705" spans="1:84" ht="105" x14ac:dyDescent="0.2">
      <c r="A705" s="1355">
        <v>2022712</v>
      </c>
      <c r="B705" s="1172">
        <v>7658</v>
      </c>
      <c r="C705" s="1356" t="s">
        <v>681</v>
      </c>
      <c r="D705" s="1190" t="s">
        <v>694</v>
      </c>
      <c r="E705" s="1174">
        <v>80111600</v>
      </c>
      <c r="F705" s="1389" t="s">
        <v>1097</v>
      </c>
      <c r="G705" s="1390">
        <v>44774</v>
      </c>
      <c r="H705" s="1390">
        <v>44804</v>
      </c>
      <c r="I705" s="1176">
        <v>4</v>
      </c>
      <c r="J705" s="1176" t="s">
        <v>675</v>
      </c>
      <c r="K705" s="1177" t="s">
        <v>676</v>
      </c>
      <c r="L705" s="1178" t="s">
        <v>677</v>
      </c>
      <c r="M705" s="1179">
        <v>20000000</v>
      </c>
      <c r="N705" s="1386" t="s">
        <v>770</v>
      </c>
      <c r="O705" s="1174" t="s">
        <v>769</v>
      </c>
      <c r="P705" s="1207" t="s">
        <v>680</v>
      </c>
      <c r="Q705" s="1207"/>
      <c r="R705" s="1357">
        <v>20000000</v>
      </c>
      <c r="S705" s="1357"/>
      <c r="T705" s="1357">
        <f>+Tabla16[[#This Row],[CDPS A 31 JULIO 2022]]-Tabla16[[#This Row],[CDP]]</f>
        <v>20000000</v>
      </c>
      <c r="U705" s="1357"/>
      <c r="V705" s="1357"/>
      <c r="W705" s="1357"/>
      <c r="X705" s="1207"/>
      <c r="Y705" s="1207"/>
      <c r="Z705" s="1207"/>
      <c r="AA705" s="1207"/>
      <c r="AB705" s="1207"/>
      <c r="AC705" s="1207"/>
      <c r="AD705" s="1207"/>
      <c r="AE705" s="1207"/>
      <c r="AF705" s="1207"/>
      <c r="AG705" s="1207"/>
      <c r="AH705" s="1207"/>
      <c r="AI705" s="1207"/>
      <c r="AJ705" s="1207"/>
      <c r="AK705" s="1207"/>
      <c r="AL705" s="1207"/>
      <c r="AM705" s="1207"/>
      <c r="AN705" s="1207"/>
      <c r="AO705" s="1207"/>
      <c r="AP705" s="1207"/>
      <c r="AQ705" s="1207"/>
      <c r="AR705" s="1207"/>
      <c r="AS705" s="1207"/>
      <c r="AT705" s="1207"/>
      <c r="AU705" s="1207"/>
      <c r="AV705" s="1207"/>
      <c r="AW705" s="1207"/>
      <c r="AX705" s="1207"/>
      <c r="AY705" s="1207"/>
      <c r="AZ705" s="1207"/>
      <c r="BA705" s="1207"/>
      <c r="BB705" s="1207"/>
      <c r="BC705" s="1207"/>
      <c r="BD705" s="1207"/>
      <c r="BE705" s="1207"/>
      <c r="BF705" s="1207"/>
      <c r="BG705" s="1207"/>
      <c r="BH705" s="1207"/>
      <c r="BI705" s="1207"/>
      <c r="BJ705" s="1207"/>
      <c r="BK705" s="1207"/>
      <c r="BL705" s="1207"/>
      <c r="BM705" s="1207"/>
      <c r="BN705" s="1207"/>
      <c r="BO705" s="1207"/>
      <c r="BP705" s="1207"/>
      <c r="BQ705" s="1207"/>
      <c r="BR705" s="1207"/>
      <c r="BS705" s="1207"/>
      <c r="BT705" s="1207"/>
      <c r="BU705" s="1207"/>
      <c r="BV705" s="1207"/>
      <c r="BW705" s="1207"/>
      <c r="BX705" s="1207"/>
      <c r="BY705" s="1207"/>
      <c r="BZ705" s="1207"/>
      <c r="CA705" s="1207"/>
      <c r="CB705" s="1207"/>
      <c r="CC705" s="1207"/>
      <c r="CD705" s="1207"/>
      <c r="CE705" s="1207"/>
      <c r="CF705" s="1207"/>
    </row>
    <row r="706" spans="1:84" ht="105" x14ac:dyDescent="0.2">
      <c r="A706" s="1355">
        <v>2022713</v>
      </c>
      <c r="B706" s="1172">
        <v>7658</v>
      </c>
      <c r="C706" s="1356" t="s">
        <v>681</v>
      </c>
      <c r="D706" s="1190" t="s">
        <v>694</v>
      </c>
      <c r="E706" s="1174">
        <v>80111600</v>
      </c>
      <c r="F706" s="1389" t="s">
        <v>1103</v>
      </c>
      <c r="G706" s="1390">
        <v>44774</v>
      </c>
      <c r="H706" s="1390">
        <v>44804</v>
      </c>
      <c r="I706" s="1176">
        <v>4</v>
      </c>
      <c r="J706" s="1176" t="s">
        <v>675</v>
      </c>
      <c r="K706" s="1177" t="s">
        <v>676</v>
      </c>
      <c r="L706" s="1178" t="s">
        <v>677</v>
      </c>
      <c r="M706" s="1179">
        <v>32000000</v>
      </c>
      <c r="N706" s="1386" t="s">
        <v>770</v>
      </c>
      <c r="O706" s="1174" t="s">
        <v>769</v>
      </c>
      <c r="P706" s="1207" t="s">
        <v>680</v>
      </c>
      <c r="Q706" s="1207"/>
      <c r="R706" s="1357">
        <v>32000000</v>
      </c>
      <c r="S706" s="1357"/>
      <c r="T706" s="1357">
        <f>+Tabla16[[#This Row],[CDPS A 31 JULIO 2022]]-Tabla16[[#This Row],[CDP]]</f>
        <v>32000000</v>
      </c>
      <c r="U706" s="1357"/>
      <c r="V706" s="1357"/>
      <c r="W706" s="1357" t="s">
        <v>1075</v>
      </c>
      <c r="X706" s="1207"/>
      <c r="Y706" s="1207"/>
      <c r="Z706" s="1207"/>
      <c r="AA706" s="1207"/>
      <c r="AB706" s="1207"/>
      <c r="AC706" s="1207"/>
      <c r="AD706" s="1207"/>
      <c r="AE706" s="1207"/>
      <c r="AF706" s="1207"/>
      <c r="AG706" s="1207"/>
      <c r="AH706" s="1207"/>
      <c r="AI706" s="1207"/>
      <c r="AJ706" s="1207"/>
      <c r="AK706" s="1207"/>
      <c r="AL706" s="1207"/>
      <c r="AM706" s="1207"/>
      <c r="AN706" s="1207"/>
      <c r="AO706" s="1207"/>
      <c r="AP706" s="1207"/>
      <c r="AQ706" s="1207"/>
      <c r="AR706" s="1207"/>
      <c r="AS706" s="1207"/>
      <c r="AT706" s="1207"/>
      <c r="AU706" s="1207"/>
      <c r="AV706" s="1207"/>
      <c r="AW706" s="1207"/>
      <c r="AX706" s="1207"/>
      <c r="AY706" s="1207"/>
      <c r="AZ706" s="1207"/>
      <c r="BA706" s="1207"/>
      <c r="BB706" s="1207"/>
      <c r="BC706" s="1207"/>
      <c r="BD706" s="1207"/>
      <c r="BE706" s="1207"/>
      <c r="BF706" s="1207"/>
      <c r="BG706" s="1207"/>
      <c r="BH706" s="1207"/>
      <c r="BI706" s="1207"/>
      <c r="BJ706" s="1207"/>
      <c r="BK706" s="1207"/>
      <c r="BL706" s="1207"/>
      <c r="BM706" s="1207"/>
      <c r="BN706" s="1207"/>
      <c r="BO706" s="1207"/>
      <c r="BP706" s="1207"/>
      <c r="BQ706" s="1207"/>
      <c r="BR706" s="1207"/>
      <c r="BS706" s="1207"/>
      <c r="BT706" s="1207"/>
      <c r="BU706" s="1207"/>
      <c r="BV706" s="1207"/>
      <c r="BW706" s="1207"/>
      <c r="BX706" s="1207"/>
      <c r="BY706" s="1207"/>
      <c r="BZ706" s="1207"/>
      <c r="CA706" s="1207"/>
      <c r="CB706" s="1207"/>
      <c r="CC706" s="1207"/>
      <c r="CD706" s="1207"/>
      <c r="CE706" s="1207"/>
      <c r="CF706" s="1207"/>
    </row>
    <row r="707" spans="1:84" ht="105" x14ac:dyDescent="0.2">
      <c r="A707" s="1355">
        <v>2022714</v>
      </c>
      <c r="B707" s="1172">
        <v>7658</v>
      </c>
      <c r="C707" s="1356" t="s">
        <v>681</v>
      </c>
      <c r="D707" s="1190" t="s">
        <v>694</v>
      </c>
      <c r="E707" s="1174">
        <v>80111600</v>
      </c>
      <c r="F707" s="1389" t="s">
        <v>1104</v>
      </c>
      <c r="G707" s="1390">
        <v>44774</v>
      </c>
      <c r="H707" s="1390">
        <v>44804</v>
      </c>
      <c r="I707" s="1176">
        <v>4</v>
      </c>
      <c r="J707" s="1176" t="s">
        <v>675</v>
      </c>
      <c r="K707" s="1177" t="s">
        <v>676</v>
      </c>
      <c r="L707" s="1178" t="s">
        <v>677</v>
      </c>
      <c r="M707" s="1179">
        <v>18800000</v>
      </c>
      <c r="N707" s="1386" t="s">
        <v>770</v>
      </c>
      <c r="O707" s="1174" t="s">
        <v>769</v>
      </c>
      <c r="P707" s="1207" t="s">
        <v>680</v>
      </c>
      <c r="Q707" s="1207"/>
      <c r="R707" s="1357">
        <v>18800000</v>
      </c>
      <c r="S707" s="1357"/>
      <c r="T707" s="1357">
        <f>+Tabla16[[#This Row],[CDPS A 31 JULIO 2022]]-Tabla16[[#This Row],[CDP]]</f>
        <v>18800000</v>
      </c>
      <c r="U707" s="1357"/>
      <c r="V707" s="1357"/>
      <c r="W707" s="1357" t="s">
        <v>1075</v>
      </c>
      <c r="X707" s="1207"/>
      <c r="Y707" s="1207"/>
      <c r="Z707" s="1207"/>
      <c r="AA707" s="1207"/>
      <c r="AB707" s="1207"/>
      <c r="AC707" s="1207"/>
      <c r="AD707" s="1207"/>
      <c r="AE707" s="1207"/>
      <c r="AF707" s="1207"/>
      <c r="AG707" s="1207"/>
      <c r="AH707" s="1207"/>
      <c r="AI707" s="1207"/>
      <c r="AJ707" s="1207"/>
      <c r="AK707" s="1207"/>
      <c r="AL707" s="1207"/>
      <c r="AM707" s="1207"/>
      <c r="AN707" s="1207"/>
      <c r="AO707" s="1207"/>
      <c r="AP707" s="1207"/>
      <c r="AQ707" s="1207"/>
      <c r="AR707" s="1207"/>
      <c r="AS707" s="1207"/>
      <c r="AT707" s="1207"/>
      <c r="AU707" s="1207"/>
      <c r="AV707" s="1207"/>
      <c r="AW707" s="1207"/>
      <c r="AX707" s="1207"/>
      <c r="AY707" s="1207"/>
      <c r="AZ707" s="1207"/>
      <c r="BA707" s="1207"/>
      <c r="BB707" s="1207"/>
      <c r="BC707" s="1207"/>
      <c r="BD707" s="1207"/>
      <c r="BE707" s="1207"/>
      <c r="BF707" s="1207"/>
      <c r="BG707" s="1207"/>
      <c r="BH707" s="1207"/>
      <c r="BI707" s="1207"/>
      <c r="BJ707" s="1207"/>
      <c r="BK707" s="1207"/>
      <c r="BL707" s="1207"/>
      <c r="BM707" s="1207"/>
      <c r="BN707" s="1207"/>
      <c r="BO707" s="1207"/>
      <c r="BP707" s="1207"/>
      <c r="BQ707" s="1207"/>
      <c r="BR707" s="1207"/>
      <c r="BS707" s="1207"/>
      <c r="BT707" s="1207"/>
      <c r="BU707" s="1207"/>
      <c r="BV707" s="1207"/>
      <c r="BW707" s="1207"/>
      <c r="BX707" s="1207"/>
      <c r="BY707" s="1207"/>
      <c r="BZ707" s="1207"/>
      <c r="CA707" s="1207"/>
      <c r="CB707" s="1207"/>
      <c r="CC707" s="1207"/>
      <c r="CD707" s="1207"/>
      <c r="CE707" s="1207"/>
      <c r="CF707" s="1207"/>
    </row>
    <row r="708" spans="1:84" ht="105" x14ac:dyDescent="0.2">
      <c r="A708" s="1355">
        <v>2022716</v>
      </c>
      <c r="B708" s="1172">
        <v>7637</v>
      </c>
      <c r="C708" s="1356" t="s">
        <v>645</v>
      </c>
      <c r="D708" s="1190" t="s">
        <v>673</v>
      </c>
      <c r="E708" s="1174" t="s">
        <v>1337</v>
      </c>
      <c r="F708" s="1389" t="s">
        <v>1338</v>
      </c>
      <c r="G708" s="1390">
        <v>44782</v>
      </c>
      <c r="H708" s="1390">
        <v>44802</v>
      </c>
      <c r="I708" s="1176">
        <v>12</v>
      </c>
      <c r="J708" s="1176" t="s">
        <v>722</v>
      </c>
      <c r="K708" s="1177" t="s">
        <v>772</v>
      </c>
      <c r="L708" s="1178" t="s">
        <v>737</v>
      </c>
      <c r="M708" s="1179">
        <v>132000000</v>
      </c>
      <c r="N708" s="1189" t="s">
        <v>678</v>
      </c>
      <c r="O708" s="1174" t="s">
        <v>679</v>
      </c>
      <c r="P708" s="1207" t="s">
        <v>680</v>
      </c>
      <c r="Q708" s="1207"/>
      <c r="R708" s="1269">
        <v>132000000</v>
      </c>
      <c r="S708" s="1357"/>
      <c r="T708" s="1357">
        <f>+Tabla16[[#This Row],[CDPS A 31 JULIO 2022]]-Tabla16[[#This Row],[CDP]]</f>
        <v>132000000</v>
      </c>
      <c r="U708" s="1357"/>
      <c r="V708" s="1357"/>
      <c r="W708" s="1357"/>
      <c r="X708" s="1207"/>
      <c r="Y708" s="1207"/>
      <c r="Z708" s="1207"/>
      <c r="AA708" s="1207"/>
      <c r="AB708" s="1207"/>
      <c r="AC708" s="1207"/>
      <c r="AD708" s="1207"/>
      <c r="AE708" s="1207"/>
      <c r="AF708" s="1207"/>
      <c r="AG708" s="1207"/>
      <c r="AH708" s="1207"/>
      <c r="AI708" s="1207"/>
      <c r="AJ708" s="1207"/>
      <c r="AK708" s="1207"/>
      <c r="AL708" s="1207"/>
      <c r="AM708" s="1207"/>
      <c r="AN708" s="1207"/>
      <c r="AO708" s="1207"/>
      <c r="AP708" s="1207"/>
      <c r="AQ708" s="1207"/>
      <c r="AR708" s="1207"/>
      <c r="AS708" s="1207"/>
      <c r="AT708" s="1207"/>
      <c r="AU708" s="1207"/>
      <c r="AV708" s="1207"/>
      <c r="AW708" s="1207"/>
      <c r="AX708" s="1207"/>
      <c r="AY708" s="1207"/>
      <c r="AZ708" s="1207"/>
      <c r="BA708" s="1207"/>
      <c r="BB708" s="1207"/>
      <c r="BC708" s="1207"/>
      <c r="BD708" s="1207"/>
      <c r="BE708" s="1207"/>
      <c r="BF708" s="1207"/>
      <c r="BG708" s="1207"/>
      <c r="BH708" s="1207"/>
      <c r="BI708" s="1207"/>
      <c r="BJ708" s="1207"/>
      <c r="BK708" s="1207"/>
      <c r="BL708" s="1207"/>
      <c r="BM708" s="1207"/>
      <c r="BN708" s="1207"/>
      <c r="BO708" s="1207"/>
      <c r="BP708" s="1207"/>
      <c r="BQ708" s="1207"/>
      <c r="BR708" s="1207"/>
      <c r="BS708" s="1207"/>
      <c r="BT708" s="1207"/>
      <c r="BU708" s="1207"/>
      <c r="BV708" s="1207"/>
      <c r="BW708" s="1207"/>
      <c r="BX708" s="1207"/>
      <c r="BY708" s="1207"/>
      <c r="BZ708" s="1207"/>
      <c r="CA708" s="1207"/>
      <c r="CB708" s="1207"/>
      <c r="CC708" s="1207"/>
      <c r="CD708" s="1207"/>
      <c r="CE708" s="1207"/>
      <c r="CF708" s="1207"/>
    </row>
    <row r="709" spans="1:84" ht="105" x14ac:dyDescent="0.2">
      <c r="A709" s="1355">
        <v>2022717</v>
      </c>
      <c r="B709" s="1172">
        <v>7637</v>
      </c>
      <c r="C709" s="1356" t="s">
        <v>645</v>
      </c>
      <c r="D709" s="1190" t="s">
        <v>673</v>
      </c>
      <c r="E709" s="1174" t="s">
        <v>1339</v>
      </c>
      <c r="F709" s="1389" t="s">
        <v>1340</v>
      </c>
      <c r="G709" s="1390">
        <v>44820</v>
      </c>
      <c r="H709" s="1390">
        <v>44849</v>
      </c>
      <c r="I709" s="1176">
        <v>3</v>
      </c>
      <c r="J709" s="1176" t="s">
        <v>722</v>
      </c>
      <c r="K709" s="1177" t="s">
        <v>772</v>
      </c>
      <c r="L709" s="1178" t="s">
        <v>737</v>
      </c>
      <c r="M709" s="1179">
        <v>4000000</v>
      </c>
      <c r="N709" s="1189" t="s">
        <v>678</v>
      </c>
      <c r="O709" s="1174" t="s">
        <v>679</v>
      </c>
      <c r="P709" s="1207" t="s">
        <v>680</v>
      </c>
      <c r="Q709" s="1207"/>
      <c r="R709" s="1269">
        <v>4000000</v>
      </c>
      <c r="S709" s="1357"/>
      <c r="T709" s="1357">
        <f>+Tabla16[[#This Row],[CDPS A 31 JULIO 2022]]-Tabla16[[#This Row],[CDP]]</f>
        <v>4000000</v>
      </c>
      <c r="U709" s="1357"/>
      <c r="V709" s="1357"/>
      <c r="W709" s="1357"/>
      <c r="X709" s="1207"/>
      <c r="Y709" s="1207"/>
      <c r="Z709" s="1207"/>
      <c r="AA709" s="1207"/>
      <c r="AB709" s="1207"/>
      <c r="AC709" s="1207"/>
      <c r="AD709" s="1207"/>
      <c r="AE709" s="1207"/>
      <c r="AF709" s="1207"/>
      <c r="AG709" s="1207"/>
      <c r="AH709" s="1207"/>
      <c r="AI709" s="1207"/>
      <c r="AJ709" s="1207"/>
      <c r="AK709" s="1207"/>
      <c r="AL709" s="1207"/>
      <c r="AM709" s="1207"/>
      <c r="AN709" s="1207"/>
      <c r="AO709" s="1207"/>
      <c r="AP709" s="1207"/>
      <c r="AQ709" s="1207"/>
      <c r="AR709" s="1207"/>
      <c r="AS709" s="1207"/>
      <c r="AT709" s="1207"/>
      <c r="AU709" s="1207"/>
      <c r="AV709" s="1207"/>
      <c r="AW709" s="1207"/>
      <c r="AX709" s="1207"/>
      <c r="AY709" s="1207"/>
      <c r="AZ709" s="1207"/>
      <c r="BA709" s="1207"/>
      <c r="BB709" s="1207"/>
      <c r="BC709" s="1207"/>
      <c r="BD709" s="1207"/>
      <c r="BE709" s="1207"/>
      <c r="BF709" s="1207"/>
      <c r="BG709" s="1207"/>
      <c r="BH709" s="1207"/>
      <c r="BI709" s="1207"/>
      <c r="BJ709" s="1207"/>
      <c r="BK709" s="1207"/>
      <c r="BL709" s="1207"/>
      <c r="BM709" s="1207"/>
      <c r="BN709" s="1207"/>
      <c r="BO709" s="1207"/>
      <c r="BP709" s="1207"/>
      <c r="BQ709" s="1207"/>
      <c r="BR709" s="1207"/>
      <c r="BS709" s="1207"/>
      <c r="BT709" s="1207"/>
      <c r="BU709" s="1207"/>
      <c r="BV709" s="1207"/>
      <c r="BW709" s="1207"/>
      <c r="BX709" s="1207"/>
      <c r="BY709" s="1207"/>
      <c r="BZ709" s="1207"/>
      <c r="CA709" s="1207"/>
      <c r="CB709" s="1207"/>
      <c r="CC709" s="1207"/>
      <c r="CD709" s="1207"/>
      <c r="CE709" s="1207"/>
      <c r="CF709" s="1207"/>
    </row>
    <row r="710" spans="1:84" ht="105" x14ac:dyDescent="0.2">
      <c r="A710" s="1355">
        <v>2022718</v>
      </c>
      <c r="B710" s="1172">
        <v>7655</v>
      </c>
      <c r="C710" s="1356" t="s">
        <v>670</v>
      </c>
      <c r="D710" s="1190" t="s">
        <v>691</v>
      </c>
      <c r="E710" s="1174">
        <v>80111600</v>
      </c>
      <c r="F710" s="1389" t="s">
        <v>1341</v>
      </c>
      <c r="G710" s="1390">
        <v>44757</v>
      </c>
      <c r="H710" s="1390" t="s">
        <v>97</v>
      </c>
      <c r="I710" s="1176">
        <v>1</v>
      </c>
      <c r="J710" s="1176" t="s">
        <v>675</v>
      </c>
      <c r="K710" s="1177" t="s">
        <v>676</v>
      </c>
      <c r="L710" s="1178" t="s">
        <v>677</v>
      </c>
      <c r="M710" s="1179">
        <v>2750000</v>
      </c>
      <c r="N710" s="1386" t="s">
        <v>785</v>
      </c>
      <c r="O710" s="1174" t="s">
        <v>780</v>
      </c>
      <c r="P710" s="1207" t="s">
        <v>750</v>
      </c>
      <c r="Q710" s="1207"/>
      <c r="R710" s="1269">
        <v>2750000</v>
      </c>
      <c r="S710" s="1357"/>
      <c r="T710" s="1357">
        <f>+Tabla16[[#This Row],[CDPS A 31 JULIO 2022]]-Tabla16[[#This Row],[CDP]]</f>
        <v>2750000</v>
      </c>
      <c r="U710" s="1357"/>
      <c r="V710" s="1357"/>
      <c r="W710" s="1357"/>
      <c r="X710" s="1207"/>
      <c r="Y710" s="1207"/>
      <c r="Z710" s="1207"/>
      <c r="AA710" s="1207"/>
      <c r="AB710" s="1207"/>
      <c r="AC710" s="1207"/>
      <c r="AD710" s="1207"/>
      <c r="AE710" s="1207"/>
      <c r="AF710" s="1207"/>
      <c r="AG710" s="1207"/>
      <c r="AH710" s="1207"/>
      <c r="AI710" s="1207"/>
      <c r="AJ710" s="1207"/>
      <c r="AK710" s="1207"/>
      <c r="AL710" s="1207"/>
      <c r="AM710" s="1207"/>
      <c r="AN710" s="1207"/>
      <c r="AO710" s="1207"/>
      <c r="AP710" s="1207"/>
      <c r="AQ710" s="1207"/>
      <c r="AR710" s="1207"/>
      <c r="AS710" s="1207"/>
      <c r="AT710" s="1207"/>
      <c r="AU710" s="1207"/>
      <c r="AV710" s="1207"/>
      <c r="AW710" s="1207"/>
      <c r="AX710" s="1207"/>
      <c r="AY710" s="1207"/>
      <c r="AZ710" s="1207"/>
      <c r="BA710" s="1207"/>
      <c r="BB710" s="1207"/>
      <c r="BC710" s="1207"/>
      <c r="BD710" s="1207"/>
      <c r="BE710" s="1207"/>
      <c r="BF710" s="1207"/>
      <c r="BG710" s="1207"/>
      <c r="BH710" s="1207"/>
      <c r="BI710" s="1207"/>
      <c r="BJ710" s="1207"/>
      <c r="BK710" s="1207"/>
      <c r="BL710" s="1207"/>
      <c r="BM710" s="1207"/>
      <c r="BN710" s="1207"/>
      <c r="BO710" s="1207"/>
      <c r="BP710" s="1207"/>
      <c r="BQ710" s="1207"/>
      <c r="BR710" s="1207"/>
      <c r="BS710" s="1207"/>
      <c r="BT710" s="1207"/>
      <c r="BU710" s="1207"/>
      <c r="BV710" s="1207"/>
      <c r="BW710" s="1207"/>
      <c r="BX710" s="1207"/>
      <c r="BY710" s="1207"/>
      <c r="BZ710" s="1207"/>
      <c r="CA710" s="1207"/>
      <c r="CB710" s="1207"/>
      <c r="CC710" s="1207"/>
      <c r="CD710" s="1207"/>
      <c r="CE710" s="1207"/>
      <c r="CF710" s="1207"/>
    </row>
    <row r="711" spans="1:84" ht="105" x14ac:dyDescent="0.2">
      <c r="A711" s="1355">
        <v>2022719</v>
      </c>
      <c r="B711" s="1172">
        <v>7655</v>
      </c>
      <c r="C711" s="1356" t="s">
        <v>670</v>
      </c>
      <c r="D711" s="1190" t="s">
        <v>691</v>
      </c>
      <c r="E711" s="1174" t="s">
        <v>782</v>
      </c>
      <c r="F711" s="1389" t="s">
        <v>1342</v>
      </c>
      <c r="G711" s="1390">
        <v>44757</v>
      </c>
      <c r="H711" s="1390" t="s">
        <v>97</v>
      </c>
      <c r="I711" s="1176">
        <v>3</v>
      </c>
      <c r="J711" s="1176" t="s">
        <v>675</v>
      </c>
      <c r="K711" s="1177" t="s">
        <v>676</v>
      </c>
      <c r="L711" s="1178" t="s">
        <v>677</v>
      </c>
      <c r="M711" s="1179">
        <v>13500000</v>
      </c>
      <c r="N711" s="1386" t="s">
        <v>785</v>
      </c>
      <c r="O711" s="1174" t="s">
        <v>780</v>
      </c>
      <c r="P711" s="1207" t="s">
        <v>750</v>
      </c>
      <c r="Q711" s="1207"/>
      <c r="R711" s="1269">
        <v>13500000</v>
      </c>
      <c r="S711" s="1357"/>
      <c r="T711" s="1357">
        <f>+Tabla16[[#This Row],[CDPS A 31 JULIO 2022]]-Tabla16[[#This Row],[CDP]]</f>
        <v>13500000</v>
      </c>
      <c r="U711" s="1357"/>
      <c r="V711" s="1357"/>
      <c r="W711" s="1357"/>
      <c r="X711" s="1207"/>
      <c r="Y711" s="1207"/>
      <c r="Z711" s="1207"/>
      <c r="AA711" s="1207"/>
      <c r="AB711" s="1207"/>
      <c r="AC711" s="1207"/>
      <c r="AD711" s="1207"/>
      <c r="AE711" s="1207"/>
      <c r="AF711" s="1207"/>
      <c r="AG711" s="1207"/>
      <c r="AH711" s="1207"/>
      <c r="AI711" s="1207"/>
      <c r="AJ711" s="1207"/>
      <c r="AK711" s="1207"/>
      <c r="AL711" s="1207"/>
      <c r="AM711" s="1207"/>
      <c r="AN711" s="1207"/>
      <c r="AO711" s="1207"/>
      <c r="AP711" s="1207"/>
      <c r="AQ711" s="1207"/>
      <c r="AR711" s="1207"/>
      <c r="AS711" s="1207"/>
      <c r="AT711" s="1207"/>
      <c r="AU711" s="1207"/>
      <c r="AV711" s="1207"/>
      <c r="AW711" s="1207"/>
      <c r="AX711" s="1207"/>
      <c r="AY711" s="1207"/>
      <c r="AZ711" s="1207"/>
      <c r="BA711" s="1207"/>
      <c r="BB711" s="1207"/>
      <c r="BC711" s="1207"/>
      <c r="BD711" s="1207"/>
      <c r="BE711" s="1207"/>
      <c r="BF711" s="1207"/>
      <c r="BG711" s="1207"/>
      <c r="BH711" s="1207"/>
      <c r="BI711" s="1207"/>
      <c r="BJ711" s="1207"/>
      <c r="BK711" s="1207"/>
      <c r="BL711" s="1207"/>
      <c r="BM711" s="1207"/>
      <c r="BN711" s="1207"/>
      <c r="BO711" s="1207"/>
      <c r="BP711" s="1207"/>
      <c r="BQ711" s="1207"/>
      <c r="BR711" s="1207"/>
      <c r="BS711" s="1207"/>
      <c r="BT711" s="1207"/>
      <c r="BU711" s="1207"/>
      <c r="BV711" s="1207"/>
      <c r="BW711" s="1207"/>
      <c r="BX711" s="1207"/>
      <c r="BY711" s="1207"/>
      <c r="BZ711" s="1207"/>
      <c r="CA711" s="1207"/>
      <c r="CB711" s="1207"/>
      <c r="CC711" s="1207"/>
      <c r="CD711" s="1207"/>
      <c r="CE711" s="1207"/>
      <c r="CF711" s="1207"/>
    </row>
    <row r="712" spans="1:84" ht="105" x14ac:dyDescent="0.2">
      <c r="A712" s="1355">
        <v>2022720</v>
      </c>
      <c r="B712" s="1172">
        <v>7637</v>
      </c>
      <c r="C712" s="1356" t="s">
        <v>645</v>
      </c>
      <c r="D712" s="1190" t="s">
        <v>673</v>
      </c>
      <c r="E712" s="1174">
        <v>43233200</v>
      </c>
      <c r="F712" s="1389" t="s">
        <v>1343</v>
      </c>
      <c r="G712" s="1390">
        <v>44713</v>
      </c>
      <c r="H712" s="1390">
        <v>44772</v>
      </c>
      <c r="I712" s="1176">
        <v>3</v>
      </c>
      <c r="J712" s="1176" t="s">
        <v>722</v>
      </c>
      <c r="K712" s="1177" t="s">
        <v>676</v>
      </c>
      <c r="L712" s="1178" t="s">
        <v>737</v>
      </c>
      <c r="M712" s="1179">
        <v>35000000</v>
      </c>
      <c r="N712" s="1386" t="s">
        <v>706</v>
      </c>
      <c r="O712" s="1174" t="s">
        <v>679</v>
      </c>
      <c r="P712" s="1163" t="s">
        <v>680</v>
      </c>
      <c r="Q712" s="1207"/>
      <c r="R712" s="1269">
        <v>35000000</v>
      </c>
      <c r="S712" s="1357"/>
      <c r="T712" s="1357">
        <f>+Tabla16[[#This Row],[CDPS A 31 JULIO 2022]]-Tabla16[[#This Row],[CDP]]</f>
        <v>35000000</v>
      </c>
      <c r="U712" s="1357"/>
      <c r="V712" s="1357"/>
      <c r="W712" s="1357"/>
      <c r="X712" s="1207"/>
      <c r="Y712" s="1207"/>
      <c r="Z712" s="1207"/>
      <c r="AA712" s="1207"/>
      <c r="AB712" s="1207"/>
      <c r="AC712" s="1207"/>
      <c r="AD712" s="1207"/>
      <c r="AE712" s="1207"/>
      <c r="AF712" s="1207"/>
      <c r="AG712" s="1207"/>
      <c r="AH712" s="1207"/>
      <c r="AI712" s="1207"/>
      <c r="AJ712" s="1207"/>
      <c r="AK712" s="1207"/>
      <c r="AL712" s="1207"/>
      <c r="AM712" s="1207"/>
      <c r="AN712" s="1207"/>
      <c r="AO712" s="1207"/>
      <c r="AP712" s="1207"/>
      <c r="AQ712" s="1207"/>
      <c r="AR712" s="1207"/>
      <c r="AS712" s="1207"/>
      <c r="AT712" s="1207"/>
      <c r="AU712" s="1207"/>
      <c r="AV712" s="1207"/>
      <c r="AW712" s="1207"/>
      <c r="AX712" s="1207"/>
      <c r="AY712" s="1207"/>
      <c r="AZ712" s="1207"/>
      <c r="BA712" s="1207"/>
      <c r="BB712" s="1207"/>
      <c r="BC712" s="1207"/>
      <c r="BD712" s="1207"/>
      <c r="BE712" s="1207"/>
      <c r="BF712" s="1207"/>
      <c r="BG712" s="1207"/>
      <c r="BH712" s="1207"/>
      <c r="BI712" s="1207"/>
      <c r="BJ712" s="1207"/>
      <c r="BK712" s="1207"/>
      <c r="BL712" s="1207"/>
      <c r="BM712" s="1207"/>
      <c r="BN712" s="1207"/>
      <c r="BO712" s="1207"/>
      <c r="BP712" s="1207"/>
      <c r="BQ712" s="1207"/>
      <c r="BR712" s="1207"/>
      <c r="BS712" s="1207"/>
      <c r="BT712" s="1207"/>
      <c r="BU712" s="1207"/>
      <c r="BV712" s="1207"/>
      <c r="BW712" s="1207"/>
      <c r="BX712" s="1207"/>
      <c r="BY712" s="1207"/>
      <c r="BZ712" s="1207"/>
      <c r="CA712" s="1207"/>
      <c r="CB712" s="1207"/>
      <c r="CC712" s="1207"/>
      <c r="CD712" s="1207"/>
      <c r="CE712" s="1207"/>
      <c r="CF712" s="1207"/>
    </row>
    <row r="713" spans="1:84" ht="105" x14ac:dyDescent="0.2">
      <c r="A713" s="1355">
        <v>2022721</v>
      </c>
      <c r="B713" s="1172">
        <v>7655</v>
      </c>
      <c r="C713" s="1356" t="s">
        <v>670</v>
      </c>
      <c r="D713" s="1190" t="s">
        <v>673</v>
      </c>
      <c r="E713" s="1174">
        <v>80111600</v>
      </c>
      <c r="F713" s="1389" t="s">
        <v>1344</v>
      </c>
      <c r="G713" s="1390">
        <v>44743</v>
      </c>
      <c r="H713" s="1390">
        <v>44773</v>
      </c>
      <c r="I713" s="1176">
        <v>3</v>
      </c>
      <c r="J713" s="1176" t="s">
        <v>675</v>
      </c>
      <c r="K713" s="1177" t="s">
        <v>676</v>
      </c>
      <c r="L713" s="1178" t="s">
        <v>677</v>
      </c>
      <c r="M713" s="1179">
        <v>13500000</v>
      </c>
      <c r="N713" s="1386" t="s">
        <v>785</v>
      </c>
      <c r="O713" s="1174" t="s">
        <v>780</v>
      </c>
      <c r="P713" s="1163" t="s">
        <v>759</v>
      </c>
      <c r="Q713" s="1207"/>
      <c r="R713" s="1269">
        <v>13500000</v>
      </c>
      <c r="S713" s="1357"/>
      <c r="T713" s="1357">
        <f>+Tabla16[[#This Row],[CDPS A 31 JULIO 2022]]-Tabla16[[#This Row],[CDP]]</f>
        <v>13500000</v>
      </c>
      <c r="U713" s="1357"/>
      <c r="V713" s="1357"/>
      <c r="W713" s="1357"/>
      <c r="X713" s="1207"/>
      <c r="Y713" s="1207"/>
      <c r="Z713" s="1207"/>
      <c r="AA713" s="1207"/>
      <c r="AB713" s="1207"/>
      <c r="AC713" s="1207"/>
      <c r="AD713" s="1207"/>
      <c r="AE713" s="1207"/>
      <c r="AF713" s="1207"/>
      <c r="AG713" s="1207"/>
      <c r="AH713" s="1207"/>
      <c r="AI713" s="1207"/>
      <c r="AJ713" s="1207"/>
      <c r="AK713" s="1207"/>
      <c r="AL713" s="1207"/>
      <c r="AM713" s="1207"/>
      <c r="AN713" s="1207"/>
      <c r="AO713" s="1207"/>
      <c r="AP713" s="1207"/>
      <c r="AQ713" s="1207"/>
      <c r="AR713" s="1207"/>
      <c r="AS713" s="1207"/>
      <c r="AT713" s="1207"/>
      <c r="AU713" s="1207"/>
      <c r="AV713" s="1207"/>
      <c r="AW713" s="1207"/>
      <c r="AX713" s="1207"/>
      <c r="AY713" s="1207"/>
      <c r="AZ713" s="1207"/>
      <c r="BA713" s="1207"/>
      <c r="BB713" s="1207"/>
      <c r="BC713" s="1207"/>
      <c r="BD713" s="1207"/>
      <c r="BE713" s="1207"/>
      <c r="BF713" s="1207"/>
      <c r="BG713" s="1207"/>
      <c r="BH713" s="1207"/>
      <c r="BI713" s="1207"/>
      <c r="BJ713" s="1207"/>
      <c r="BK713" s="1207"/>
      <c r="BL713" s="1207"/>
      <c r="BM713" s="1207"/>
      <c r="BN713" s="1207"/>
      <c r="BO713" s="1207"/>
      <c r="BP713" s="1207"/>
      <c r="BQ713" s="1207"/>
      <c r="BR713" s="1207"/>
      <c r="BS713" s="1207"/>
      <c r="BT713" s="1207"/>
      <c r="BU713" s="1207"/>
      <c r="BV713" s="1207"/>
      <c r="BW713" s="1207"/>
      <c r="BX713" s="1207"/>
      <c r="BY713" s="1207"/>
      <c r="BZ713" s="1207"/>
      <c r="CA713" s="1207"/>
      <c r="CB713" s="1207"/>
      <c r="CC713" s="1207"/>
      <c r="CD713" s="1207"/>
      <c r="CE713" s="1207"/>
      <c r="CF713" s="1207"/>
    </row>
    <row r="714" spans="1:84" ht="135" x14ac:dyDescent="0.2">
      <c r="A714" s="1355">
        <v>2022722</v>
      </c>
      <c r="B714" s="1172">
        <v>7658</v>
      </c>
      <c r="C714" s="1356" t="s">
        <v>681</v>
      </c>
      <c r="D714" s="1190" t="s">
        <v>700</v>
      </c>
      <c r="E714" s="1174">
        <v>80111600</v>
      </c>
      <c r="F714" s="1389" t="s">
        <v>1345</v>
      </c>
      <c r="G714" s="1390">
        <v>44774</v>
      </c>
      <c r="H714" s="1390">
        <v>44774</v>
      </c>
      <c r="I714" s="1176">
        <v>6</v>
      </c>
      <c r="J714" s="1176" t="s">
        <v>675</v>
      </c>
      <c r="K714" s="1177" t="s">
        <v>676</v>
      </c>
      <c r="L714" s="1178" t="s">
        <v>677</v>
      </c>
      <c r="M714" s="1179">
        <v>33000000</v>
      </c>
      <c r="N714" s="1386" t="s">
        <v>781</v>
      </c>
      <c r="O714" s="1174" t="s">
        <v>773</v>
      </c>
      <c r="P714" s="1163" t="s">
        <v>680</v>
      </c>
      <c r="Q714" s="1207"/>
      <c r="R714" s="1269">
        <v>0</v>
      </c>
      <c r="S714" s="1357"/>
      <c r="T714" s="1357">
        <f>+Tabla16[[#This Row],[CDPS A 31 JULIO 2022]]-Tabla16[[#This Row],[CDP]]</f>
        <v>0</v>
      </c>
      <c r="U714" s="1357"/>
      <c r="V714" s="1357"/>
      <c r="W714" s="1357"/>
      <c r="X714" s="1207"/>
      <c r="Y714" s="1207"/>
      <c r="Z714" s="1207"/>
      <c r="AA714" s="1207"/>
      <c r="AB714" s="1207"/>
      <c r="AC714" s="1207"/>
      <c r="AD714" s="1207"/>
      <c r="AE714" s="1207"/>
      <c r="AF714" s="1207"/>
      <c r="AG714" s="1207"/>
      <c r="AH714" s="1207"/>
      <c r="AI714" s="1207"/>
      <c r="AJ714" s="1207"/>
      <c r="AK714" s="1207"/>
      <c r="AL714" s="1207"/>
      <c r="AM714" s="1207"/>
      <c r="AN714" s="1207"/>
      <c r="AO714" s="1207"/>
      <c r="AP714" s="1207"/>
      <c r="AQ714" s="1207"/>
      <c r="AR714" s="1207"/>
      <c r="AS714" s="1207"/>
      <c r="AT714" s="1207"/>
      <c r="AU714" s="1207"/>
      <c r="AV714" s="1207"/>
      <c r="AW714" s="1207"/>
      <c r="AX714" s="1207"/>
      <c r="AY714" s="1207"/>
      <c r="AZ714" s="1207"/>
      <c r="BA714" s="1207"/>
      <c r="BB714" s="1207"/>
      <c r="BC714" s="1207"/>
      <c r="BD714" s="1207"/>
      <c r="BE714" s="1207"/>
      <c r="BF714" s="1207"/>
      <c r="BG714" s="1207"/>
      <c r="BH714" s="1207"/>
      <c r="BI714" s="1207"/>
      <c r="BJ714" s="1207"/>
      <c r="BK714" s="1207"/>
      <c r="BL714" s="1207"/>
      <c r="BM714" s="1207"/>
      <c r="BN714" s="1207"/>
      <c r="BO714" s="1207"/>
      <c r="BP714" s="1207"/>
      <c r="BQ714" s="1207"/>
      <c r="BR714" s="1207"/>
      <c r="BS714" s="1207"/>
      <c r="BT714" s="1207"/>
      <c r="BU714" s="1207"/>
      <c r="BV714" s="1207"/>
      <c r="BW714" s="1207"/>
      <c r="BX714" s="1207"/>
      <c r="BY714" s="1207"/>
      <c r="BZ714" s="1207"/>
      <c r="CA714" s="1207"/>
      <c r="CB714" s="1207"/>
      <c r="CC714" s="1207"/>
      <c r="CD714" s="1207"/>
      <c r="CE714" s="1207"/>
      <c r="CF714" s="1207"/>
    </row>
    <row r="715" spans="1:84" ht="105" x14ac:dyDescent="0.2">
      <c r="A715" s="1355">
        <v>2022723</v>
      </c>
      <c r="B715" s="1172">
        <v>7655</v>
      </c>
      <c r="C715" s="1356" t="s">
        <v>670</v>
      </c>
      <c r="D715" s="1190" t="s">
        <v>684</v>
      </c>
      <c r="E715" s="1174">
        <v>80111600</v>
      </c>
      <c r="F715" s="1389" t="s">
        <v>1346</v>
      </c>
      <c r="G715" s="1390">
        <v>44774</v>
      </c>
      <c r="H715" s="1390">
        <v>44774</v>
      </c>
      <c r="I715" s="1176">
        <v>0.4</v>
      </c>
      <c r="J715" s="1176" t="s">
        <v>675</v>
      </c>
      <c r="K715" s="1177" t="s">
        <v>676</v>
      </c>
      <c r="L715" s="1178" t="s">
        <v>677</v>
      </c>
      <c r="M715" s="1179">
        <v>1363000</v>
      </c>
      <c r="N715" s="1386" t="s">
        <v>785</v>
      </c>
      <c r="O715" s="1174" t="s">
        <v>780</v>
      </c>
      <c r="P715" s="1163" t="s">
        <v>759</v>
      </c>
      <c r="Q715" s="1207"/>
      <c r="R715" s="1269">
        <v>1363000</v>
      </c>
      <c r="S715" s="1357"/>
      <c r="T715" s="1357">
        <f>+Tabla16[[#This Row],[CDPS A 31 JULIO 2022]]-Tabla16[[#This Row],[CDP]]</f>
        <v>1363000</v>
      </c>
      <c r="U715" s="1357"/>
      <c r="V715" s="1357"/>
      <c r="W715" s="1357" t="s">
        <v>1347</v>
      </c>
      <c r="X715" s="1207"/>
      <c r="Y715" s="1207"/>
      <c r="Z715" s="1207"/>
      <c r="AA715" s="1207"/>
      <c r="AB715" s="1207"/>
      <c r="AC715" s="1207"/>
      <c r="AD715" s="1207"/>
      <c r="AE715" s="1207"/>
      <c r="AF715" s="1207"/>
      <c r="AG715" s="1207"/>
      <c r="AH715" s="1207"/>
      <c r="AI715" s="1207"/>
      <c r="AJ715" s="1207"/>
      <c r="AK715" s="1207"/>
      <c r="AL715" s="1207"/>
      <c r="AM715" s="1207"/>
      <c r="AN715" s="1207"/>
      <c r="AO715" s="1207"/>
      <c r="AP715" s="1207"/>
      <c r="AQ715" s="1207"/>
      <c r="AR715" s="1207"/>
      <c r="AS715" s="1207"/>
      <c r="AT715" s="1207"/>
      <c r="AU715" s="1207"/>
      <c r="AV715" s="1207"/>
      <c r="AW715" s="1207"/>
      <c r="AX715" s="1207"/>
      <c r="AY715" s="1207"/>
      <c r="AZ715" s="1207"/>
      <c r="BA715" s="1207"/>
      <c r="BB715" s="1207"/>
      <c r="BC715" s="1207"/>
      <c r="BD715" s="1207"/>
      <c r="BE715" s="1207"/>
      <c r="BF715" s="1207"/>
      <c r="BG715" s="1207"/>
      <c r="BH715" s="1207"/>
      <c r="BI715" s="1207"/>
      <c r="BJ715" s="1207"/>
      <c r="BK715" s="1207"/>
      <c r="BL715" s="1207"/>
      <c r="BM715" s="1207"/>
      <c r="BN715" s="1207"/>
      <c r="BO715" s="1207"/>
      <c r="BP715" s="1207"/>
      <c r="BQ715" s="1207"/>
      <c r="BR715" s="1207"/>
      <c r="BS715" s="1207"/>
      <c r="BT715" s="1207"/>
      <c r="BU715" s="1207"/>
      <c r="BV715" s="1207"/>
      <c r="BW715" s="1207"/>
      <c r="BX715" s="1207"/>
      <c r="BY715" s="1207"/>
      <c r="BZ715" s="1207"/>
      <c r="CA715" s="1207"/>
      <c r="CB715" s="1207"/>
      <c r="CC715" s="1207"/>
      <c r="CD715" s="1207"/>
      <c r="CE715" s="1207"/>
      <c r="CF715" s="1207"/>
    </row>
    <row r="716" spans="1:84" ht="135" x14ac:dyDescent="0.2">
      <c r="A716" s="1355">
        <v>2022724</v>
      </c>
      <c r="B716" s="1172">
        <v>7658</v>
      </c>
      <c r="C716" s="1356" t="s">
        <v>681</v>
      </c>
      <c r="D716" s="1190" t="s">
        <v>691</v>
      </c>
      <c r="E716" s="1174">
        <v>80111600</v>
      </c>
      <c r="F716" s="1389" t="s">
        <v>947</v>
      </c>
      <c r="G716" s="1390">
        <v>44788</v>
      </c>
      <c r="H716" s="1390">
        <v>44783</v>
      </c>
      <c r="I716" s="1176">
        <v>6</v>
      </c>
      <c r="J716" s="1176" t="s">
        <v>675</v>
      </c>
      <c r="K716" s="1177" t="s">
        <v>676</v>
      </c>
      <c r="L716" s="1178" t="s">
        <v>677</v>
      </c>
      <c r="M716" s="1179">
        <v>43800000</v>
      </c>
      <c r="N716" s="1386" t="s">
        <v>774</v>
      </c>
      <c r="O716" s="1174" t="s">
        <v>773</v>
      </c>
      <c r="P716" s="1163" t="s">
        <v>680</v>
      </c>
      <c r="Q716" s="1207"/>
      <c r="R716" s="1269">
        <v>0</v>
      </c>
      <c r="S716" s="1357"/>
      <c r="T716" s="1357">
        <f>+Tabla16[[#This Row],[CDPS A 31 JULIO 2022]]-Tabla16[[#This Row],[CDP]]</f>
        <v>0</v>
      </c>
      <c r="U716" s="1357"/>
      <c r="V716" s="1357"/>
      <c r="W716" s="1357"/>
      <c r="X716" s="1207"/>
      <c r="Y716" s="1207"/>
      <c r="Z716" s="1207"/>
      <c r="AA716" s="1207"/>
      <c r="AB716" s="1207"/>
      <c r="AC716" s="1207"/>
      <c r="AD716" s="1207"/>
      <c r="AE716" s="1207"/>
      <c r="AF716" s="1207"/>
      <c r="AG716" s="1207"/>
      <c r="AH716" s="1207"/>
      <c r="AI716" s="1207"/>
      <c r="AJ716" s="1207"/>
      <c r="AK716" s="1207"/>
      <c r="AL716" s="1207"/>
      <c r="AM716" s="1207"/>
      <c r="AN716" s="1207"/>
      <c r="AO716" s="1207"/>
      <c r="AP716" s="1207"/>
      <c r="AQ716" s="1207"/>
      <c r="AR716" s="1207"/>
      <c r="AS716" s="1207"/>
      <c r="AT716" s="1207"/>
      <c r="AU716" s="1207"/>
      <c r="AV716" s="1207"/>
      <c r="AW716" s="1207"/>
      <c r="AX716" s="1207"/>
      <c r="AY716" s="1207"/>
      <c r="AZ716" s="1207"/>
      <c r="BA716" s="1207"/>
      <c r="BB716" s="1207"/>
      <c r="BC716" s="1207"/>
      <c r="BD716" s="1207"/>
      <c r="BE716" s="1207"/>
      <c r="BF716" s="1207"/>
      <c r="BG716" s="1207"/>
      <c r="BH716" s="1207"/>
      <c r="BI716" s="1207"/>
      <c r="BJ716" s="1207"/>
      <c r="BK716" s="1207"/>
      <c r="BL716" s="1207"/>
      <c r="BM716" s="1207"/>
      <c r="BN716" s="1207"/>
      <c r="BO716" s="1207"/>
      <c r="BP716" s="1207"/>
      <c r="BQ716" s="1207"/>
      <c r="BR716" s="1207"/>
      <c r="BS716" s="1207"/>
      <c r="BT716" s="1207"/>
      <c r="BU716" s="1207"/>
      <c r="BV716" s="1207"/>
      <c r="BW716" s="1207"/>
      <c r="BX716" s="1207"/>
      <c r="BY716" s="1207"/>
      <c r="BZ716" s="1207"/>
      <c r="CA716" s="1207"/>
      <c r="CB716" s="1207"/>
      <c r="CC716" s="1207"/>
      <c r="CD716" s="1207"/>
      <c r="CE716" s="1207"/>
      <c r="CF716" s="1207"/>
    </row>
    <row r="717" spans="1:84" ht="135" x14ac:dyDescent="0.2">
      <c r="A717" s="1355">
        <v>2022725</v>
      </c>
      <c r="B717" s="1172">
        <v>7658</v>
      </c>
      <c r="C717" s="1356" t="s">
        <v>681</v>
      </c>
      <c r="D717" s="1190" t="s">
        <v>691</v>
      </c>
      <c r="E717" s="1174">
        <v>80111600</v>
      </c>
      <c r="F717" s="1389" t="s">
        <v>947</v>
      </c>
      <c r="G717" s="1390">
        <v>44788</v>
      </c>
      <c r="H717" s="1390">
        <v>44783</v>
      </c>
      <c r="I717" s="1176">
        <v>6</v>
      </c>
      <c r="J717" s="1176" t="s">
        <v>675</v>
      </c>
      <c r="K717" s="1177" t="s">
        <v>676</v>
      </c>
      <c r="L717" s="1178" t="s">
        <v>677</v>
      </c>
      <c r="M717" s="1179">
        <v>43800000</v>
      </c>
      <c r="N717" s="1386" t="s">
        <v>774</v>
      </c>
      <c r="O717" s="1174" t="s">
        <v>773</v>
      </c>
      <c r="P717" s="1163" t="s">
        <v>680</v>
      </c>
      <c r="Q717" s="1207"/>
      <c r="R717" s="1269">
        <v>0</v>
      </c>
      <c r="S717" s="1357"/>
      <c r="T717" s="1357">
        <f>+Tabla16[[#This Row],[CDPS A 31 JULIO 2022]]-Tabla16[[#This Row],[CDP]]</f>
        <v>0</v>
      </c>
      <c r="U717" s="1357"/>
      <c r="V717" s="1357"/>
      <c r="W717" s="1357"/>
      <c r="X717" s="1207"/>
      <c r="Y717" s="1207"/>
      <c r="Z717" s="1207"/>
      <c r="AA717" s="1207"/>
      <c r="AB717" s="1207"/>
      <c r="AC717" s="1207"/>
      <c r="AD717" s="1207"/>
      <c r="AE717" s="1207"/>
      <c r="AF717" s="1207"/>
      <c r="AG717" s="1207"/>
      <c r="AH717" s="1207"/>
      <c r="AI717" s="1207"/>
      <c r="AJ717" s="1207"/>
      <c r="AK717" s="1207"/>
      <c r="AL717" s="1207"/>
      <c r="AM717" s="1207"/>
      <c r="AN717" s="1207"/>
      <c r="AO717" s="1207"/>
      <c r="AP717" s="1207"/>
      <c r="AQ717" s="1207"/>
      <c r="AR717" s="1207"/>
      <c r="AS717" s="1207"/>
      <c r="AT717" s="1207"/>
      <c r="AU717" s="1207"/>
      <c r="AV717" s="1207"/>
      <c r="AW717" s="1207"/>
      <c r="AX717" s="1207"/>
      <c r="AY717" s="1207"/>
      <c r="AZ717" s="1207"/>
      <c r="BA717" s="1207"/>
      <c r="BB717" s="1207"/>
      <c r="BC717" s="1207"/>
      <c r="BD717" s="1207"/>
      <c r="BE717" s="1207"/>
      <c r="BF717" s="1207"/>
      <c r="BG717" s="1207"/>
      <c r="BH717" s="1207"/>
      <c r="BI717" s="1207"/>
      <c r="BJ717" s="1207"/>
      <c r="BK717" s="1207"/>
      <c r="BL717" s="1207"/>
      <c r="BM717" s="1207"/>
      <c r="BN717" s="1207"/>
      <c r="BO717" s="1207"/>
      <c r="BP717" s="1207"/>
      <c r="BQ717" s="1207"/>
      <c r="BR717" s="1207"/>
      <c r="BS717" s="1207"/>
      <c r="BT717" s="1207"/>
      <c r="BU717" s="1207"/>
      <c r="BV717" s="1207"/>
      <c r="BW717" s="1207"/>
      <c r="BX717" s="1207"/>
      <c r="BY717" s="1207"/>
      <c r="BZ717" s="1207"/>
      <c r="CA717" s="1207"/>
      <c r="CB717" s="1207"/>
      <c r="CC717" s="1207"/>
      <c r="CD717" s="1207"/>
      <c r="CE717" s="1207"/>
      <c r="CF717" s="1207"/>
    </row>
    <row r="718" spans="1:84" ht="135" x14ac:dyDescent="0.2">
      <c r="A718" s="1355">
        <v>2022726</v>
      </c>
      <c r="B718" s="1172">
        <v>7658</v>
      </c>
      <c r="C718" s="1356" t="s">
        <v>681</v>
      </c>
      <c r="D718" s="1190" t="s">
        <v>691</v>
      </c>
      <c r="E718" s="1174">
        <v>80111600</v>
      </c>
      <c r="F718" s="1389" t="s">
        <v>947</v>
      </c>
      <c r="G718" s="1390">
        <v>44788</v>
      </c>
      <c r="H718" s="1390">
        <v>44783</v>
      </c>
      <c r="I718" s="1176">
        <v>6</v>
      </c>
      <c r="J718" s="1176" t="s">
        <v>675</v>
      </c>
      <c r="K718" s="1177" t="s">
        <v>676</v>
      </c>
      <c r="L718" s="1178" t="s">
        <v>677</v>
      </c>
      <c r="M718" s="1179">
        <v>43800000</v>
      </c>
      <c r="N718" s="1386" t="s">
        <v>774</v>
      </c>
      <c r="O718" s="1174" t="s">
        <v>773</v>
      </c>
      <c r="P718" s="1163" t="s">
        <v>680</v>
      </c>
      <c r="Q718" s="1207"/>
      <c r="R718" s="1269">
        <v>0</v>
      </c>
      <c r="S718" s="1357"/>
      <c r="T718" s="1357">
        <f>+Tabla16[[#This Row],[CDPS A 31 JULIO 2022]]-Tabla16[[#This Row],[CDP]]</f>
        <v>0</v>
      </c>
      <c r="U718" s="1357"/>
      <c r="V718" s="1357"/>
      <c r="W718" s="1357"/>
      <c r="X718" s="1207"/>
      <c r="Y718" s="1207"/>
      <c r="Z718" s="1207"/>
      <c r="AA718" s="1207"/>
      <c r="AB718" s="1207"/>
      <c r="AC718" s="1207"/>
      <c r="AD718" s="1207"/>
      <c r="AE718" s="1207"/>
      <c r="AF718" s="1207"/>
      <c r="AG718" s="1207"/>
      <c r="AH718" s="1207"/>
      <c r="AI718" s="1207"/>
      <c r="AJ718" s="1207"/>
      <c r="AK718" s="1207"/>
      <c r="AL718" s="1207"/>
      <c r="AM718" s="1207"/>
      <c r="AN718" s="1207"/>
      <c r="AO718" s="1207"/>
      <c r="AP718" s="1207"/>
      <c r="AQ718" s="1207"/>
      <c r="AR718" s="1207"/>
      <c r="AS718" s="1207"/>
      <c r="AT718" s="1207"/>
      <c r="AU718" s="1207"/>
      <c r="AV718" s="1207"/>
      <c r="AW718" s="1207"/>
      <c r="AX718" s="1207"/>
      <c r="AY718" s="1207"/>
      <c r="AZ718" s="1207"/>
      <c r="BA718" s="1207"/>
      <c r="BB718" s="1207"/>
      <c r="BC718" s="1207"/>
      <c r="BD718" s="1207"/>
      <c r="BE718" s="1207"/>
      <c r="BF718" s="1207"/>
      <c r="BG718" s="1207"/>
      <c r="BH718" s="1207"/>
      <c r="BI718" s="1207"/>
      <c r="BJ718" s="1207"/>
      <c r="BK718" s="1207"/>
      <c r="BL718" s="1207"/>
      <c r="BM718" s="1207"/>
      <c r="BN718" s="1207"/>
      <c r="BO718" s="1207"/>
      <c r="BP718" s="1207"/>
      <c r="BQ718" s="1207"/>
      <c r="BR718" s="1207"/>
      <c r="BS718" s="1207"/>
      <c r="BT718" s="1207"/>
      <c r="BU718" s="1207"/>
      <c r="BV718" s="1207"/>
      <c r="BW718" s="1207"/>
      <c r="BX718" s="1207"/>
      <c r="BY718" s="1207"/>
      <c r="BZ718" s="1207"/>
      <c r="CA718" s="1207"/>
      <c r="CB718" s="1207"/>
      <c r="CC718" s="1207"/>
      <c r="CD718" s="1207"/>
      <c r="CE718" s="1207"/>
      <c r="CF718" s="1207"/>
    </row>
    <row r="719" spans="1:84" ht="135" x14ac:dyDescent="0.2">
      <c r="A719" s="1355">
        <v>2022727</v>
      </c>
      <c r="B719" s="1172">
        <v>7658</v>
      </c>
      <c r="C719" s="1356" t="s">
        <v>681</v>
      </c>
      <c r="D719" s="1190" t="s">
        <v>691</v>
      </c>
      <c r="E719" s="1174">
        <v>80111600</v>
      </c>
      <c r="F719" s="1389" t="s">
        <v>947</v>
      </c>
      <c r="G719" s="1390">
        <v>44788</v>
      </c>
      <c r="H719" s="1390">
        <v>44783</v>
      </c>
      <c r="I719" s="1176">
        <v>6</v>
      </c>
      <c r="J719" s="1176" t="s">
        <v>675</v>
      </c>
      <c r="K719" s="1177" t="s">
        <v>676</v>
      </c>
      <c r="L719" s="1178" t="s">
        <v>677</v>
      </c>
      <c r="M719" s="1179">
        <v>43800000</v>
      </c>
      <c r="N719" s="1386" t="s">
        <v>774</v>
      </c>
      <c r="O719" s="1174" t="s">
        <v>773</v>
      </c>
      <c r="P719" s="1163" t="s">
        <v>680</v>
      </c>
      <c r="Q719" s="1207"/>
      <c r="R719" s="1269">
        <v>0</v>
      </c>
      <c r="S719" s="1357"/>
      <c r="T719" s="1357">
        <f>+Tabla16[[#This Row],[CDPS A 31 JULIO 2022]]-Tabla16[[#This Row],[CDP]]</f>
        <v>0</v>
      </c>
      <c r="U719" s="1357"/>
      <c r="V719" s="1357"/>
      <c r="W719" s="1357"/>
      <c r="X719" s="1207"/>
      <c r="Y719" s="1207"/>
      <c r="Z719" s="1207"/>
      <c r="AA719" s="1207"/>
      <c r="AB719" s="1207"/>
      <c r="AC719" s="1207"/>
      <c r="AD719" s="1207"/>
      <c r="AE719" s="1207"/>
      <c r="AF719" s="1207"/>
      <c r="AG719" s="1207"/>
      <c r="AH719" s="1207"/>
      <c r="AI719" s="1207"/>
      <c r="AJ719" s="1207"/>
      <c r="AK719" s="1207"/>
      <c r="AL719" s="1207"/>
      <c r="AM719" s="1207"/>
      <c r="AN719" s="1207"/>
      <c r="AO719" s="1207"/>
      <c r="AP719" s="1207"/>
      <c r="AQ719" s="1207"/>
      <c r="AR719" s="1207"/>
      <c r="AS719" s="1207"/>
      <c r="AT719" s="1207"/>
      <c r="AU719" s="1207"/>
      <c r="AV719" s="1207"/>
      <c r="AW719" s="1207"/>
      <c r="AX719" s="1207"/>
      <c r="AY719" s="1207"/>
      <c r="AZ719" s="1207"/>
      <c r="BA719" s="1207"/>
      <c r="BB719" s="1207"/>
      <c r="BC719" s="1207"/>
      <c r="BD719" s="1207"/>
      <c r="BE719" s="1207"/>
      <c r="BF719" s="1207"/>
      <c r="BG719" s="1207"/>
      <c r="BH719" s="1207"/>
      <c r="BI719" s="1207"/>
      <c r="BJ719" s="1207"/>
      <c r="BK719" s="1207"/>
      <c r="BL719" s="1207"/>
      <c r="BM719" s="1207"/>
      <c r="BN719" s="1207"/>
      <c r="BO719" s="1207"/>
      <c r="BP719" s="1207"/>
      <c r="BQ719" s="1207"/>
      <c r="BR719" s="1207"/>
      <c r="BS719" s="1207"/>
      <c r="BT719" s="1207"/>
      <c r="BU719" s="1207"/>
      <c r="BV719" s="1207"/>
      <c r="BW719" s="1207"/>
      <c r="BX719" s="1207"/>
      <c r="BY719" s="1207"/>
      <c r="BZ719" s="1207"/>
      <c r="CA719" s="1207"/>
      <c r="CB719" s="1207"/>
      <c r="CC719" s="1207"/>
      <c r="CD719" s="1207"/>
      <c r="CE719" s="1207"/>
      <c r="CF719" s="1207"/>
    </row>
    <row r="720" spans="1:84" ht="135" x14ac:dyDescent="0.2">
      <c r="A720" s="1355">
        <v>2022728</v>
      </c>
      <c r="B720" s="1172">
        <v>7658</v>
      </c>
      <c r="C720" s="1356" t="s">
        <v>681</v>
      </c>
      <c r="D720" s="1190" t="s">
        <v>691</v>
      </c>
      <c r="E720" s="1174">
        <v>80111600</v>
      </c>
      <c r="F720" s="1389" t="s">
        <v>947</v>
      </c>
      <c r="G720" s="1390">
        <v>44788</v>
      </c>
      <c r="H720" s="1390">
        <v>44783</v>
      </c>
      <c r="I720" s="1176">
        <v>6</v>
      </c>
      <c r="J720" s="1176" t="s">
        <v>675</v>
      </c>
      <c r="K720" s="1177" t="s">
        <v>676</v>
      </c>
      <c r="L720" s="1178" t="s">
        <v>677</v>
      </c>
      <c r="M720" s="1179">
        <v>43800000</v>
      </c>
      <c r="N720" s="1386" t="s">
        <v>774</v>
      </c>
      <c r="O720" s="1174" t="s">
        <v>773</v>
      </c>
      <c r="P720" s="1163" t="s">
        <v>680</v>
      </c>
      <c r="Q720" s="1207"/>
      <c r="R720" s="1269">
        <v>0</v>
      </c>
      <c r="S720" s="1357"/>
      <c r="T720" s="1357">
        <f>+Tabla16[[#This Row],[CDPS A 31 JULIO 2022]]-Tabla16[[#This Row],[CDP]]</f>
        <v>0</v>
      </c>
      <c r="U720" s="1357"/>
      <c r="V720" s="1357"/>
      <c r="W720" s="1357"/>
      <c r="X720" s="1207"/>
      <c r="Y720" s="1207"/>
      <c r="Z720" s="1207"/>
      <c r="AA720" s="1207"/>
      <c r="AB720" s="1207"/>
      <c r="AC720" s="1207"/>
      <c r="AD720" s="1207"/>
      <c r="AE720" s="1207"/>
      <c r="AF720" s="1207"/>
      <c r="AG720" s="1207"/>
      <c r="AH720" s="1207"/>
      <c r="AI720" s="1207"/>
      <c r="AJ720" s="1207"/>
      <c r="AK720" s="1207"/>
      <c r="AL720" s="1207"/>
      <c r="AM720" s="1207"/>
      <c r="AN720" s="1207"/>
      <c r="AO720" s="1207"/>
      <c r="AP720" s="1207"/>
      <c r="AQ720" s="1207"/>
      <c r="AR720" s="1207"/>
      <c r="AS720" s="1207"/>
      <c r="AT720" s="1207"/>
      <c r="AU720" s="1207"/>
      <c r="AV720" s="1207"/>
      <c r="AW720" s="1207"/>
      <c r="AX720" s="1207"/>
      <c r="AY720" s="1207"/>
      <c r="AZ720" s="1207"/>
      <c r="BA720" s="1207"/>
      <c r="BB720" s="1207"/>
      <c r="BC720" s="1207"/>
      <c r="BD720" s="1207"/>
      <c r="BE720" s="1207"/>
      <c r="BF720" s="1207"/>
      <c r="BG720" s="1207"/>
      <c r="BH720" s="1207"/>
      <c r="BI720" s="1207"/>
      <c r="BJ720" s="1207"/>
      <c r="BK720" s="1207"/>
      <c r="BL720" s="1207"/>
      <c r="BM720" s="1207"/>
      <c r="BN720" s="1207"/>
      <c r="BO720" s="1207"/>
      <c r="BP720" s="1207"/>
      <c r="BQ720" s="1207"/>
      <c r="BR720" s="1207"/>
      <c r="BS720" s="1207"/>
      <c r="BT720" s="1207"/>
      <c r="BU720" s="1207"/>
      <c r="BV720" s="1207"/>
      <c r="BW720" s="1207"/>
      <c r="BX720" s="1207"/>
      <c r="BY720" s="1207"/>
      <c r="BZ720" s="1207"/>
      <c r="CA720" s="1207"/>
      <c r="CB720" s="1207"/>
      <c r="CC720" s="1207"/>
      <c r="CD720" s="1207"/>
      <c r="CE720" s="1207"/>
      <c r="CF720" s="1207"/>
    </row>
    <row r="721" spans="1:84" ht="135" x14ac:dyDescent="0.2">
      <c r="A721" s="1355">
        <v>2022730</v>
      </c>
      <c r="B721" s="1172">
        <v>7658</v>
      </c>
      <c r="C721" s="1356" t="s">
        <v>681</v>
      </c>
      <c r="D721" s="1190" t="s">
        <v>691</v>
      </c>
      <c r="E721" s="1174">
        <v>80111600</v>
      </c>
      <c r="F721" s="1389" t="s">
        <v>1348</v>
      </c>
      <c r="G721" s="1390">
        <v>44788</v>
      </c>
      <c r="H721" s="1390">
        <v>44783</v>
      </c>
      <c r="I721" s="1176">
        <v>1</v>
      </c>
      <c r="J721" s="1176" t="s">
        <v>675</v>
      </c>
      <c r="K721" s="1177" t="s">
        <v>676</v>
      </c>
      <c r="L721" s="1178" t="s">
        <v>677</v>
      </c>
      <c r="M721" s="1179">
        <v>9500000</v>
      </c>
      <c r="N721" s="1386" t="s">
        <v>774</v>
      </c>
      <c r="O721" s="1174" t="s">
        <v>773</v>
      </c>
      <c r="P721" s="1163" t="s">
        <v>680</v>
      </c>
      <c r="Q721" s="1207"/>
      <c r="R721" s="1269">
        <v>0</v>
      </c>
      <c r="S721" s="1357"/>
      <c r="T721" s="1357">
        <f>+Tabla16[[#This Row],[CDPS A 31 JULIO 2022]]-Tabla16[[#This Row],[CDP]]</f>
        <v>0</v>
      </c>
      <c r="U721" s="1357"/>
      <c r="V721" s="1357"/>
      <c r="W721" s="1357"/>
      <c r="X721" s="1207"/>
      <c r="Y721" s="1207"/>
      <c r="Z721" s="1207"/>
      <c r="AA721" s="1207"/>
      <c r="AB721" s="1207"/>
      <c r="AC721" s="1207"/>
      <c r="AD721" s="1207"/>
      <c r="AE721" s="1207"/>
      <c r="AF721" s="1207"/>
      <c r="AG721" s="1207"/>
      <c r="AH721" s="1207"/>
      <c r="AI721" s="1207"/>
      <c r="AJ721" s="1207"/>
      <c r="AK721" s="1207"/>
      <c r="AL721" s="1207"/>
      <c r="AM721" s="1207"/>
      <c r="AN721" s="1207"/>
      <c r="AO721" s="1207"/>
      <c r="AP721" s="1207"/>
      <c r="AQ721" s="1207"/>
      <c r="AR721" s="1207"/>
      <c r="AS721" s="1207"/>
      <c r="AT721" s="1207"/>
      <c r="AU721" s="1207"/>
      <c r="AV721" s="1207"/>
      <c r="AW721" s="1207"/>
      <c r="AX721" s="1207"/>
      <c r="AY721" s="1207"/>
      <c r="AZ721" s="1207"/>
      <c r="BA721" s="1207"/>
      <c r="BB721" s="1207"/>
      <c r="BC721" s="1207"/>
      <c r="BD721" s="1207"/>
      <c r="BE721" s="1207"/>
      <c r="BF721" s="1207"/>
      <c r="BG721" s="1207"/>
      <c r="BH721" s="1207"/>
      <c r="BI721" s="1207"/>
      <c r="BJ721" s="1207"/>
      <c r="BK721" s="1207"/>
      <c r="BL721" s="1207"/>
      <c r="BM721" s="1207"/>
      <c r="BN721" s="1207"/>
      <c r="BO721" s="1207"/>
      <c r="BP721" s="1207"/>
      <c r="BQ721" s="1207"/>
      <c r="BR721" s="1207"/>
      <c r="BS721" s="1207"/>
      <c r="BT721" s="1207"/>
      <c r="BU721" s="1207"/>
      <c r="BV721" s="1207"/>
      <c r="BW721" s="1207"/>
      <c r="BX721" s="1207"/>
      <c r="BY721" s="1207"/>
      <c r="BZ721" s="1207"/>
      <c r="CA721" s="1207"/>
      <c r="CB721" s="1207"/>
      <c r="CC721" s="1207"/>
      <c r="CD721" s="1207"/>
      <c r="CE721" s="1207"/>
      <c r="CF721" s="1207"/>
    </row>
    <row r="722" spans="1:84" ht="120" x14ac:dyDescent="0.2">
      <c r="A722" s="1355">
        <v>2022731</v>
      </c>
      <c r="B722" s="1172" t="s">
        <v>459</v>
      </c>
      <c r="C722" s="1356"/>
      <c r="D722" s="1190" t="s">
        <v>691</v>
      </c>
      <c r="E722" s="1174" t="s">
        <v>1178</v>
      </c>
      <c r="F722" s="1389" t="s">
        <v>1349</v>
      </c>
      <c r="G722" s="1390">
        <v>44788</v>
      </c>
      <c r="H722" s="1390">
        <v>44783</v>
      </c>
      <c r="I722" s="1176">
        <v>3</v>
      </c>
      <c r="J722" s="1176" t="s">
        <v>701</v>
      </c>
      <c r="K722" s="1177" t="s">
        <v>676</v>
      </c>
      <c r="L722" s="1178"/>
      <c r="M722" s="1179">
        <v>15000000</v>
      </c>
      <c r="N722" s="1386"/>
      <c r="O722" s="1174"/>
      <c r="P722" s="1163" t="s">
        <v>759</v>
      </c>
      <c r="Q722" s="1207"/>
      <c r="R722" s="1357"/>
      <c r="S722" s="1357"/>
      <c r="T722" s="1357">
        <f>+Tabla16[[#This Row],[CDPS A 31 JULIO 2022]]-Tabla16[[#This Row],[CDP]]</f>
        <v>0</v>
      </c>
      <c r="U722" s="1357"/>
      <c r="V722" s="1357"/>
      <c r="W722" s="1357"/>
      <c r="X722" s="1207"/>
      <c r="Y722" s="1207"/>
      <c r="Z722" s="1207"/>
      <c r="AA722" s="1207"/>
      <c r="AB722" s="1207"/>
      <c r="AC722" s="1207"/>
      <c r="AD722" s="1207"/>
      <c r="AE722" s="1207"/>
      <c r="AF722" s="1207"/>
      <c r="AG722" s="1207"/>
      <c r="AH722" s="1207"/>
      <c r="AI722" s="1207"/>
      <c r="AJ722" s="1207"/>
      <c r="AK722" s="1207"/>
      <c r="AL722" s="1207"/>
      <c r="AM722" s="1207"/>
      <c r="AN722" s="1207"/>
      <c r="AO722" s="1207"/>
      <c r="AP722" s="1207"/>
      <c r="AQ722" s="1207"/>
      <c r="AR722" s="1207"/>
      <c r="AS722" s="1207"/>
      <c r="AT722" s="1207"/>
      <c r="AU722" s="1207"/>
      <c r="AV722" s="1207"/>
      <c r="AW722" s="1207"/>
      <c r="AX722" s="1207"/>
      <c r="AY722" s="1207"/>
      <c r="AZ722" s="1207"/>
      <c r="BA722" s="1207"/>
      <c r="BB722" s="1207"/>
      <c r="BC722" s="1207"/>
      <c r="BD722" s="1207"/>
      <c r="BE722" s="1207"/>
      <c r="BF722" s="1207"/>
      <c r="BG722" s="1207"/>
      <c r="BH722" s="1207"/>
      <c r="BI722" s="1207"/>
      <c r="BJ722" s="1207"/>
      <c r="BK722" s="1207"/>
      <c r="BL722" s="1207"/>
      <c r="BM722" s="1207"/>
      <c r="BN722" s="1207"/>
      <c r="BO722" s="1207"/>
      <c r="BP722" s="1207"/>
      <c r="BQ722" s="1207"/>
      <c r="BR722" s="1207"/>
      <c r="BS722" s="1207"/>
      <c r="BT722" s="1207"/>
      <c r="BU722" s="1207"/>
      <c r="BV722" s="1207"/>
      <c r="BW722" s="1207"/>
      <c r="BX722" s="1207"/>
      <c r="BY722" s="1207"/>
      <c r="BZ722" s="1207"/>
      <c r="CA722" s="1207"/>
      <c r="CB722" s="1207"/>
      <c r="CC722" s="1207"/>
      <c r="CD722" s="1207"/>
      <c r="CE722" s="1207"/>
      <c r="CF722" s="1207"/>
    </row>
    <row r="723" spans="1:84" ht="45" x14ac:dyDescent="0.2">
      <c r="A723" s="1355">
        <v>2022732</v>
      </c>
      <c r="B723" s="1172" t="s">
        <v>459</v>
      </c>
      <c r="C723" s="1356"/>
      <c r="D723" s="1190" t="s">
        <v>691</v>
      </c>
      <c r="E723" s="1174" t="s">
        <v>1186</v>
      </c>
      <c r="F723" s="1389" t="s">
        <v>1350</v>
      </c>
      <c r="G723" s="1390">
        <v>44782</v>
      </c>
      <c r="H723" s="1390">
        <v>44770</v>
      </c>
      <c r="I723" s="1176" t="s">
        <v>1351</v>
      </c>
      <c r="J723" s="1176" t="s">
        <v>647</v>
      </c>
      <c r="K723" s="1177" t="s">
        <v>43</v>
      </c>
      <c r="L723" s="1178"/>
      <c r="M723" s="1179">
        <v>348435865</v>
      </c>
      <c r="N723" s="1386"/>
      <c r="O723" s="1174"/>
      <c r="P723" s="1163" t="s">
        <v>759</v>
      </c>
      <c r="Q723" s="1207"/>
      <c r="R723" s="1357"/>
      <c r="S723" s="1357"/>
      <c r="T723" s="1357">
        <f>+Tabla16[[#This Row],[CDPS A 31 JULIO 2022]]-Tabla16[[#This Row],[CDP]]</f>
        <v>0</v>
      </c>
      <c r="U723" s="1357"/>
      <c r="V723" s="1357"/>
      <c r="W723" s="1357"/>
      <c r="X723" s="1207"/>
      <c r="Y723" s="1207"/>
      <c r="Z723" s="1207"/>
      <c r="AA723" s="1207"/>
      <c r="AB723" s="1207"/>
      <c r="AC723" s="1207"/>
      <c r="AD723" s="1207"/>
      <c r="AE723" s="1207"/>
      <c r="AF723" s="1207"/>
      <c r="AG723" s="1207"/>
      <c r="AH723" s="1207"/>
      <c r="AI723" s="1207"/>
      <c r="AJ723" s="1207"/>
      <c r="AK723" s="1207"/>
      <c r="AL723" s="1207"/>
      <c r="AM723" s="1207"/>
      <c r="AN723" s="1207"/>
      <c r="AO723" s="1207"/>
      <c r="AP723" s="1207"/>
      <c r="AQ723" s="1207"/>
      <c r="AR723" s="1207"/>
      <c r="AS723" s="1207"/>
      <c r="AT723" s="1207"/>
      <c r="AU723" s="1207"/>
      <c r="AV723" s="1207"/>
      <c r="AW723" s="1207"/>
      <c r="AX723" s="1207"/>
      <c r="AY723" s="1207"/>
      <c r="AZ723" s="1207"/>
      <c r="BA723" s="1207"/>
      <c r="BB723" s="1207"/>
      <c r="BC723" s="1207"/>
      <c r="BD723" s="1207"/>
      <c r="BE723" s="1207"/>
      <c r="BF723" s="1207"/>
      <c r="BG723" s="1207"/>
      <c r="BH723" s="1207"/>
      <c r="BI723" s="1207"/>
      <c r="BJ723" s="1207"/>
      <c r="BK723" s="1207"/>
      <c r="BL723" s="1207"/>
      <c r="BM723" s="1207"/>
      <c r="BN723" s="1207"/>
      <c r="BO723" s="1207"/>
      <c r="BP723" s="1207"/>
      <c r="BQ723" s="1207"/>
      <c r="BR723" s="1207"/>
      <c r="BS723" s="1207"/>
      <c r="BT723" s="1207"/>
      <c r="BU723" s="1207"/>
      <c r="BV723" s="1207"/>
      <c r="BW723" s="1207"/>
      <c r="BX723" s="1207"/>
      <c r="BY723" s="1207"/>
      <c r="BZ723" s="1207"/>
      <c r="CA723" s="1207"/>
      <c r="CB723" s="1207"/>
      <c r="CC723" s="1207"/>
      <c r="CD723" s="1207"/>
      <c r="CE723" s="1207"/>
      <c r="CF723" s="1207"/>
    </row>
    <row r="724" spans="1:84" ht="105" x14ac:dyDescent="0.2">
      <c r="A724" s="1355">
        <v>2022733</v>
      </c>
      <c r="B724" s="1172">
        <v>7637</v>
      </c>
      <c r="C724" s="1356" t="s">
        <v>645</v>
      </c>
      <c r="D724" s="1190" t="s">
        <v>673</v>
      </c>
      <c r="E724" s="1174">
        <v>72151500</v>
      </c>
      <c r="F724" s="1389" t="s">
        <v>1352</v>
      </c>
      <c r="G724" s="1390">
        <v>44778</v>
      </c>
      <c r="H724" s="1390">
        <v>44788</v>
      </c>
      <c r="I724" s="1176">
        <v>1</v>
      </c>
      <c r="J724" s="1176" t="s">
        <v>698</v>
      </c>
      <c r="K724" s="1177" t="s">
        <v>676</v>
      </c>
      <c r="L724" s="1178" t="s">
        <v>737</v>
      </c>
      <c r="M724" s="1179">
        <f>6500000+17750000+10750000</f>
        <v>35000000</v>
      </c>
      <c r="N724" s="1189" t="s">
        <v>678</v>
      </c>
      <c r="O724" s="1174" t="s">
        <v>679</v>
      </c>
      <c r="P724" s="1207" t="s">
        <v>759</v>
      </c>
      <c r="Q724" s="1207"/>
      <c r="R724" s="1269">
        <v>0</v>
      </c>
      <c r="S724" s="1357"/>
      <c r="T724" s="1357">
        <f>+Tabla16[[#This Row],[CDPS A 31 JULIO 2022]]-Tabla16[[#This Row],[CDP]]</f>
        <v>0</v>
      </c>
      <c r="U724" s="1357"/>
      <c r="V724" s="1357"/>
      <c r="W724" s="1357"/>
      <c r="X724" s="1207"/>
      <c r="Y724" s="1207"/>
      <c r="Z724" s="1207"/>
      <c r="AA724" s="1207"/>
      <c r="AB724" s="1207"/>
      <c r="AC724" s="1207"/>
      <c r="AD724" s="1207"/>
      <c r="AE724" s="1207"/>
      <c r="AF724" s="1207"/>
      <c r="AG724" s="1207"/>
      <c r="AH724" s="1207"/>
      <c r="AI724" s="1207"/>
      <c r="AJ724" s="1207"/>
      <c r="AK724" s="1207"/>
      <c r="AL724" s="1207"/>
      <c r="AM724" s="1207"/>
      <c r="AN724" s="1207"/>
      <c r="AO724" s="1207"/>
      <c r="AP724" s="1207"/>
      <c r="AQ724" s="1207"/>
      <c r="AR724" s="1207"/>
      <c r="AS724" s="1207"/>
      <c r="AT724" s="1207"/>
      <c r="AU724" s="1207"/>
      <c r="AV724" s="1207"/>
      <c r="AW724" s="1207"/>
      <c r="AX724" s="1207"/>
      <c r="AY724" s="1207"/>
      <c r="AZ724" s="1207"/>
      <c r="BA724" s="1207"/>
      <c r="BB724" s="1207"/>
      <c r="BC724" s="1207"/>
      <c r="BD724" s="1207"/>
      <c r="BE724" s="1207"/>
      <c r="BF724" s="1207"/>
      <c r="BG724" s="1207"/>
      <c r="BH724" s="1207"/>
      <c r="BI724" s="1207"/>
      <c r="BJ724" s="1207"/>
      <c r="BK724" s="1207"/>
      <c r="BL724" s="1207"/>
      <c r="BM724" s="1207"/>
      <c r="BN724" s="1207"/>
      <c r="BO724" s="1207"/>
      <c r="BP724" s="1207"/>
      <c r="BQ724" s="1207"/>
      <c r="BR724" s="1207"/>
      <c r="BS724" s="1207"/>
      <c r="BT724" s="1207"/>
      <c r="BU724" s="1207"/>
      <c r="BV724" s="1207"/>
      <c r="BW724" s="1207"/>
      <c r="BX724" s="1207"/>
      <c r="BY724" s="1207"/>
      <c r="BZ724" s="1207"/>
      <c r="CA724" s="1207"/>
      <c r="CB724" s="1207"/>
      <c r="CC724" s="1207"/>
      <c r="CD724" s="1207"/>
      <c r="CE724" s="1207"/>
      <c r="CF724" s="1207"/>
    </row>
    <row r="725" spans="1:84" ht="105" x14ac:dyDescent="0.2">
      <c r="A725" s="1355">
        <v>2022734</v>
      </c>
      <c r="B725" s="1172">
        <v>7655</v>
      </c>
      <c r="C725" s="1356" t="s">
        <v>670</v>
      </c>
      <c r="D725" s="1190" t="s">
        <v>673</v>
      </c>
      <c r="E725" s="1174">
        <v>80111600</v>
      </c>
      <c r="F725" s="1389" t="s">
        <v>1353</v>
      </c>
      <c r="G725" s="1390">
        <v>44788</v>
      </c>
      <c r="H725" s="1390">
        <v>44819</v>
      </c>
      <c r="I725" s="1176">
        <v>4.5</v>
      </c>
      <c r="J725" s="1176" t="s">
        <v>675</v>
      </c>
      <c r="K725" s="1177" t="s">
        <v>676</v>
      </c>
      <c r="L725" s="1178" t="s">
        <v>677</v>
      </c>
      <c r="M725" s="1179">
        <v>14400000</v>
      </c>
      <c r="N725" s="1386" t="s">
        <v>785</v>
      </c>
      <c r="O725" s="1174" t="s">
        <v>780</v>
      </c>
      <c r="P725" s="1207" t="s">
        <v>680</v>
      </c>
      <c r="Q725" s="1207"/>
      <c r="R725" s="1269">
        <v>0</v>
      </c>
      <c r="S725" s="1357"/>
      <c r="T725" s="1357">
        <f>+Tabla16[[#This Row],[CDPS A 31 JULIO 2022]]-Tabla16[[#This Row],[CDP]]</f>
        <v>0</v>
      </c>
      <c r="U725" s="1357"/>
      <c r="V725" s="1357"/>
      <c r="W725" s="1357"/>
      <c r="X725" s="1207"/>
      <c r="Y725" s="1207"/>
      <c r="Z725" s="1207"/>
      <c r="AA725" s="1207"/>
      <c r="AB725" s="1207"/>
      <c r="AC725" s="1207"/>
      <c r="AD725" s="1207"/>
      <c r="AE725" s="1207"/>
      <c r="AF725" s="1207"/>
      <c r="AG725" s="1207"/>
      <c r="AH725" s="1207"/>
      <c r="AI725" s="1207"/>
      <c r="AJ725" s="1207"/>
      <c r="AK725" s="1207"/>
      <c r="AL725" s="1207"/>
      <c r="AM725" s="1207"/>
      <c r="AN725" s="1207"/>
      <c r="AO725" s="1207"/>
      <c r="AP725" s="1207"/>
      <c r="AQ725" s="1207"/>
      <c r="AR725" s="1207"/>
      <c r="AS725" s="1207"/>
      <c r="AT725" s="1207"/>
      <c r="AU725" s="1207"/>
      <c r="AV725" s="1207"/>
      <c r="AW725" s="1207"/>
      <c r="AX725" s="1207"/>
      <c r="AY725" s="1207"/>
      <c r="AZ725" s="1207"/>
      <c r="BA725" s="1207"/>
      <c r="BB725" s="1207"/>
      <c r="BC725" s="1207"/>
      <c r="BD725" s="1207"/>
      <c r="BE725" s="1207"/>
      <c r="BF725" s="1207"/>
      <c r="BG725" s="1207"/>
      <c r="BH725" s="1207"/>
      <c r="BI725" s="1207"/>
      <c r="BJ725" s="1207"/>
      <c r="BK725" s="1207"/>
      <c r="BL725" s="1207"/>
      <c r="BM725" s="1207"/>
      <c r="BN725" s="1207"/>
      <c r="BO725" s="1207"/>
      <c r="BP725" s="1207"/>
      <c r="BQ725" s="1207"/>
      <c r="BR725" s="1207"/>
      <c r="BS725" s="1207"/>
      <c r="BT725" s="1207"/>
      <c r="BU725" s="1207"/>
      <c r="BV725" s="1207"/>
      <c r="BW725" s="1207"/>
      <c r="BX725" s="1207"/>
      <c r="BY725" s="1207"/>
      <c r="BZ725" s="1207"/>
      <c r="CA725" s="1207"/>
      <c r="CB725" s="1207"/>
      <c r="CC725" s="1207"/>
      <c r="CD725" s="1207"/>
      <c r="CE725" s="1207"/>
      <c r="CF725" s="1207"/>
    </row>
    <row r="726" spans="1:84" ht="105" x14ac:dyDescent="0.2">
      <c r="A726" s="1355">
        <v>2022735</v>
      </c>
      <c r="B726" s="1172">
        <v>7637</v>
      </c>
      <c r="C726" s="1356" t="s">
        <v>645</v>
      </c>
      <c r="D726" s="1190" t="s">
        <v>673</v>
      </c>
      <c r="E726" s="1174">
        <v>80111600</v>
      </c>
      <c r="F726" s="1389" t="s">
        <v>1354</v>
      </c>
      <c r="G726" s="1390">
        <v>44788</v>
      </c>
      <c r="H726" s="1390">
        <v>44819</v>
      </c>
      <c r="I726" s="1176">
        <v>4</v>
      </c>
      <c r="J726" s="1176" t="s">
        <v>675</v>
      </c>
      <c r="K726" s="1177" t="s">
        <v>676</v>
      </c>
      <c r="L726" s="1178" t="s">
        <v>677</v>
      </c>
      <c r="M726" s="1179">
        <v>15600000</v>
      </c>
      <c r="N726" s="1189" t="s">
        <v>678</v>
      </c>
      <c r="O726" s="1174" t="s">
        <v>679</v>
      </c>
      <c r="P726" s="1163" t="s">
        <v>680</v>
      </c>
      <c r="Q726" s="1207"/>
      <c r="R726" s="1269">
        <v>0</v>
      </c>
      <c r="S726" s="1357"/>
      <c r="T726" s="1357">
        <f>+Tabla16[[#This Row],[CDPS A 31 JULIO 2022]]-Tabla16[[#This Row],[CDP]]</f>
        <v>0</v>
      </c>
      <c r="U726" s="1357"/>
      <c r="V726" s="1357"/>
      <c r="W726" s="1357"/>
      <c r="X726" s="1207"/>
      <c r="Y726" s="1207"/>
      <c r="Z726" s="1207"/>
      <c r="AA726" s="1207"/>
      <c r="AB726" s="1207"/>
      <c r="AC726" s="1207"/>
      <c r="AD726" s="1207"/>
      <c r="AE726" s="1207"/>
      <c r="AF726" s="1207"/>
      <c r="AG726" s="1207"/>
      <c r="AH726" s="1207"/>
      <c r="AI726" s="1207"/>
      <c r="AJ726" s="1207"/>
      <c r="AK726" s="1207"/>
      <c r="AL726" s="1207"/>
      <c r="AM726" s="1207"/>
      <c r="AN726" s="1207"/>
      <c r="AO726" s="1207"/>
      <c r="AP726" s="1207"/>
      <c r="AQ726" s="1207"/>
      <c r="AR726" s="1207"/>
      <c r="AS726" s="1207"/>
      <c r="AT726" s="1207"/>
      <c r="AU726" s="1207"/>
      <c r="AV726" s="1207"/>
      <c r="AW726" s="1207"/>
      <c r="AX726" s="1207"/>
      <c r="AY726" s="1207"/>
      <c r="AZ726" s="1207"/>
      <c r="BA726" s="1207"/>
      <c r="BB726" s="1207"/>
      <c r="BC726" s="1207"/>
      <c r="BD726" s="1207"/>
      <c r="BE726" s="1207"/>
      <c r="BF726" s="1207"/>
      <c r="BG726" s="1207"/>
      <c r="BH726" s="1207"/>
      <c r="BI726" s="1207"/>
      <c r="BJ726" s="1207"/>
      <c r="BK726" s="1207"/>
      <c r="BL726" s="1207"/>
      <c r="BM726" s="1207"/>
      <c r="BN726" s="1207"/>
      <c r="BO726" s="1207"/>
      <c r="BP726" s="1207"/>
      <c r="BQ726" s="1207"/>
      <c r="BR726" s="1207"/>
      <c r="BS726" s="1207"/>
      <c r="BT726" s="1207"/>
      <c r="BU726" s="1207"/>
      <c r="BV726" s="1207"/>
      <c r="BW726" s="1207"/>
      <c r="BX726" s="1207"/>
      <c r="BY726" s="1207"/>
      <c r="BZ726" s="1207"/>
      <c r="CA726" s="1207"/>
      <c r="CB726" s="1207"/>
      <c r="CC726" s="1207"/>
      <c r="CD726" s="1207"/>
      <c r="CE726" s="1207"/>
      <c r="CF726" s="1207"/>
    </row>
    <row r="727" spans="1:84" ht="105" x14ac:dyDescent="0.2">
      <c r="A727" s="1355">
        <v>2022736</v>
      </c>
      <c r="B727" s="1172">
        <v>7655</v>
      </c>
      <c r="C727" s="1356" t="s">
        <v>670</v>
      </c>
      <c r="D727" s="1190" t="s">
        <v>673</v>
      </c>
      <c r="E727" s="1174">
        <v>80111600</v>
      </c>
      <c r="F727" s="1406" t="s">
        <v>1355</v>
      </c>
      <c r="G727" s="1390">
        <v>44774</v>
      </c>
      <c r="H727" s="1390">
        <v>44804</v>
      </c>
      <c r="I727" s="1176">
        <v>2</v>
      </c>
      <c r="J727" s="1176" t="s">
        <v>701</v>
      </c>
      <c r="K727" s="1177" t="s">
        <v>676</v>
      </c>
      <c r="L727" s="1178" t="s">
        <v>677</v>
      </c>
      <c r="M727" s="1179">
        <v>45000000</v>
      </c>
      <c r="N727" s="1386" t="s">
        <v>785</v>
      </c>
      <c r="O727" s="1174" t="s">
        <v>780</v>
      </c>
      <c r="P727" s="1163" t="s">
        <v>680</v>
      </c>
      <c r="Q727" s="1207"/>
      <c r="R727" s="1269">
        <v>0</v>
      </c>
      <c r="S727" s="1357"/>
      <c r="T727" s="1357">
        <f>+Tabla16[[#This Row],[CDPS A 31 JULIO 2022]]-Tabla16[[#This Row],[CDP]]</f>
        <v>0</v>
      </c>
      <c r="U727" s="1357"/>
      <c r="V727" s="1357"/>
      <c r="W727" s="1357"/>
      <c r="X727" s="1207"/>
      <c r="Y727" s="1207"/>
      <c r="Z727" s="1207"/>
      <c r="AA727" s="1207"/>
      <c r="AB727" s="1207"/>
      <c r="AC727" s="1207"/>
      <c r="AD727" s="1207"/>
      <c r="AE727" s="1207"/>
      <c r="AF727" s="1207"/>
      <c r="AG727" s="1207"/>
      <c r="AH727" s="1207"/>
      <c r="AI727" s="1207"/>
      <c r="AJ727" s="1207"/>
      <c r="AK727" s="1207"/>
      <c r="AL727" s="1207"/>
      <c r="AM727" s="1207"/>
      <c r="AN727" s="1207"/>
      <c r="AO727" s="1207"/>
      <c r="AP727" s="1207"/>
      <c r="AQ727" s="1207"/>
      <c r="AR727" s="1207"/>
      <c r="AS727" s="1207"/>
      <c r="AT727" s="1207"/>
      <c r="AU727" s="1207"/>
      <c r="AV727" s="1207"/>
      <c r="AW727" s="1207"/>
      <c r="AX727" s="1207"/>
      <c r="AY727" s="1207"/>
      <c r="AZ727" s="1207"/>
      <c r="BA727" s="1207"/>
      <c r="BB727" s="1207"/>
      <c r="BC727" s="1207"/>
      <c r="BD727" s="1207"/>
      <c r="BE727" s="1207"/>
      <c r="BF727" s="1207"/>
      <c r="BG727" s="1207"/>
      <c r="BH727" s="1207"/>
      <c r="BI727" s="1207"/>
      <c r="BJ727" s="1207"/>
      <c r="BK727" s="1207"/>
      <c r="BL727" s="1207"/>
      <c r="BM727" s="1207"/>
      <c r="BN727" s="1207"/>
      <c r="BO727" s="1207"/>
      <c r="BP727" s="1207"/>
      <c r="BQ727" s="1207"/>
      <c r="BR727" s="1207"/>
      <c r="BS727" s="1207"/>
      <c r="BT727" s="1207"/>
      <c r="BU727" s="1207"/>
      <c r="BV727" s="1207"/>
      <c r="BW727" s="1207"/>
      <c r="BX727" s="1207"/>
      <c r="BY727" s="1207"/>
      <c r="BZ727" s="1207"/>
      <c r="CA727" s="1207"/>
      <c r="CB727" s="1207"/>
      <c r="CC727" s="1207"/>
      <c r="CD727" s="1207"/>
      <c r="CE727" s="1207"/>
      <c r="CF727" s="1207"/>
    </row>
    <row r="728" spans="1:84" ht="135" x14ac:dyDescent="0.2">
      <c r="A728" s="1355">
        <v>2022737</v>
      </c>
      <c r="B728" s="1172">
        <v>7658</v>
      </c>
      <c r="C728" s="1356" t="s">
        <v>681</v>
      </c>
      <c r="D728" s="1190" t="s">
        <v>700</v>
      </c>
      <c r="E728" s="1174">
        <v>80111600</v>
      </c>
      <c r="F728" s="1389" t="s">
        <v>1356</v>
      </c>
      <c r="G728" s="1390">
        <v>44774</v>
      </c>
      <c r="H728" s="1390">
        <v>44774</v>
      </c>
      <c r="I728" s="1176">
        <v>5</v>
      </c>
      <c r="J728" s="1176" t="s">
        <v>675</v>
      </c>
      <c r="K728" s="1177" t="s">
        <v>676</v>
      </c>
      <c r="L728" s="1178" t="s">
        <v>677</v>
      </c>
      <c r="M728" s="1179">
        <v>30000000</v>
      </c>
      <c r="N728" s="1386" t="s">
        <v>781</v>
      </c>
      <c r="O728" s="1174" t="s">
        <v>773</v>
      </c>
      <c r="P728" s="1163" t="s">
        <v>680</v>
      </c>
      <c r="Q728" s="1207"/>
      <c r="R728" s="1269">
        <v>0</v>
      </c>
      <c r="S728" s="1357"/>
      <c r="T728" s="1357">
        <f>+Tabla16[[#This Row],[CDPS A 31 JULIO 2022]]-Tabla16[[#This Row],[CDP]]</f>
        <v>0</v>
      </c>
      <c r="U728" s="1357"/>
      <c r="V728" s="1357"/>
      <c r="W728" s="1357"/>
      <c r="X728" s="1207"/>
      <c r="Y728" s="1207"/>
      <c r="Z728" s="1207"/>
      <c r="AA728" s="1207"/>
      <c r="AB728" s="1207"/>
      <c r="AC728" s="1207"/>
      <c r="AD728" s="1207"/>
      <c r="AE728" s="1207"/>
      <c r="AF728" s="1207"/>
      <c r="AG728" s="1207"/>
      <c r="AH728" s="1207"/>
      <c r="AI728" s="1207"/>
      <c r="AJ728" s="1207"/>
      <c r="AK728" s="1207"/>
      <c r="AL728" s="1207"/>
      <c r="AM728" s="1207"/>
      <c r="AN728" s="1207"/>
      <c r="AO728" s="1207"/>
      <c r="AP728" s="1207"/>
      <c r="AQ728" s="1207"/>
      <c r="AR728" s="1207"/>
      <c r="AS728" s="1207"/>
      <c r="AT728" s="1207"/>
      <c r="AU728" s="1207"/>
      <c r="AV728" s="1207"/>
      <c r="AW728" s="1207"/>
      <c r="AX728" s="1207"/>
      <c r="AY728" s="1207"/>
      <c r="AZ728" s="1207"/>
      <c r="BA728" s="1207"/>
      <c r="BB728" s="1207"/>
      <c r="BC728" s="1207"/>
      <c r="BD728" s="1207"/>
      <c r="BE728" s="1207"/>
      <c r="BF728" s="1207"/>
      <c r="BG728" s="1207"/>
      <c r="BH728" s="1207"/>
      <c r="BI728" s="1207"/>
      <c r="BJ728" s="1207"/>
      <c r="BK728" s="1207"/>
      <c r="BL728" s="1207"/>
      <c r="BM728" s="1207"/>
      <c r="BN728" s="1207"/>
      <c r="BO728" s="1207"/>
      <c r="BP728" s="1207"/>
      <c r="BQ728" s="1207"/>
      <c r="BR728" s="1207"/>
      <c r="BS728" s="1207"/>
      <c r="BT728" s="1207"/>
      <c r="BU728" s="1207"/>
      <c r="BV728" s="1207"/>
      <c r="BW728" s="1207"/>
      <c r="BX728" s="1207"/>
      <c r="BY728" s="1207"/>
      <c r="BZ728" s="1207"/>
      <c r="CA728" s="1207"/>
      <c r="CB728" s="1207"/>
      <c r="CC728" s="1207"/>
      <c r="CD728" s="1207"/>
      <c r="CE728" s="1207"/>
      <c r="CF728" s="1207"/>
    </row>
    <row r="729" spans="1:84" ht="90" x14ac:dyDescent="0.2">
      <c r="A729" s="1355">
        <v>2022738</v>
      </c>
      <c r="B729" s="1172">
        <v>7658</v>
      </c>
      <c r="C729" s="1356" t="s">
        <v>681</v>
      </c>
      <c r="D729" s="1190" t="s">
        <v>697</v>
      </c>
      <c r="E729" s="1174">
        <v>80111600</v>
      </c>
      <c r="F729" s="1389" t="s">
        <v>1009</v>
      </c>
      <c r="G729" s="1390">
        <v>44784</v>
      </c>
      <c r="H729" s="1390">
        <v>44791</v>
      </c>
      <c r="I729" s="1176">
        <v>4</v>
      </c>
      <c r="J729" s="1176" t="s">
        <v>675</v>
      </c>
      <c r="K729" s="1177" t="s">
        <v>676</v>
      </c>
      <c r="L729" s="1178" t="s">
        <v>677</v>
      </c>
      <c r="M729" s="1179">
        <v>20700000</v>
      </c>
      <c r="N729" s="1386" t="s">
        <v>767</v>
      </c>
      <c r="O729" s="1174" t="s">
        <v>766</v>
      </c>
      <c r="P729" s="1207" t="s">
        <v>680</v>
      </c>
      <c r="Q729" s="1207"/>
      <c r="R729" s="1269">
        <v>0</v>
      </c>
      <c r="S729" s="1357"/>
      <c r="T729" s="1357">
        <f>+Tabla16[[#This Row],[CDPS A 31 JULIO 2022]]-Tabla16[[#This Row],[CDP]]</f>
        <v>0</v>
      </c>
      <c r="U729" s="1357"/>
      <c r="V729" s="1357"/>
      <c r="W729" s="1357"/>
      <c r="X729" s="1207"/>
      <c r="Y729" s="1207"/>
      <c r="Z729" s="1207"/>
      <c r="AA729" s="1207"/>
      <c r="AB729" s="1207"/>
      <c r="AC729" s="1207"/>
      <c r="AD729" s="1207"/>
      <c r="AE729" s="1207"/>
      <c r="AF729" s="1207"/>
      <c r="AG729" s="1207"/>
      <c r="AH729" s="1207"/>
      <c r="AI729" s="1207"/>
      <c r="AJ729" s="1207"/>
      <c r="AK729" s="1207"/>
      <c r="AL729" s="1207"/>
      <c r="AM729" s="1207"/>
      <c r="AN729" s="1207"/>
      <c r="AO729" s="1207"/>
      <c r="AP729" s="1207"/>
      <c r="AQ729" s="1207"/>
      <c r="AR729" s="1207"/>
      <c r="AS729" s="1207"/>
      <c r="AT729" s="1207"/>
      <c r="AU729" s="1207"/>
      <c r="AV729" s="1207"/>
      <c r="AW729" s="1207"/>
      <c r="AX729" s="1207"/>
      <c r="AY729" s="1207"/>
      <c r="AZ729" s="1207"/>
      <c r="BA729" s="1207"/>
      <c r="BB729" s="1207"/>
      <c r="BC729" s="1207"/>
      <c r="BD729" s="1207"/>
      <c r="BE729" s="1207"/>
      <c r="BF729" s="1207"/>
      <c r="BG729" s="1207"/>
      <c r="BH729" s="1207"/>
      <c r="BI729" s="1207"/>
      <c r="BJ729" s="1207"/>
      <c r="BK729" s="1207"/>
      <c r="BL729" s="1207"/>
      <c r="BM729" s="1207"/>
      <c r="BN729" s="1207"/>
      <c r="BO729" s="1207"/>
      <c r="BP729" s="1207"/>
      <c r="BQ729" s="1207"/>
      <c r="BR729" s="1207"/>
      <c r="BS729" s="1207"/>
      <c r="BT729" s="1207"/>
      <c r="BU729" s="1207"/>
      <c r="BV729" s="1207"/>
      <c r="BW729" s="1207"/>
      <c r="BX729" s="1207"/>
      <c r="BY729" s="1207"/>
      <c r="BZ729" s="1207"/>
      <c r="CA729" s="1207"/>
      <c r="CB729" s="1207"/>
      <c r="CC729" s="1207"/>
      <c r="CD729" s="1207"/>
      <c r="CE729" s="1207"/>
      <c r="CF729" s="1207"/>
    </row>
    <row r="730" spans="1:84" ht="90" x14ac:dyDescent="0.2">
      <c r="A730" s="1355">
        <v>2022739</v>
      </c>
      <c r="B730" s="1172">
        <v>7658</v>
      </c>
      <c r="C730" s="1356" t="s">
        <v>681</v>
      </c>
      <c r="D730" s="1190" t="s">
        <v>697</v>
      </c>
      <c r="E730" s="1174">
        <v>80111600</v>
      </c>
      <c r="F730" s="1389" t="s">
        <v>1001</v>
      </c>
      <c r="G730" s="1390">
        <v>44789</v>
      </c>
      <c r="H730" s="1390">
        <v>44797</v>
      </c>
      <c r="I730" s="1176">
        <v>4</v>
      </c>
      <c r="J730" s="1176" t="s">
        <v>675</v>
      </c>
      <c r="K730" s="1177" t="s">
        <v>676</v>
      </c>
      <c r="L730" s="1178" t="s">
        <v>677</v>
      </c>
      <c r="M730" s="1179">
        <v>9800000</v>
      </c>
      <c r="N730" s="1386" t="s">
        <v>767</v>
      </c>
      <c r="O730" s="1174" t="s">
        <v>766</v>
      </c>
      <c r="P730" s="1207" t="s">
        <v>680</v>
      </c>
      <c r="Q730" s="1207"/>
      <c r="R730" s="1269">
        <v>0</v>
      </c>
      <c r="S730" s="1357"/>
      <c r="T730" s="1357">
        <f>+Tabla16[[#This Row],[CDPS A 31 JULIO 2022]]-Tabla16[[#This Row],[CDP]]</f>
        <v>0</v>
      </c>
      <c r="U730" s="1357"/>
      <c r="V730" s="1357"/>
      <c r="W730" s="1357"/>
      <c r="X730" s="1207"/>
      <c r="Y730" s="1207"/>
      <c r="Z730" s="1207"/>
      <c r="AA730" s="1207"/>
      <c r="AB730" s="1207"/>
      <c r="AC730" s="1207"/>
      <c r="AD730" s="1207"/>
      <c r="AE730" s="1207"/>
      <c r="AF730" s="1207"/>
      <c r="AG730" s="1207"/>
      <c r="AH730" s="1207"/>
      <c r="AI730" s="1207"/>
      <c r="AJ730" s="1207"/>
      <c r="AK730" s="1207"/>
      <c r="AL730" s="1207"/>
      <c r="AM730" s="1207"/>
      <c r="AN730" s="1207"/>
      <c r="AO730" s="1207"/>
      <c r="AP730" s="1207"/>
      <c r="AQ730" s="1207"/>
      <c r="AR730" s="1207"/>
      <c r="AS730" s="1207"/>
      <c r="AT730" s="1207"/>
      <c r="AU730" s="1207"/>
      <c r="AV730" s="1207"/>
      <c r="AW730" s="1207"/>
      <c r="AX730" s="1207"/>
      <c r="AY730" s="1207"/>
      <c r="AZ730" s="1207"/>
      <c r="BA730" s="1207"/>
      <c r="BB730" s="1207"/>
      <c r="BC730" s="1207"/>
      <c r="BD730" s="1207"/>
      <c r="BE730" s="1207"/>
      <c r="BF730" s="1207"/>
      <c r="BG730" s="1207"/>
      <c r="BH730" s="1207"/>
      <c r="BI730" s="1207"/>
      <c r="BJ730" s="1207"/>
      <c r="BK730" s="1207"/>
      <c r="BL730" s="1207"/>
      <c r="BM730" s="1207"/>
      <c r="BN730" s="1207"/>
      <c r="BO730" s="1207"/>
      <c r="BP730" s="1207"/>
      <c r="BQ730" s="1207"/>
      <c r="BR730" s="1207"/>
      <c r="BS730" s="1207"/>
      <c r="BT730" s="1207"/>
      <c r="BU730" s="1207"/>
      <c r="BV730" s="1207"/>
      <c r="BW730" s="1207"/>
      <c r="BX730" s="1207"/>
      <c r="BY730" s="1207"/>
      <c r="BZ730" s="1207"/>
      <c r="CA730" s="1207"/>
      <c r="CB730" s="1207"/>
      <c r="CC730" s="1207"/>
      <c r="CD730" s="1207"/>
      <c r="CE730" s="1207"/>
      <c r="CF730" s="1207"/>
    </row>
    <row r="731" spans="1:84" ht="90" x14ac:dyDescent="0.2">
      <c r="A731" s="1355">
        <v>2022740</v>
      </c>
      <c r="B731" s="1172">
        <v>7658</v>
      </c>
      <c r="C731" s="1356" t="s">
        <v>681</v>
      </c>
      <c r="D731" s="1190" t="s">
        <v>697</v>
      </c>
      <c r="E731" s="1174">
        <v>80111600</v>
      </c>
      <c r="F731" s="1389" t="s">
        <v>1357</v>
      </c>
      <c r="G731" s="1390">
        <v>44784</v>
      </c>
      <c r="H731" s="1390">
        <v>44793</v>
      </c>
      <c r="I731" s="1176">
        <v>3</v>
      </c>
      <c r="J731" s="1176" t="s">
        <v>675</v>
      </c>
      <c r="K731" s="1177" t="s">
        <v>676</v>
      </c>
      <c r="L731" s="1178" t="s">
        <v>677</v>
      </c>
      <c r="M731" s="1179">
        <f>16953300-3912300</f>
        <v>13041000</v>
      </c>
      <c r="N731" s="1386" t="s">
        <v>767</v>
      </c>
      <c r="O731" s="1174" t="s">
        <v>766</v>
      </c>
      <c r="P731" s="1207" t="s">
        <v>680</v>
      </c>
      <c r="Q731" s="1207"/>
      <c r="R731" s="1269">
        <v>0</v>
      </c>
      <c r="S731" s="1357"/>
      <c r="T731" s="1357">
        <f>+Tabla16[[#This Row],[CDPS A 31 JULIO 2022]]-Tabla16[[#This Row],[CDP]]</f>
        <v>0</v>
      </c>
      <c r="U731" s="1357"/>
      <c r="V731" s="1357"/>
      <c r="W731" s="1357"/>
      <c r="X731" s="1207"/>
      <c r="Y731" s="1207"/>
      <c r="Z731" s="1207"/>
      <c r="AA731" s="1207"/>
      <c r="AB731" s="1207"/>
      <c r="AC731" s="1207"/>
      <c r="AD731" s="1207"/>
      <c r="AE731" s="1207"/>
      <c r="AF731" s="1207"/>
      <c r="AG731" s="1207"/>
      <c r="AH731" s="1207"/>
      <c r="AI731" s="1207"/>
      <c r="AJ731" s="1207"/>
      <c r="AK731" s="1207"/>
      <c r="AL731" s="1207"/>
      <c r="AM731" s="1207"/>
      <c r="AN731" s="1207"/>
      <c r="AO731" s="1207"/>
      <c r="AP731" s="1207"/>
      <c r="AQ731" s="1207"/>
      <c r="AR731" s="1207"/>
      <c r="AS731" s="1207"/>
      <c r="AT731" s="1207"/>
      <c r="AU731" s="1207"/>
      <c r="AV731" s="1207"/>
      <c r="AW731" s="1207"/>
      <c r="AX731" s="1207"/>
      <c r="AY731" s="1207"/>
      <c r="AZ731" s="1207"/>
      <c r="BA731" s="1207"/>
      <c r="BB731" s="1207"/>
      <c r="BC731" s="1207"/>
      <c r="BD731" s="1207"/>
      <c r="BE731" s="1207"/>
      <c r="BF731" s="1207"/>
      <c r="BG731" s="1207"/>
      <c r="BH731" s="1207"/>
      <c r="BI731" s="1207"/>
      <c r="BJ731" s="1207"/>
      <c r="BK731" s="1207"/>
      <c r="BL731" s="1207"/>
      <c r="BM731" s="1207"/>
      <c r="BN731" s="1207"/>
      <c r="BO731" s="1207"/>
      <c r="BP731" s="1207"/>
      <c r="BQ731" s="1207"/>
      <c r="BR731" s="1207"/>
      <c r="BS731" s="1207"/>
      <c r="BT731" s="1207"/>
      <c r="BU731" s="1207"/>
      <c r="BV731" s="1207"/>
      <c r="BW731" s="1207"/>
      <c r="BX731" s="1207"/>
      <c r="BY731" s="1207"/>
      <c r="BZ731" s="1207"/>
      <c r="CA731" s="1207"/>
      <c r="CB731" s="1207"/>
      <c r="CC731" s="1207"/>
      <c r="CD731" s="1207"/>
      <c r="CE731" s="1207"/>
      <c r="CF731" s="1207"/>
    </row>
    <row r="732" spans="1:84" ht="90" x14ac:dyDescent="0.2">
      <c r="A732" s="1355">
        <v>2022741</v>
      </c>
      <c r="B732" s="1172">
        <v>7658</v>
      </c>
      <c r="C732" s="1356" t="s">
        <v>681</v>
      </c>
      <c r="D732" s="1190" t="s">
        <v>697</v>
      </c>
      <c r="E732" s="1174">
        <v>80111600</v>
      </c>
      <c r="F732" s="1389" t="s">
        <v>1358</v>
      </c>
      <c r="G732" s="1390">
        <v>44796</v>
      </c>
      <c r="H732" s="1390">
        <v>44804</v>
      </c>
      <c r="I732" s="1176">
        <v>3.5</v>
      </c>
      <c r="J732" s="1176" t="s">
        <v>675</v>
      </c>
      <c r="K732" s="1177" t="s">
        <v>676</v>
      </c>
      <c r="L732" s="1178" t="s">
        <v>677</v>
      </c>
      <c r="M732" s="1179">
        <v>13475000</v>
      </c>
      <c r="N732" s="1386" t="s">
        <v>767</v>
      </c>
      <c r="O732" s="1174" t="s">
        <v>766</v>
      </c>
      <c r="P732" s="1163" t="s">
        <v>759</v>
      </c>
      <c r="Q732" s="1207"/>
      <c r="R732" s="1269">
        <v>0</v>
      </c>
      <c r="S732" s="1357"/>
      <c r="T732" s="1357">
        <f>+Tabla16[[#This Row],[CDPS A 31 JULIO 2022]]-Tabla16[[#This Row],[CDP]]</f>
        <v>0</v>
      </c>
      <c r="U732" s="1357"/>
      <c r="V732" s="1357"/>
      <c r="W732" s="1357"/>
      <c r="X732" s="1207"/>
      <c r="Y732" s="1207"/>
      <c r="Z732" s="1207"/>
      <c r="AA732" s="1207"/>
      <c r="AB732" s="1207"/>
      <c r="AC732" s="1207"/>
      <c r="AD732" s="1207"/>
      <c r="AE732" s="1207"/>
      <c r="AF732" s="1207"/>
      <c r="AG732" s="1207"/>
      <c r="AH732" s="1207"/>
      <c r="AI732" s="1207"/>
      <c r="AJ732" s="1207"/>
      <c r="AK732" s="1207"/>
      <c r="AL732" s="1207"/>
      <c r="AM732" s="1207"/>
      <c r="AN732" s="1207"/>
      <c r="AO732" s="1207"/>
      <c r="AP732" s="1207"/>
      <c r="AQ732" s="1207"/>
      <c r="AR732" s="1207"/>
      <c r="AS732" s="1207"/>
      <c r="AT732" s="1207"/>
      <c r="AU732" s="1207"/>
      <c r="AV732" s="1207"/>
      <c r="AW732" s="1207"/>
      <c r="AX732" s="1207"/>
      <c r="AY732" s="1207"/>
      <c r="AZ732" s="1207"/>
      <c r="BA732" s="1207"/>
      <c r="BB732" s="1207"/>
      <c r="BC732" s="1207"/>
      <c r="BD732" s="1207"/>
      <c r="BE732" s="1207"/>
      <c r="BF732" s="1207"/>
      <c r="BG732" s="1207"/>
      <c r="BH732" s="1207"/>
      <c r="BI732" s="1207"/>
      <c r="BJ732" s="1207"/>
      <c r="BK732" s="1207"/>
      <c r="BL732" s="1207"/>
      <c r="BM732" s="1207"/>
      <c r="BN732" s="1207"/>
      <c r="BO732" s="1207"/>
      <c r="BP732" s="1207"/>
      <c r="BQ732" s="1207"/>
      <c r="BR732" s="1207"/>
      <c r="BS732" s="1207"/>
      <c r="BT732" s="1207"/>
      <c r="BU732" s="1207"/>
      <c r="BV732" s="1207"/>
      <c r="BW732" s="1207"/>
      <c r="BX732" s="1207"/>
      <c r="BY732" s="1207"/>
      <c r="BZ732" s="1207"/>
      <c r="CA732" s="1207"/>
      <c r="CB732" s="1207"/>
      <c r="CC732" s="1207"/>
      <c r="CD732" s="1207"/>
      <c r="CE732" s="1207"/>
      <c r="CF732" s="1207"/>
    </row>
    <row r="733" spans="1:84" ht="105" x14ac:dyDescent="0.2">
      <c r="A733" s="1355">
        <v>2022742</v>
      </c>
      <c r="B733" s="1172">
        <v>7655</v>
      </c>
      <c r="C733" s="1356" t="s">
        <v>670</v>
      </c>
      <c r="D733" s="1190" t="s">
        <v>697</v>
      </c>
      <c r="E733" s="1174">
        <v>80111600</v>
      </c>
      <c r="F733" s="1389" t="s">
        <v>857</v>
      </c>
      <c r="G733" s="1390">
        <v>44783</v>
      </c>
      <c r="H733" s="1390">
        <v>44790</v>
      </c>
      <c r="I733" s="1176">
        <v>4</v>
      </c>
      <c r="J733" s="1176" t="s">
        <v>675</v>
      </c>
      <c r="K733" s="1177" t="s">
        <v>676</v>
      </c>
      <c r="L733" s="1178" t="s">
        <v>677</v>
      </c>
      <c r="M733" s="1179">
        <v>15940000</v>
      </c>
      <c r="N733" s="1386" t="s">
        <v>785</v>
      </c>
      <c r="O733" s="1174" t="s">
        <v>780</v>
      </c>
      <c r="P733" s="1163" t="s">
        <v>680</v>
      </c>
      <c r="Q733" s="1207"/>
      <c r="R733" s="1269">
        <v>0</v>
      </c>
      <c r="S733" s="1357"/>
      <c r="T733" s="1357">
        <f>+Tabla16[[#This Row],[CDPS A 31 JULIO 2022]]-Tabla16[[#This Row],[CDP]]</f>
        <v>0</v>
      </c>
      <c r="U733" s="1357"/>
      <c r="V733" s="1357"/>
      <c r="W733" s="1357"/>
      <c r="X733" s="1207"/>
      <c r="Y733" s="1207"/>
      <c r="Z733" s="1207"/>
      <c r="AA733" s="1207"/>
      <c r="AB733" s="1207"/>
      <c r="AC733" s="1207"/>
      <c r="AD733" s="1207"/>
      <c r="AE733" s="1207"/>
      <c r="AF733" s="1207"/>
      <c r="AG733" s="1207"/>
      <c r="AH733" s="1207"/>
      <c r="AI733" s="1207"/>
      <c r="AJ733" s="1207"/>
      <c r="AK733" s="1207"/>
      <c r="AL733" s="1207"/>
      <c r="AM733" s="1207"/>
      <c r="AN733" s="1207"/>
      <c r="AO733" s="1207"/>
      <c r="AP733" s="1207"/>
      <c r="AQ733" s="1207"/>
      <c r="AR733" s="1207"/>
      <c r="AS733" s="1207"/>
      <c r="AT733" s="1207"/>
      <c r="AU733" s="1207"/>
      <c r="AV733" s="1207"/>
      <c r="AW733" s="1207"/>
      <c r="AX733" s="1207"/>
      <c r="AY733" s="1207"/>
      <c r="AZ733" s="1207"/>
      <c r="BA733" s="1207"/>
      <c r="BB733" s="1207"/>
      <c r="BC733" s="1207"/>
      <c r="BD733" s="1207"/>
      <c r="BE733" s="1207"/>
      <c r="BF733" s="1207"/>
      <c r="BG733" s="1207"/>
      <c r="BH733" s="1207"/>
      <c r="BI733" s="1207"/>
      <c r="BJ733" s="1207"/>
      <c r="BK733" s="1207"/>
      <c r="BL733" s="1207"/>
      <c r="BM733" s="1207"/>
      <c r="BN733" s="1207"/>
      <c r="BO733" s="1207"/>
      <c r="BP733" s="1207"/>
      <c r="BQ733" s="1207"/>
      <c r="BR733" s="1207"/>
      <c r="BS733" s="1207"/>
      <c r="BT733" s="1207"/>
      <c r="BU733" s="1207"/>
      <c r="BV733" s="1207"/>
      <c r="BW733" s="1207"/>
      <c r="BX733" s="1207"/>
      <c r="BY733" s="1207"/>
      <c r="BZ733" s="1207"/>
      <c r="CA733" s="1207"/>
      <c r="CB733" s="1207"/>
      <c r="CC733" s="1207"/>
      <c r="CD733" s="1207"/>
      <c r="CE733" s="1207"/>
      <c r="CF733" s="1207"/>
    </row>
    <row r="734" spans="1:84" ht="105" x14ac:dyDescent="0.2">
      <c r="A734" s="1355">
        <v>2022743</v>
      </c>
      <c r="B734" s="1172">
        <v>7655</v>
      </c>
      <c r="C734" s="1356" t="s">
        <v>670</v>
      </c>
      <c r="D734" s="1190" t="s">
        <v>697</v>
      </c>
      <c r="E734" s="1174">
        <v>80111600</v>
      </c>
      <c r="F734" s="1389" t="s">
        <v>858</v>
      </c>
      <c r="G734" s="1390">
        <v>44783</v>
      </c>
      <c r="H734" s="1390">
        <v>44790</v>
      </c>
      <c r="I734" s="1176">
        <v>4</v>
      </c>
      <c r="J734" s="1176" t="s">
        <v>675</v>
      </c>
      <c r="K734" s="1177" t="s">
        <v>676</v>
      </c>
      <c r="L734" s="1178" t="s">
        <v>677</v>
      </c>
      <c r="M734" s="1179">
        <v>9800000</v>
      </c>
      <c r="N734" s="1386" t="s">
        <v>785</v>
      </c>
      <c r="O734" s="1174" t="s">
        <v>780</v>
      </c>
      <c r="P734" s="1163" t="s">
        <v>680</v>
      </c>
      <c r="Q734" s="1207"/>
      <c r="R734" s="1269">
        <v>0</v>
      </c>
      <c r="S734" s="1357"/>
      <c r="T734" s="1357">
        <f>+Tabla16[[#This Row],[CDPS A 31 JULIO 2022]]-Tabla16[[#This Row],[CDP]]</f>
        <v>0</v>
      </c>
      <c r="U734" s="1357"/>
      <c r="V734" s="1357"/>
      <c r="W734" s="1357"/>
      <c r="X734" s="1207"/>
      <c r="Y734" s="1207"/>
      <c r="Z734" s="1207"/>
      <c r="AA734" s="1207"/>
      <c r="AB734" s="1207"/>
      <c r="AC734" s="1207"/>
      <c r="AD734" s="1207"/>
      <c r="AE734" s="1207"/>
      <c r="AF734" s="1207"/>
      <c r="AG734" s="1207"/>
      <c r="AH734" s="1207"/>
      <c r="AI734" s="1207"/>
      <c r="AJ734" s="1207"/>
      <c r="AK734" s="1207"/>
      <c r="AL734" s="1207"/>
      <c r="AM734" s="1207"/>
      <c r="AN734" s="1207"/>
      <c r="AO734" s="1207"/>
      <c r="AP734" s="1207"/>
      <c r="AQ734" s="1207"/>
      <c r="AR734" s="1207"/>
      <c r="AS734" s="1207"/>
      <c r="AT734" s="1207"/>
      <c r="AU734" s="1207"/>
      <c r="AV734" s="1207"/>
      <c r="AW734" s="1207"/>
      <c r="AX734" s="1207"/>
      <c r="AY734" s="1207"/>
      <c r="AZ734" s="1207"/>
      <c r="BA734" s="1207"/>
      <c r="BB734" s="1207"/>
      <c r="BC734" s="1207"/>
      <c r="BD734" s="1207"/>
      <c r="BE734" s="1207"/>
      <c r="BF734" s="1207"/>
      <c r="BG734" s="1207"/>
      <c r="BH734" s="1207"/>
      <c r="BI734" s="1207"/>
      <c r="BJ734" s="1207"/>
      <c r="BK734" s="1207"/>
      <c r="BL734" s="1207"/>
      <c r="BM734" s="1207"/>
      <c r="BN734" s="1207"/>
      <c r="BO734" s="1207"/>
      <c r="BP734" s="1207"/>
      <c r="BQ734" s="1207"/>
      <c r="BR734" s="1207"/>
      <c r="BS734" s="1207"/>
      <c r="BT734" s="1207"/>
      <c r="BU734" s="1207"/>
      <c r="BV734" s="1207"/>
      <c r="BW734" s="1207"/>
      <c r="BX734" s="1207"/>
      <c r="BY734" s="1207"/>
      <c r="BZ734" s="1207"/>
      <c r="CA734" s="1207"/>
      <c r="CB734" s="1207"/>
      <c r="CC734" s="1207"/>
      <c r="CD734" s="1207"/>
      <c r="CE734" s="1207"/>
      <c r="CF734" s="1207"/>
    </row>
    <row r="735" spans="1:84" ht="105" x14ac:dyDescent="0.2">
      <c r="A735" s="1355">
        <v>2022744</v>
      </c>
      <c r="B735" s="1172">
        <v>7655</v>
      </c>
      <c r="C735" s="1356" t="s">
        <v>670</v>
      </c>
      <c r="D735" s="1190" t="s">
        <v>697</v>
      </c>
      <c r="E735" s="1174">
        <v>80111600</v>
      </c>
      <c r="F735" s="1389" t="s">
        <v>1359</v>
      </c>
      <c r="G735" s="1390">
        <v>44784</v>
      </c>
      <c r="H735" s="1390">
        <v>44794</v>
      </c>
      <c r="I735" s="1176">
        <v>4</v>
      </c>
      <c r="J735" s="1176" t="s">
        <v>675</v>
      </c>
      <c r="K735" s="1177" t="s">
        <v>676</v>
      </c>
      <c r="L735" s="1178" t="s">
        <v>677</v>
      </c>
      <c r="M735" s="1179">
        <v>12898333</v>
      </c>
      <c r="N735" s="1386" t="s">
        <v>785</v>
      </c>
      <c r="O735" s="1174" t="s">
        <v>780</v>
      </c>
      <c r="P735" s="1163" t="s">
        <v>759</v>
      </c>
      <c r="Q735" s="1207"/>
      <c r="R735" s="1269">
        <v>0</v>
      </c>
      <c r="S735" s="1357"/>
      <c r="T735" s="1357">
        <f>+Tabla16[[#This Row],[CDPS A 31 JULIO 2022]]-Tabla16[[#This Row],[CDP]]</f>
        <v>0</v>
      </c>
      <c r="U735" s="1357"/>
      <c r="V735" s="1357"/>
      <c r="W735" s="1357"/>
      <c r="X735" s="1207"/>
      <c r="Y735" s="1207"/>
      <c r="Z735" s="1207"/>
      <c r="AA735" s="1207"/>
      <c r="AB735" s="1207"/>
      <c r="AC735" s="1207"/>
      <c r="AD735" s="1207"/>
      <c r="AE735" s="1207"/>
      <c r="AF735" s="1207"/>
      <c r="AG735" s="1207"/>
      <c r="AH735" s="1207"/>
      <c r="AI735" s="1207"/>
      <c r="AJ735" s="1207"/>
      <c r="AK735" s="1207"/>
      <c r="AL735" s="1207"/>
      <c r="AM735" s="1207"/>
      <c r="AN735" s="1207"/>
      <c r="AO735" s="1207"/>
      <c r="AP735" s="1207"/>
      <c r="AQ735" s="1207"/>
      <c r="AR735" s="1207"/>
      <c r="AS735" s="1207"/>
      <c r="AT735" s="1207"/>
      <c r="AU735" s="1207"/>
      <c r="AV735" s="1207"/>
      <c r="AW735" s="1207"/>
      <c r="AX735" s="1207"/>
      <c r="AY735" s="1207"/>
      <c r="AZ735" s="1207"/>
      <c r="BA735" s="1207"/>
      <c r="BB735" s="1207"/>
      <c r="BC735" s="1207"/>
      <c r="BD735" s="1207"/>
      <c r="BE735" s="1207"/>
      <c r="BF735" s="1207"/>
      <c r="BG735" s="1207"/>
      <c r="BH735" s="1207"/>
      <c r="BI735" s="1207"/>
      <c r="BJ735" s="1207"/>
      <c r="BK735" s="1207"/>
      <c r="BL735" s="1207"/>
      <c r="BM735" s="1207"/>
      <c r="BN735" s="1207"/>
      <c r="BO735" s="1207"/>
      <c r="BP735" s="1207"/>
      <c r="BQ735" s="1207"/>
      <c r="BR735" s="1207"/>
      <c r="BS735" s="1207"/>
      <c r="BT735" s="1207"/>
      <c r="BU735" s="1207"/>
      <c r="BV735" s="1207"/>
      <c r="BW735" s="1207"/>
      <c r="BX735" s="1207"/>
      <c r="BY735" s="1207"/>
      <c r="BZ735" s="1207"/>
      <c r="CA735" s="1207"/>
      <c r="CB735" s="1207"/>
      <c r="CC735" s="1207"/>
      <c r="CD735" s="1207"/>
      <c r="CE735" s="1207"/>
      <c r="CF735" s="1207"/>
    </row>
    <row r="736" spans="1:84" ht="105" x14ac:dyDescent="0.2">
      <c r="A736" s="1355">
        <v>2022746</v>
      </c>
      <c r="B736" s="1172">
        <v>7655</v>
      </c>
      <c r="C736" s="1356" t="s">
        <v>670</v>
      </c>
      <c r="D736" s="1190" t="s">
        <v>697</v>
      </c>
      <c r="E736" s="1174">
        <v>80111600</v>
      </c>
      <c r="F736" s="1389" t="s">
        <v>865</v>
      </c>
      <c r="G736" s="1390">
        <v>44784</v>
      </c>
      <c r="H736" s="1390">
        <v>44791</v>
      </c>
      <c r="I736" s="1176">
        <v>3</v>
      </c>
      <c r="J736" s="1176" t="s">
        <v>675</v>
      </c>
      <c r="K736" s="1177" t="s">
        <v>676</v>
      </c>
      <c r="L736" s="1178" t="s">
        <v>677</v>
      </c>
      <c r="M736" s="1179">
        <f>29200000-11200000</f>
        <v>18000000</v>
      </c>
      <c r="N736" s="1386" t="s">
        <v>785</v>
      </c>
      <c r="O736" s="1174" t="s">
        <v>780</v>
      </c>
      <c r="P736" s="1163" t="s">
        <v>680</v>
      </c>
      <c r="Q736" s="1207"/>
      <c r="R736" s="1269">
        <v>0</v>
      </c>
      <c r="S736" s="1357"/>
      <c r="T736" s="1357">
        <f>+Tabla16[[#This Row],[CDPS A 31 JULIO 2022]]-Tabla16[[#This Row],[CDP]]</f>
        <v>0</v>
      </c>
      <c r="U736" s="1357"/>
      <c r="V736" s="1357"/>
      <c r="W736" s="1357"/>
      <c r="X736" s="1207"/>
      <c r="Y736" s="1207"/>
      <c r="Z736" s="1207"/>
      <c r="AA736" s="1207"/>
      <c r="AB736" s="1207"/>
      <c r="AC736" s="1207"/>
      <c r="AD736" s="1207"/>
      <c r="AE736" s="1207"/>
      <c r="AF736" s="1207"/>
      <c r="AG736" s="1207"/>
      <c r="AH736" s="1207"/>
      <c r="AI736" s="1207"/>
      <c r="AJ736" s="1207"/>
      <c r="AK736" s="1207"/>
      <c r="AL736" s="1207"/>
      <c r="AM736" s="1207"/>
      <c r="AN736" s="1207"/>
      <c r="AO736" s="1207"/>
      <c r="AP736" s="1207"/>
      <c r="AQ736" s="1207"/>
      <c r="AR736" s="1207"/>
      <c r="AS736" s="1207"/>
      <c r="AT736" s="1207"/>
      <c r="AU736" s="1207"/>
      <c r="AV736" s="1207"/>
      <c r="AW736" s="1207"/>
      <c r="AX736" s="1207"/>
      <c r="AY736" s="1207"/>
      <c r="AZ736" s="1207"/>
      <c r="BA736" s="1207"/>
      <c r="BB736" s="1207"/>
      <c r="BC736" s="1207"/>
      <c r="BD736" s="1207"/>
      <c r="BE736" s="1207"/>
      <c r="BF736" s="1207"/>
      <c r="BG736" s="1207"/>
      <c r="BH736" s="1207"/>
      <c r="BI736" s="1207"/>
      <c r="BJ736" s="1207"/>
      <c r="BK736" s="1207"/>
      <c r="BL736" s="1207"/>
      <c r="BM736" s="1207"/>
      <c r="BN736" s="1207"/>
      <c r="BO736" s="1207"/>
      <c r="BP736" s="1207"/>
      <c r="BQ736" s="1207"/>
      <c r="BR736" s="1207"/>
      <c r="BS736" s="1207"/>
      <c r="BT736" s="1207"/>
      <c r="BU736" s="1207"/>
      <c r="BV736" s="1207"/>
      <c r="BW736" s="1207"/>
      <c r="BX736" s="1207"/>
      <c r="BY736" s="1207"/>
      <c r="BZ736" s="1207"/>
      <c r="CA736" s="1207"/>
      <c r="CB736" s="1207"/>
      <c r="CC736" s="1207"/>
      <c r="CD736" s="1207"/>
      <c r="CE736" s="1207"/>
      <c r="CF736" s="1207"/>
    </row>
    <row r="737" spans="1:84" ht="105" x14ac:dyDescent="0.2">
      <c r="A737" s="1355">
        <v>2022747</v>
      </c>
      <c r="B737" s="1172">
        <v>7655</v>
      </c>
      <c r="C737" s="1356" t="s">
        <v>670</v>
      </c>
      <c r="D737" s="1190" t="s">
        <v>697</v>
      </c>
      <c r="E737" s="1174">
        <v>80111600</v>
      </c>
      <c r="F737" s="1389" t="s">
        <v>863</v>
      </c>
      <c r="G737" s="1390">
        <v>44784</v>
      </c>
      <c r="H737" s="1390">
        <v>44793</v>
      </c>
      <c r="I737" s="1176">
        <v>5</v>
      </c>
      <c r="J737" s="1176" t="s">
        <v>675</v>
      </c>
      <c r="K737" s="1177" t="s">
        <v>676</v>
      </c>
      <c r="L737" s="1178" t="s">
        <v>677</v>
      </c>
      <c r="M737" s="1179">
        <v>16560000</v>
      </c>
      <c r="N737" s="1386" t="s">
        <v>785</v>
      </c>
      <c r="O737" s="1174" t="s">
        <v>780</v>
      </c>
      <c r="P737" s="1163" t="s">
        <v>680</v>
      </c>
      <c r="Q737" s="1207"/>
      <c r="R737" s="1269">
        <v>0</v>
      </c>
      <c r="S737" s="1357"/>
      <c r="T737" s="1357">
        <f>+Tabla16[[#This Row],[CDPS A 31 JULIO 2022]]-Tabla16[[#This Row],[CDP]]</f>
        <v>0</v>
      </c>
      <c r="U737" s="1357"/>
      <c r="V737" s="1357"/>
      <c r="W737" s="1357"/>
      <c r="X737" s="1207"/>
      <c r="Y737" s="1207"/>
      <c r="Z737" s="1207"/>
      <c r="AA737" s="1207"/>
      <c r="AB737" s="1207"/>
      <c r="AC737" s="1207"/>
      <c r="AD737" s="1207"/>
      <c r="AE737" s="1207"/>
      <c r="AF737" s="1207"/>
      <c r="AG737" s="1207"/>
      <c r="AH737" s="1207"/>
      <c r="AI737" s="1207"/>
      <c r="AJ737" s="1207"/>
      <c r="AK737" s="1207"/>
      <c r="AL737" s="1207"/>
      <c r="AM737" s="1207"/>
      <c r="AN737" s="1207"/>
      <c r="AO737" s="1207"/>
      <c r="AP737" s="1207"/>
      <c r="AQ737" s="1207"/>
      <c r="AR737" s="1207"/>
      <c r="AS737" s="1207"/>
      <c r="AT737" s="1207"/>
      <c r="AU737" s="1207"/>
      <c r="AV737" s="1207"/>
      <c r="AW737" s="1207"/>
      <c r="AX737" s="1207"/>
      <c r="AY737" s="1207"/>
      <c r="AZ737" s="1207"/>
      <c r="BA737" s="1207"/>
      <c r="BB737" s="1207"/>
      <c r="BC737" s="1207"/>
      <c r="BD737" s="1207"/>
      <c r="BE737" s="1207"/>
      <c r="BF737" s="1207"/>
      <c r="BG737" s="1207"/>
      <c r="BH737" s="1207"/>
      <c r="BI737" s="1207"/>
      <c r="BJ737" s="1207"/>
      <c r="BK737" s="1207"/>
      <c r="BL737" s="1207"/>
      <c r="BM737" s="1207"/>
      <c r="BN737" s="1207"/>
      <c r="BO737" s="1207"/>
      <c r="BP737" s="1207"/>
      <c r="BQ737" s="1207"/>
      <c r="BR737" s="1207"/>
      <c r="BS737" s="1207"/>
      <c r="BT737" s="1207"/>
      <c r="BU737" s="1207"/>
      <c r="BV737" s="1207"/>
      <c r="BW737" s="1207"/>
      <c r="BX737" s="1207"/>
      <c r="BY737" s="1207"/>
      <c r="BZ737" s="1207"/>
      <c r="CA737" s="1207"/>
      <c r="CB737" s="1207"/>
      <c r="CC737" s="1207"/>
      <c r="CD737" s="1207"/>
      <c r="CE737" s="1207"/>
      <c r="CF737" s="1207"/>
    </row>
    <row r="738" spans="1:84" ht="105" x14ac:dyDescent="0.2">
      <c r="A738" s="1355">
        <v>2022748</v>
      </c>
      <c r="B738" s="1172">
        <v>7655</v>
      </c>
      <c r="C738" s="1356" t="s">
        <v>670</v>
      </c>
      <c r="D738" s="1190" t="s">
        <v>697</v>
      </c>
      <c r="E738" s="1174">
        <v>80111600</v>
      </c>
      <c r="F738" s="1174" t="s">
        <v>1360</v>
      </c>
      <c r="G738" s="1390">
        <v>44784</v>
      </c>
      <c r="H738" s="1390">
        <v>44794</v>
      </c>
      <c r="I738" s="1176">
        <v>4</v>
      </c>
      <c r="J738" s="1176" t="s">
        <v>675</v>
      </c>
      <c r="K738" s="1177" t="s">
        <v>676</v>
      </c>
      <c r="L738" s="1178" t="s">
        <v>677</v>
      </c>
      <c r="M738" s="1179">
        <v>18457500</v>
      </c>
      <c r="N738" s="1386" t="s">
        <v>785</v>
      </c>
      <c r="O738" s="1174" t="s">
        <v>780</v>
      </c>
      <c r="P738" s="1163" t="s">
        <v>759</v>
      </c>
      <c r="Q738" s="1207"/>
      <c r="R738" s="1269">
        <v>0</v>
      </c>
      <c r="S738" s="1357"/>
      <c r="T738" s="1357">
        <f>+Tabla16[[#This Row],[CDPS A 31 JULIO 2022]]-Tabla16[[#This Row],[CDP]]</f>
        <v>0</v>
      </c>
      <c r="U738" s="1357"/>
      <c r="V738" s="1357"/>
      <c r="W738" s="1357"/>
      <c r="X738" s="1207"/>
      <c r="Y738" s="1207"/>
      <c r="Z738" s="1207"/>
      <c r="AA738" s="1207"/>
      <c r="AB738" s="1207"/>
      <c r="AC738" s="1207"/>
      <c r="AD738" s="1207"/>
      <c r="AE738" s="1207"/>
      <c r="AF738" s="1207"/>
      <c r="AG738" s="1207"/>
      <c r="AH738" s="1207"/>
      <c r="AI738" s="1207"/>
      <c r="AJ738" s="1207"/>
      <c r="AK738" s="1207"/>
      <c r="AL738" s="1207"/>
      <c r="AM738" s="1207"/>
      <c r="AN738" s="1207"/>
      <c r="AO738" s="1207"/>
      <c r="AP738" s="1207"/>
      <c r="AQ738" s="1207"/>
      <c r="AR738" s="1207"/>
      <c r="AS738" s="1207"/>
      <c r="AT738" s="1207"/>
      <c r="AU738" s="1207"/>
      <c r="AV738" s="1207"/>
      <c r="AW738" s="1207"/>
      <c r="AX738" s="1207"/>
      <c r="AY738" s="1207"/>
      <c r="AZ738" s="1207"/>
      <c r="BA738" s="1207"/>
      <c r="BB738" s="1207"/>
      <c r="BC738" s="1207"/>
      <c r="BD738" s="1207"/>
      <c r="BE738" s="1207"/>
      <c r="BF738" s="1207"/>
      <c r="BG738" s="1207"/>
      <c r="BH738" s="1207"/>
      <c r="BI738" s="1207"/>
      <c r="BJ738" s="1207"/>
      <c r="BK738" s="1207"/>
      <c r="BL738" s="1207"/>
      <c r="BM738" s="1207"/>
      <c r="BN738" s="1207"/>
      <c r="BO738" s="1207"/>
      <c r="BP738" s="1207"/>
      <c r="BQ738" s="1207"/>
      <c r="BR738" s="1207"/>
      <c r="BS738" s="1207"/>
      <c r="BT738" s="1207"/>
      <c r="BU738" s="1207"/>
      <c r="BV738" s="1207"/>
      <c r="BW738" s="1207"/>
      <c r="BX738" s="1207"/>
      <c r="BY738" s="1207"/>
      <c r="BZ738" s="1207"/>
      <c r="CA738" s="1207"/>
      <c r="CB738" s="1207"/>
      <c r="CC738" s="1207"/>
      <c r="CD738" s="1207"/>
      <c r="CE738" s="1207"/>
      <c r="CF738" s="1207"/>
    </row>
    <row r="739" spans="1:84" ht="105" x14ac:dyDescent="0.2">
      <c r="A739" s="1355">
        <v>2022750</v>
      </c>
      <c r="B739" s="1172">
        <v>7655</v>
      </c>
      <c r="C739" s="1356" t="s">
        <v>670</v>
      </c>
      <c r="D739" s="1190" t="s">
        <v>697</v>
      </c>
      <c r="E739" s="1174">
        <v>80111600</v>
      </c>
      <c r="F739" s="1174" t="s">
        <v>1361</v>
      </c>
      <c r="G739" s="1390">
        <v>44784</v>
      </c>
      <c r="H739" s="1390">
        <v>44793</v>
      </c>
      <c r="I739" s="1176">
        <v>4</v>
      </c>
      <c r="J739" s="1176" t="s">
        <v>675</v>
      </c>
      <c r="K739" s="1177" t="s">
        <v>676</v>
      </c>
      <c r="L739" s="1178" t="s">
        <v>677</v>
      </c>
      <c r="M739" s="1179">
        <v>11385000</v>
      </c>
      <c r="N739" s="1386" t="s">
        <v>785</v>
      </c>
      <c r="O739" s="1174" t="s">
        <v>780</v>
      </c>
      <c r="P739" s="1163" t="s">
        <v>759</v>
      </c>
      <c r="Q739" s="1207"/>
      <c r="R739" s="1269">
        <v>0</v>
      </c>
      <c r="S739" s="1357"/>
      <c r="T739" s="1357">
        <f>+Tabla16[[#This Row],[CDPS A 31 JULIO 2022]]-Tabla16[[#This Row],[CDP]]</f>
        <v>0</v>
      </c>
      <c r="U739" s="1357"/>
      <c r="V739" s="1357"/>
      <c r="W739" s="1357"/>
      <c r="X739" s="1207"/>
      <c r="Y739" s="1207"/>
      <c r="Z739" s="1207"/>
      <c r="AA739" s="1207"/>
      <c r="AB739" s="1207"/>
      <c r="AC739" s="1207"/>
      <c r="AD739" s="1207"/>
      <c r="AE739" s="1207"/>
      <c r="AF739" s="1207"/>
      <c r="AG739" s="1207"/>
      <c r="AH739" s="1207"/>
      <c r="AI739" s="1207"/>
      <c r="AJ739" s="1207"/>
      <c r="AK739" s="1207"/>
      <c r="AL739" s="1207"/>
      <c r="AM739" s="1207"/>
      <c r="AN739" s="1207"/>
      <c r="AO739" s="1207"/>
      <c r="AP739" s="1207"/>
      <c r="AQ739" s="1207"/>
      <c r="AR739" s="1207"/>
      <c r="AS739" s="1207"/>
      <c r="AT739" s="1207"/>
      <c r="AU739" s="1207"/>
      <c r="AV739" s="1207"/>
      <c r="AW739" s="1207"/>
      <c r="AX739" s="1207"/>
      <c r="AY739" s="1207"/>
      <c r="AZ739" s="1207"/>
      <c r="BA739" s="1207"/>
      <c r="BB739" s="1207"/>
      <c r="BC739" s="1207"/>
      <c r="BD739" s="1207"/>
      <c r="BE739" s="1207"/>
      <c r="BF739" s="1207"/>
      <c r="BG739" s="1207"/>
      <c r="BH739" s="1207"/>
      <c r="BI739" s="1207"/>
      <c r="BJ739" s="1207"/>
      <c r="BK739" s="1207"/>
      <c r="BL739" s="1207"/>
      <c r="BM739" s="1207"/>
      <c r="BN739" s="1207"/>
      <c r="BO739" s="1207"/>
      <c r="BP739" s="1207"/>
      <c r="BQ739" s="1207"/>
      <c r="BR739" s="1207"/>
      <c r="BS739" s="1207"/>
      <c r="BT739" s="1207"/>
      <c r="BU739" s="1207"/>
      <c r="BV739" s="1207"/>
      <c r="BW739" s="1207"/>
      <c r="BX739" s="1207"/>
      <c r="BY739" s="1207"/>
      <c r="BZ739" s="1207"/>
      <c r="CA739" s="1207"/>
      <c r="CB739" s="1207"/>
      <c r="CC739" s="1207"/>
      <c r="CD739" s="1207"/>
      <c r="CE739" s="1207"/>
      <c r="CF739" s="1207"/>
    </row>
    <row r="740" spans="1:84" ht="105" x14ac:dyDescent="0.2">
      <c r="A740" s="1355">
        <v>2022751</v>
      </c>
      <c r="B740" s="1172">
        <v>7655</v>
      </c>
      <c r="C740" s="1356" t="s">
        <v>670</v>
      </c>
      <c r="D740" s="1190" t="s">
        <v>697</v>
      </c>
      <c r="E740" s="1174">
        <v>80111600</v>
      </c>
      <c r="F740" s="1174" t="s">
        <v>859</v>
      </c>
      <c r="G740" s="1390">
        <v>44792</v>
      </c>
      <c r="H740" s="1390">
        <v>44799</v>
      </c>
      <c r="I740" s="1176">
        <v>4</v>
      </c>
      <c r="J740" s="1176" t="s">
        <v>675</v>
      </c>
      <c r="K740" s="1177" t="s">
        <v>676</v>
      </c>
      <c r="L740" s="1178" t="s">
        <v>677</v>
      </c>
      <c r="M740" s="1179">
        <f>20400000-5100000-5100000</f>
        <v>10200000</v>
      </c>
      <c r="N740" s="1386" t="s">
        <v>785</v>
      </c>
      <c r="O740" s="1174" t="s">
        <v>780</v>
      </c>
      <c r="P740" s="1163" t="s">
        <v>680</v>
      </c>
      <c r="Q740" s="1207"/>
      <c r="R740" s="1269">
        <v>0</v>
      </c>
      <c r="S740" s="1357"/>
      <c r="T740" s="1357">
        <f>+Tabla16[[#This Row],[CDPS A 31 JULIO 2022]]-Tabla16[[#This Row],[CDP]]</f>
        <v>0</v>
      </c>
      <c r="U740" s="1357"/>
      <c r="V740" s="1357"/>
      <c r="W740" s="1357"/>
      <c r="X740" s="1207"/>
      <c r="Y740" s="1207"/>
      <c r="Z740" s="1207"/>
      <c r="AA740" s="1207"/>
      <c r="AB740" s="1207"/>
      <c r="AC740" s="1207"/>
      <c r="AD740" s="1207"/>
      <c r="AE740" s="1207"/>
      <c r="AF740" s="1207"/>
      <c r="AG740" s="1207"/>
      <c r="AH740" s="1207"/>
      <c r="AI740" s="1207"/>
      <c r="AJ740" s="1207"/>
      <c r="AK740" s="1207"/>
      <c r="AL740" s="1207"/>
      <c r="AM740" s="1207"/>
      <c r="AN740" s="1207"/>
      <c r="AO740" s="1207"/>
      <c r="AP740" s="1207"/>
      <c r="AQ740" s="1207"/>
      <c r="AR740" s="1207"/>
      <c r="AS740" s="1207"/>
      <c r="AT740" s="1207"/>
      <c r="AU740" s="1207"/>
      <c r="AV740" s="1207"/>
      <c r="AW740" s="1207"/>
      <c r="AX740" s="1207"/>
      <c r="AY740" s="1207"/>
      <c r="AZ740" s="1207"/>
      <c r="BA740" s="1207"/>
      <c r="BB740" s="1207"/>
      <c r="BC740" s="1207"/>
      <c r="BD740" s="1207"/>
      <c r="BE740" s="1207"/>
      <c r="BF740" s="1207"/>
      <c r="BG740" s="1207"/>
      <c r="BH740" s="1207"/>
      <c r="BI740" s="1207"/>
      <c r="BJ740" s="1207"/>
      <c r="BK740" s="1207"/>
      <c r="BL740" s="1207"/>
      <c r="BM740" s="1207"/>
      <c r="BN740" s="1207"/>
      <c r="BO740" s="1207"/>
      <c r="BP740" s="1207"/>
      <c r="BQ740" s="1207"/>
      <c r="BR740" s="1207"/>
      <c r="BS740" s="1207"/>
      <c r="BT740" s="1207"/>
      <c r="BU740" s="1207"/>
      <c r="BV740" s="1207"/>
      <c r="BW740" s="1207"/>
      <c r="BX740" s="1207"/>
      <c r="BY740" s="1207"/>
      <c r="BZ740" s="1207"/>
      <c r="CA740" s="1207"/>
      <c r="CB740" s="1207"/>
      <c r="CC740" s="1207"/>
      <c r="CD740" s="1207"/>
      <c r="CE740" s="1207"/>
      <c r="CF740" s="1207"/>
    </row>
    <row r="741" spans="1:84" ht="105" x14ac:dyDescent="0.2">
      <c r="A741" s="1355">
        <v>2022752</v>
      </c>
      <c r="B741" s="1172">
        <v>7655</v>
      </c>
      <c r="C741" s="1356" t="s">
        <v>670</v>
      </c>
      <c r="D741" s="1190" t="s">
        <v>697</v>
      </c>
      <c r="E741" s="1174">
        <v>80111600</v>
      </c>
      <c r="F741" s="1174" t="s">
        <v>873</v>
      </c>
      <c r="G741" s="1390">
        <v>44796</v>
      </c>
      <c r="H741" s="1390">
        <v>44804</v>
      </c>
      <c r="I741" s="1176">
        <v>3</v>
      </c>
      <c r="J741" s="1176" t="s">
        <v>675</v>
      </c>
      <c r="K741" s="1177" t="s">
        <v>676</v>
      </c>
      <c r="L741" s="1178" t="s">
        <v>677</v>
      </c>
      <c r="M741" s="1179">
        <f>18112500-2587500</f>
        <v>15525000</v>
      </c>
      <c r="N741" s="1386" t="s">
        <v>785</v>
      </c>
      <c r="O741" s="1174" t="s">
        <v>780</v>
      </c>
      <c r="P741" s="1163" t="s">
        <v>680</v>
      </c>
      <c r="Q741" s="1207"/>
      <c r="R741" s="1269">
        <v>0</v>
      </c>
      <c r="S741" s="1357"/>
      <c r="T741" s="1357">
        <f>+Tabla16[[#This Row],[CDPS A 31 JULIO 2022]]-Tabla16[[#This Row],[CDP]]</f>
        <v>0</v>
      </c>
      <c r="U741" s="1357"/>
      <c r="V741" s="1357"/>
      <c r="W741" s="1357"/>
      <c r="X741" s="1207"/>
      <c r="Y741" s="1207"/>
      <c r="Z741" s="1207"/>
      <c r="AA741" s="1207"/>
      <c r="AB741" s="1207"/>
      <c r="AC741" s="1207"/>
      <c r="AD741" s="1207"/>
      <c r="AE741" s="1207"/>
      <c r="AF741" s="1207"/>
      <c r="AG741" s="1207"/>
      <c r="AH741" s="1207"/>
      <c r="AI741" s="1207"/>
      <c r="AJ741" s="1207"/>
      <c r="AK741" s="1207"/>
      <c r="AL741" s="1207"/>
      <c r="AM741" s="1207"/>
      <c r="AN741" s="1207"/>
      <c r="AO741" s="1207"/>
      <c r="AP741" s="1207"/>
      <c r="AQ741" s="1207"/>
      <c r="AR741" s="1207"/>
      <c r="AS741" s="1207"/>
      <c r="AT741" s="1207"/>
      <c r="AU741" s="1207"/>
      <c r="AV741" s="1207"/>
      <c r="AW741" s="1207"/>
      <c r="AX741" s="1207"/>
      <c r="AY741" s="1207"/>
      <c r="AZ741" s="1207"/>
      <c r="BA741" s="1207"/>
      <c r="BB741" s="1207"/>
      <c r="BC741" s="1207"/>
      <c r="BD741" s="1207"/>
      <c r="BE741" s="1207"/>
      <c r="BF741" s="1207"/>
      <c r="BG741" s="1207"/>
      <c r="BH741" s="1207"/>
      <c r="BI741" s="1207"/>
      <c r="BJ741" s="1207"/>
      <c r="BK741" s="1207"/>
      <c r="BL741" s="1207"/>
      <c r="BM741" s="1207"/>
      <c r="BN741" s="1207"/>
      <c r="BO741" s="1207"/>
      <c r="BP741" s="1207"/>
      <c r="BQ741" s="1207"/>
      <c r="BR741" s="1207"/>
      <c r="BS741" s="1207"/>
      <c r="BT741" s="1207"/>
      <c r="BU741" s="1207"/>
      <c r="BV741" s="1207"/>
      <c r="BW741" s="1207"/>
      <c r="BX741" s="1207"/>
      <c r="BY741" s="1207"/>
      <c r="BZ741" s="1207"/>
      <c r="CA741" s="1207"/>
      <c r="CB741" s="1207"/>
      <c r="CC741" s="1207"/>
      <c r="CD741" s="1207"/>
      <c r="CE741" s="1207"/>
      <c r="CF741" s="1207"/>
    </row>
    <row r="742" spans="1:84" ht="105" x14ac:dyDescent="0.2">
      <c r="A742" s="1355">
        <v>2022753</v>
      </c>
      <c r="B742" s="1172">
        <v>7655</v>
      </c>
      <c r="C742" s="1356" t="s">
        <v>670</v>
      </c>
      <c r="D742" s="1190" t="s">
        <v>697</v>
      </c>
      <c r="E742" s="1174">
        <v>80111600</v>
      </c>
      <c r="F742" s="1174" t="s">
        <v>866</v>
      </c>
      <c r="G742" s="1390">
        <v>44796</v>
      </c>
      <c r="H742" s="1390">
        <v>44804</v>
      </c>
      <c r="I742" s="1176">
        <v>4.5</v>
      </c>
      <c r="J742" s="1176" t="s">
        <v>675</v>
      </c>
      <c r="K742" s="1177" t="s">
        <v>676</v>
      </c>
      <c r="L742" s="1178" t="s">
        <v>677</v>
      </c>
      <c r="M742" s="1179">
        <f>17325000-17325000</f>
        <v>0</v>
      </c>
      <c r="N742" s="1386" t="s">
        <v>785</v>
      </c>
      <c r="O742" s="1174" t="s">
        <v>780</v>
      </c>
      <c r="P742" s="1163" t="s">
        <v>680</v>
      </c>
      <c r="Q742" s="1207"/>
      <c r="R742" s="1269">
        <v>0</v>
      </c>
      <c r="S742" s="1357"/>
      <c r="T742" s="1357">
        <f>+Tabla16[[#This Row],[CDPS A 31 JULIO 2022]]-Tabla16[[#This Row],[CDP]]</f>
        <v>0</v>
      </c>
      <c r="U742" s="1357"/>
      <c r="V742" s="1357"/>
      <c r="W742" s="1357"/>
      <c r="X742" s="1207"/>
      <c r="Y742" s="1207"/>
      <c r="Z742" s="1207"/>
      <c r="AA742" s="1207"/>
      <c r="AB742" s="1207"/>
      <c r="AC742" s="1207"/>
      <c r="AD742" s="1207"/>
      <c r="AE742" s="1207"/>
      <c r="AF742" s="1207"/>
      <c r="AG742" s="1207"/>
      <c r="AH742" s="1207"/>
      <c r="AI742" s="1207"/>
      <c r="AJ742" s="1207"/>
      <c r="AK742" s="1207"/>
      <c r="AL742" s="1207"/>
      <c r="AM742" s="1207"/>
      <c r="AN742" s="1207"/>
      <c r="AO742" s="1207"/>
      <c r="AP742" s="1207"/>
      <c r="AQ742" s="1207"/>
      <c r="AR742" s="1207"/>
      <c r="AS742" s="1207"/>
      <c r="AT742" s="1207"/>
      <c r="AU742" s="1207"/>
      <c r="AV742" s="1207"/>
      <c r="AW742" s="1207"/>
      <c r="AX742" s="1207"/>
      <c r="AY742" s="1207"/>
      <c r="AZ742" s="1207"/>
      <c r="BA742" s="1207"/>
      <c r="BB742" s="1207"/>
      <c r="BC742" s="1207"/>
      <c r="BD742" s="1207"/>
      <c r="BE742" s="1207"/>
      <c r="BF742" s="1207"/>
      <c r="BG742" s="1207"/>
      <c r="BH742" s="1207"/>
      <c r="BI742" s="1207"/>
      <c r="BJ742" s="1207"/>
      <c r="BK742" s="1207"/>
      <c r="BL742" s="1207"/>
      <c r="BM742" s="1207"/>
      <c r="BN742" s="1207"/>
      <c r="BO742" s="1207"/>
      <c r="BP742" s="1207"/>
      <c r="BQ742" s="1207"/>
      <c r="BR742" s="1207"/>
      <c r="BS742" s="1207"/>
      <c r="BT742" s="1207"/>
      <c r="BU742" s="1207"/>
      <c r="BV742" s="1207"/>
      <c r="BW742" s="1207"/>
      <c r="BX742" s="1207"/>
      <c r="BY742" s="1207"/>
      <c r="BZ742" s="1207"/>
      <c r="CA742" s="1207"/>
      <c r="CB742" s="1207"/>
      <c r="CC742" s="1207"/>
      <c r="CD742" s="1207"/>
      <c r="CE742" s="1207"/>
      <c r="CF742" s="1207"/>
    </row>
    <row r="743" spans="1:84" ht="105" x14ac:dyDescent="0.2">
      <c r="A743" s="1355">
        <v>2022754</v>
      </c>
      <c r="B743" s="1172">
        <v>7658</v>
      </c>
      <c r="C743" s="1356" t="s">
        <v>681</v>
      </c>
      <c r="D743" s="1190" t="s">
        <v>694</v>
      </c>
      <c r="E743" s="1174" t="s">
        <v>1134</v>
      </c>
      <c r="F743" s="1189" t="s">
        <v>1362</v>
      </c>
      <c r="G743" s="1390">
        <v>44805</v>
      </c>
      <c r="H743" s="1390">
        <v>44849</v>
      </c>
      <c r="I743" s="1176">
        <v>2</v>
      </c>
      <c r="J743" s="1176" t="s">
        <v>647</v>
      </c>
      <c r="K743" s="1177" t="s">
        <v>772</v>
      </c>
      <c r="L743" s="1178" t="s">
        <v>983</v>
      </c>
      <c r="M743" s="1179">
        <f>450000000+400000000-241130733-30000000</f>
        <v>578869267</v>
      </c>
      <c r="N743" s="1386" t="s">
        <v>770</v>
      </c>
      <c r="O743" s="1174" t="s">
        <v>769</v>
      </c>
      <c r="P743" s="1163" t="s">
        <v>680</v>
      </c>
      <c r="Q743" s="1207"/>
      <c r="R743" s="1269">
        <v>0</v>
      </c>
      <c r="S743" s="1357"/>
      <c r="T743" s="1357">
        <f>+Tabla16[[#This Row],[CDPS A 31 JULIO 2022]]-Tabla16[[#This Row],[CDP]]</f>
        <v>0</v>
      </c>
      <c r="U743" s="1357"/>
      <c r="V743" s="1357"/>
      <c r="W743" s="1357"/>
      <c r="X743" s="1207"/>
      <c r="Y743" s="1207"/>
      <c r="Z743" s="1207"/>
      <c r="AA743" s="1207"/>
      <c r="AB743" s="1207"/>
      <c r="AC743" s="1207"/>
      <c r="AD743" s="1207"/>
      <c r="AE743" s="1207"/>
      <c r="AF743" s="1207"/>
      <c r="AG743" s="1207"/>
      <c r="AH743" s="1207"/>
      <c r="AI743" s="1207"/>
      <c r="AJ743" s="1207"/>
      <c r="AK743" s="1207"/>
      <c r="AL743" s="1207"/>
      <c r="AM743" s="1207"/>
      <c r="AN743" s="1207"/>
      <c r="AO743" s="1207"/>
      <c r="AP743" s="1207"/>
      <c r="AQ743" s="1207"/>
      <c r="AR743" s="1207"/>
      <c r="AS743" s="1207"/>
      <c r="AT743" s="1207"/>
      <c r="AU743" s="1207"/>
      <c r="AV743" s="1207"/>
      <c r="AW743" s="1207"/>
      <c r="AX743" s="1207"/>
      <c r="AY743" s="1207"/>
      <c r="AZ743" s="1207"/>
      <c r="BA743" s="1207"/>
      <c r="BB743" s="1207"/>
      <c r="BC743" s="1207"/>
      <c r="BD743" s="1207"/>
      <c r="BE743" s="1207"/>
      <c r="BF743" s="1207"/>
      <c r="BG743" s="1207"/>
      <c r="BH743" s="1207"/>
      <c r="BI743" s="1207"/>
      <c r="BJ743" s="1207"/>
      <c r="BK743" s="1207"/>
      <c r="BL743" s="1207"/>
      <c r="BM743" s="1207"/>
      <c r="BN743" s="1207"/>
      <c r="BO743" s="1207"/>
      <c r="BP743" s="1207"/>
      <c r="BQ743" s="1207"/>
      <c r="BR743" s="1207"/>
      <c r="BS743" s="1207"/>
      <c r="BT743" s="1207"/>
      <c r="BU743" s="1207"/>
      <c r="BV743" s="1207"/>
      <c r="BW743" s="1207"/>
      <c r="BX743" s="1207"/>
      <c r="BY743" s="1207"/>
      <c r="BZ743" s="1207"/>
      <c r="CA743" s="1207"/>
      <c r="CB743" s="1207"/>
      <c r="CC743" s="1207"/>
      <c r="CD743" s="1207"/>
      <c r="CE743" s="1207"/>
      <c r="CF743" s="1207"/>
    </row>
    <row r="744" spans="1:84" ht="105" x14ac:dyDescent="0.2">
      <c r="A744" s="1355">
        <v>2022755</v>
      </c>
      <c r="B744" s="1172">
        <v>7658</v>
      </c>
      <c r="C744" s="1356" t="s">
        <v>681</v>
      </c>
      <c r="D744" s="1190" t="s">
        <v>694</v>
      </c>
      <c r="E744" s="1174" t="s">
        <v>1363</v>
      </c>
      <c r="F744" s="1189" t="s">
        <v>1364</v>
      </c>
      <c r="G744" s="1390">
        <v>44805</v>
      </c>
      <c r="H744" s="1390">
        <v>44849</v>
      </c>
      <c r="I744" s="1176">
        <v>2</v>
      </c>
      <c r="J744" s="1176" t="s">
        <v>689</v>
      </c>
      <c r="K744" s="1177" t="s">
        <v>676</v>
      </c>
      <c r="L744" s="1178" t="s">
        <v>677</v>
      </c>
      <c r="M744" s="1179">
        <f>285000000+30000000+10000000+20000000+21300000-19200000-4050000-20000000</f>
        <v>323050000</v>
      </c>
      <c r="N744" s="1386" t="s">
        <v>770</v>
      </c>
      <c r="O744" s="1174" t="s">
        <v>769</v>
      </c>
      <c r="P744" s="1163" t="s">
        <v>680</v>
      </c>
      <c r="Q744" s="1207"/>
      <c r="R744" s="1269">
        <v>0</v>
      </c>
      <c r="S744" s="1357"/>
      <c r="T744" s="1357">
        <f>+Tabla16[[#This Row],[CDPS A 31 JULIO 2022]]-Tabla16[[#This Row],[CDP]]</f>
        <v>0</v>
      </c>
      <c r="U744" s="1357"/>
      <c r="V744" s="1357"/>
      <c r="W744" s="1357"/>
      <c r="X744" s="1207"/>
      <c r="Y744" s="1207"/>
      <c r="Z744" s="1207"/>
      <c r="AA744" s="1207"/>
      <c r="AB744" s="1207"/>
      <c r="AC744" s="1207"/>
      <c r="AD744" s="1207"/>
      <c r="AE744" s="1207"/>
      <c r="AF744" s="1207"/>
      <c r="AG744" s="1207"/>
      <c r="AH744" s="1207"/>
      <c r="AI744" s="1207"/>
      <c r="AJ744" s="1207"/>
      <c r="AK744" s="1207"/>
      <c r="AL744" s="1207"/>
      <c r="AM744" s="1207"/>
      <c r="AN744" s="1207"/>
      <c r="AO744" s="1207"/>
      <c r="AP744" s="1207"/>
      <c r="AQ744" s="1207"/>
      <c r="AR744" s="1207"/>
      <c r="AS744" s="1207"/>
      <c r="AT744" s="1207"/>
      <c r="AU744" s="1207"/>
      <c r="AV744" s="1207"/>
      <c r="AW744" s="1207"/>
      <c r="AX744" s="1207"/>
      <c r="AY744" s="1207"/>
      <c r="AZ744" s="1207"/>
      <c r="BA744" s="1207"/>
      <c r="BB744" s="1207"/>
      <c r="BC744" s="1207"/>
      <c r="BD744" s="1207"/>
      <c r="BE744" s="1207"/>
      <c r="BF744" s="1207"/>
      <c r="BG744" s="1207"/>
      <c r="BH744" s="1207"/>
      <c r="BI744" s="1207"/>
      <c r="BJ744" s="1207"/>
      <c r="BK744" s="1207"/>
      <c r="BL744" s="1207"/>
      <c r="BM744" s="1207"/>
      <c r="BN744" s="1207"/>
      <c r="BO744" s="1207"/>
      <c r="BP744" s="1207"/>
      <c r="BQ744" s="1207"/>
      <c r="BR744" s="1207"/>
      <c r="BS744" s="1207"/>
      <c r="BT744" s="1207"/>
      <c r="BU744" s="1207"/>
      <c r="BV744" s="1207"/>
      <c r="BW744" s="1207"/>
      <c r="BX744" s="1207"/>
      <c r="BY744" s="1207"/>
      <c r="BZ744" s="1207"/>
      <c r="CA744" s="1207"/>
      <c r="CB744" s="1207"/>
      <c r="CC744" s="1207"/>
      <c r="CD744" s="1207"/>
      <c r="CE744" s="1207"/>
      <c r="CF744" s="1207"/>
    </row>
    <row r="745" spans="1:84" ht="105" x14ac:dyDescent="0.2">
      <c r="A745" s="1355">
        <v>2022756</v>
      </c>
      <c r="B745" s="1172">
        <v>7658</v>
      </c>
      <c r="C745" s="1356" t="s">
        <v>681</v>
      </c>
      <c r="D745" s="1190" t="s">
        <v>694</v>
      </c>
      <c r="E745" s="1174">
        <v>10111306</v>
      </c>
      <c r="F745" s="1189" t="s">
        <v>1365</v>
      </c>
      <c r="G745" s="1390">
        <v>44805</v>
      </c>
      <c r="H745" s="1390">
        <v>44849</v>
      </c>
      <c r="I745" s="1176">
        <v>2</v>
      </c>
      <c r="J745" s="1176" t="s">
        <v>701</v>
      </c>
      <c r="K745" s="1177" t="s">
        <v>676</v>
      </c>
      <c r="L745" s="1178" t="s">
        <v>677</v>
      </c>
      <c r="M745" s="1179">
        <f>8700000+12600000+3700000</f>
        <v>25000000</v>
      </c>
      <c r="N745" s="1386" t="s">
        <v>770</v>
      </c>
      <c r="O745" s="1174" t="s">
        <v>769</v>
      </c>
      <c r="P745" s="1163" t="s">
        <v>680</v>
      </c>
      <c r="Q745" s="1207"/>
      <c r="R745" s="1269">
        <v>0</v>
      </c>
      <c r="S745" s="1357"/>
      <c r="T745" s="1357">
        <f>+Tabla16[[#This Row],[CDPS A 31 JULIO 2022]]-Tabla16[[#This Row],[CDP]]</f>
        <v>0</v>
      </c>
      <c r="U745" s="1357"/>
      <c r="V745" s="1357"/>
      <c r="W745" s="1357"/>
      <c r="X745" s="1207"/>
      <c r="Y745" s="1207"/>
      <c r="Z745" s="1207"/>
      <c r="AA745" s="1207"/>
      <c r="AB745" s="1207"/>
      <c r="AC745" s="1207"/>
      <c r="AD745" s="1207"/>
      <c r="AE745" s="1207"/>
      <c r="AF745" s="1207"/>
      <c r="AG745" s="1207"/>
      <c r="AH745" s="1207"/>
      <c r="AI745" s="1207"/>
      <c r="AJ745" s="1207"/>
      <c r="AK745" s="1207"/>
      <c r="AL745" s="1207"/>
      <c r="AM745" s="1207"/>
      <c r="AN745" s="1207"/>
      <c r="AO745" s="1207"/>
      <c r="AP745" s="1207"/>
      <c r="AQ745" s="1207"/>
      <c r="AR745" s="1207"/>
      <c r="AS745" s="1207"/>
      <c r="AT745" s="1207"/>
      <c r="AU745" s="1207"/>
      <c r="AV745" s="1207"/>
      <c r="AW745" s="1207"/>
      <c r="AX745" s="1207"/>
      <c r="AY745" s="1207"/>
      <c r="AZ745" s="1207"/>
      <c r="BA745" s="1207"/>
      <c r="BB745" s="1207"/>
      <c r="BC745" s="1207"/>
      <c r="BD745" s="1207"/>
      <c r="BE745" s="1207"/>
      <c r="BF745" s="1207"/>
      <c r="BG745" s="1207"/>
      <c r="BH745" s="1207"/>
      <c r="BI745" s="1207"/>
      <c r="BJ745" s="1207"/>
      <c r="BK745" s="1207"/>
      <c r="BL745" s="1207"/>
      <c r="BM745" s="1207"/>
      <c r="BN745" s="1207"/>
      <c r="BO745" s="1207"/>
      <c r="BP745" s="1207"/>
      <c r="BQ745" s="1207"/>
      <c r="BR745" s="1207"/>
      <c r="BS745" s="1207"/>
      <c r="BT745" s="1207"/>
      <c r="BU745" s="1207"/>
      <c r="BV745" s="1207"/>
      <c r="BW745" s="1207"/>
      <c r="BX745" s="1207"/>
      <c r="BY745" s="1207"/>
      <c r="BZ745" s="1207"/>
      <c r="CA745" s="1207"/>
      <c r="CB745" s="1207"/>
      <c r="CC745" s="1207"/>
      <c r="CD745" s="1207"/>
      <c r="CE745" s="1207"/>
      <c r="CF745" s="1207"/>
    </row>
    <row r="746" spans="1:84" ht="135" x14ac:dyDescent="0.2">
      <c r="A746" s="1355">
        <v>2022757</v>
      </c>
      <c r="B746" s="1172">
        <v>7658</v>
      </c>
      <c r="C746" s="1356" t="s">
        <v>681</v>
      </c>
      <c r="D746" s="1190" t="s">
        <v>694</v>
      </c>
      <c r="E746" s="1174" t="s">
        <v>1366</v>
      </c>
      <c r="F746" s="1189" t="s">
        <v>1367</v>
      </c>
      <c r="G746" s="1390">
        <v>44805</v>
      </c>
      <c r="H746" s="1390">
        <v>44849</v>
      </c>
      <c r="I746" s="1176">
        <v>2</v>
      </c>
      <c r="J746" s="1176" t="s">
        <v>701</v>
      </c>
      <c r="K746" s="1177" t="s">
        <v>676</v>
      </c>
      <c r="L746" s="1178" t="s">
        <v>677</v>
      </c>
      <c r="M746" s="1179">
        <f>5300000+20000000+5942022</f>
        <v>31242022</v>
      </c>
      <c r="N746" s="1386" t="s">
        <v>770</v>
      </c>
      <c r="O746" s="1174" t="s">
        <v>769</v>
      </c>
      <c r="P746" s="1163" t="s">
        <v>680</v>
      </c>
      <c r="Q746" s="1207"/>
      <c r="R746" s="1269">
        <v>0</v>
      </c>
      <c r="S746" s="1357"/>
      <c r="T746" s="1357">
        <f>+Tabla16[[#This Row],[CDPS A 31 JULIO 2022]]-Tabla16[[#This Row],[CDP]]</f>
        <v>0</v>
      </c>
      <c r="U746" s="1357"/>
      <c r="V746" s="1357"/>
      <c r="W746" s="1357"/>
      <c r="X746" s="1207"/>
      <c r="Y746" s="1207"/>
      <c r="Z746" s="1207"/>
      <c r="AA746" s="1207"/>
      <c r="AB746" s="1207"/>
      <c r="AC746" s="1207"/>
      <c r="AD746" s="1207"/>
      <c r="AE746" s="1207"/>
      <c r="AF746" s="1207"/>
      <c r="AG746" s="1207"/>
      <c r="AH746" s="1207"/>
      <c r="AI746" s="1207"/>
      <c r="AJ746" s="1207"/>
      <c r="AK746" s="1207"/>
      <c r="AL746" s="1207"/>
      <c r="AM746" s="1207"/>
      <c r="AN746" s="1207"/>
      <c r="AO746" s="1207"/>
      <c r="AP746" s="1207"/>
      <c r="AQ746" s="1207"/>
      <c r="AR746" s="1207"/>
      <c r="AS746" s="1207"/>
      <c r="AT746" s="1207"/>
      <c r="AU746" s="1207"/>
      <c r="AV746" s="1207"/>
      <c r="AW746" s="1207"/>
      <c r="AX746" s="1207"/>
      <c r="AY746" s="1207"/>
      <c r="AZ746" s="1207"/>
      <c r="BA746" s="1207"/>
      <c r="BB746" s="1207"/>
      <c r="BC746" s="1207"/>
      <c r="BD746" s="1207"/>
      <c r="BE746" s="1207"/>
      <c r="BF746" s="1207"/>
      <c r="BG746" s="1207"/>
      <c r="BH746" s="1207"/>
      <c r="BI746" s="1207"/>
      <c r="BJ746" s="1207"/>
      <c r="BK746" s="1207"/>
      <c r="BL746" s="1207"/>
      <c r="BM746" s="1207"/>
      <c r="BN746" s="1207"/>
      <c r="BO746" s="1207"/>
      <c r="BP746" s="1207"/>
      <c r="BQ746" s="1207"/>
      <c r="BR746" s="1207"/>
      <c r="BS746" s="1207"/>
      <c r="BT746" s="1207"/>
      <c r="BU746" s="1207"/>
      <c r="BV746" s="1207"/>
      <c r="BW746" s="1207"/>
      <c r="BX746" s="1207"/>
      <c r="BY746" s="1207"/>
      <c r="BZ746" s="1207"/>
      <c r="CA746" s="1207"/>
      <c r="CB746" s="1207"/>
      <c r="CC746" s="1207"/>
      <c r="CD746" s="1207"/>
      <c r="CE746" s="1207"/>
      <c r="CF746" s="1207"/>
    </row>
    <row r="747" spans="1:84" ht="105" x14ac:dyDescent="0.2">
      <c r="A747" s="1355">
        <v>2022758</v>
      </c>
      <c r="B747" s="1172">
        <v>7658</v>
      </c>
      <c r="C747" s="1356" t="s">
        <v>681</v>
      </c>
      <c r="D747" s="1190" t="s">
        <v>694</v>
      </c>
      <c r="E747" s="1174" t="s">
        <v>1368</v>
      </c>
      <c r="F747" s="1189" t="s">
        <v>1369</v>
      </c>
      <c r="G747" s="1390">
        <v>44805</v>
      </c>
      <c r="H747" s="1390">
        <v>44849</v>
      </c>
      <c r="I747" s="1176">
        <v>2</v>
      </c>
      <c r="J747" s="1176" t="s">
        <v>701</v>
      </c>
      <c r="K747" s="1177" t="s">
        <v>676</v>
      </c>
      <c r="L747" s="1178" t="s">
        <v>677</v>
      </c>
      <c r="M747" s="1179">
        <f>5000000+12000000+3700000</f>
        <v>20700000</v>
      </c>
      <c r="N747" s="1386" t="s">
        <v>770</v>
      </c>
      <c r="O747" s="1174" t="s">
        <v>769</v>
      </c>
      <c r="P747" s="1163" t="s">
        <v>680</v>
      </c>
      <c r="Q747" s="1207"/>
      <c r="R747" s="1269">
        <v>0</v>
      </c>
      <c r="S747" s="1357"/>
      <c r="T747" s="1357">
        <f>+Tabla16[[#This Row],[CDPS A 31 JULIO 2022]]-Tabla16[[#This Row],[CDP]]</f>
        <v>0</v>
      </c>
      <c r="U747" s="1357"/>
      <c r="V747" s="1357"/>
      <c r="W747" s="1357"/>
      <c r="X747" s="1207"/>
      <c r="Y747" s="1207"/>
      <c r="Z747" s="1207"/>
      <c r="AA747" s="1207"/>
      <c r="AB747" s="1207"/>
      <c r="AC747" s="1207"/>
      <c r="AD747" s="1207"/>
      <c r="AE747" s="1207"/>
      <c r="AF747" s="1207"/>
      <c r="AG747" s="1207"/>
      <c r="AH747" s="1207"/>
      <c r="AI747" s="1207"/>
      <c r="AJ747" s="1207"/>
      <c r="AK747" s="1207"/>
      <c r="AL747" s="1207"/>
      <c r="AM747" s="1207"/>
      <c r="AN747" s="1207"/>
      <c r="AO747" s="1207"/>
      <c r="AP747" s="1207"/>
      <c r="AQ747" s="1207"/>
      <c r="AR747" s="1207"/>
      <c r="AS747" s="1207"/>
      <c r="AT747" s="1207"/>
      <c r="AU747" s="1207"/>
      <c r="AV747" s="1207"/>
      <c r="AW747" s="1207"/>
      <c r="AX747" s="1207"/>
      <c r="AY747" s="1207"/>
      <c r="AZ747" s="1207"/>
      <c r="BA747" s="1207"/>
      <c r="BB747" s="1207"/>
      <c r="BC747" s="1207"/>
      <c r="BD747" s="1207"/>
      <c r="BE747" s="1207"/>
      <c r="BF747" s="1207"/>
      <c r="BG747" s="1207"/>
      <c r="BH747" s="1207"/>
      <c r="BI747" s="1207"/>
      <c r="BJ747" s="1207"/>
      <c r="BK747" s="1207"/>
      <c r="BL747" s="1207"/>
      <c r="BM747" s="1207"/>
      <c r="BN747" s="1207"/>
      <c r="BO747" s="1207"/>
      <c r="BP747" s="1207"/>
      <c r="BQ747" s="1207"/>
      <c r="BR747" s="1207"/>
      <c r="BS747" s="1207"/>
      <c r="BT747" s="1207"/>
      <c r="BU747" s="1207"/>
      <c r="BV747" s="1207"/>
      <c r="BW747" s="1207"/>
      <c r="BX747" s="1207"/>
      <c r="BY747" s="1207"/>
      <c r="BZ747" s="1207"/>
      <c r="CA747" s="1207"/>
      <c r="CB747" s="1207"/>
      <c r="CC747" s="1207"/>
      <c r="CD747" s="1207"/>
      <c r="CE747" s="1207"/>
      <c r="CF747" s="1207"/>
    </row>
    <row r="748" spans="1:84" ht="105" x14ac:dyDescent="0.2">
      <c r="A748" s="1355">
        <v>2022759</v>
      </c>
      <c r="B748" s="1172">
        <v>7655</v>
      </c>
      <c r="C748" s="1356" t="s">
        <v>670</v>
      </c>
      <c r="D748" s="1190" t="s">
        <v>691</v>
      </c>
      <c r="E748" s="1174" t="s">
        <v>782</v>
      </c>
      <c r="F748" s="1174" t="s">
        <v>1370</v>
      </c>
      <c r="G748" s="1390">
        <v>44788</v>
      </c>
      <c r="H748" s="1390">
        <v>44778</v>
      </c>
      <c r="I748" s="1176">
        <v>4</v>
      </c>
      <c r="J748" s="1176" t="s">
        <v>675</v>
      </c>
      <c r="K748" s="1177" t="s">
        <v>676</v>
      </c>
      <c r="L748" s="1178" t="s">
        <v>677</v>
      </c>
      <c r="M748" s="1179">
        <v>24000000</v>
      </c>
      <c r="N748" s="1386" t="s">
        <v>785</v>
      </c>
      <c r="O748" s="1174" t="s">
        <v>780</v>
      </c>
      <c r="P748" s="1207" t="s">
        <v>680</v>
      </c>
      <c r="Q748" s="1207"/>
      <c r="R748" s="1269">
        <v>0</v>
      </c>
      <c r="S748" s="1357"/>
      <c r="T748" s="1357">
        <f>+Tabla16[[#This Row],[CDPS A 31 JULIO 2022]]-Tabla16[[#This Row],[CDP]]</f>
        <v>0</v>
      </c>
      <c r="U748" s="1357"/>
      <c r="V748" s="1357"/>
      <c r="W748" s="1357"/>
      <c r="X748" s="1207"/>
      <c r="Y748" s="1207"/>
      <c r="Z748" s="1207"/>
      <c r="AA748" s="1207"/>
      <c r="AB748" s="1207"/>
      <c r="AC748" s="1207"/>
      <c r="AD748" s="1207"/>
      <c r="AE748" s="1207"/>
      <c r="AF748" s="1207"/>
      <c r="AG748" s="1207"/>
      <c r="AH748" s="1207"/>
      <c r="AI748" s="1207"/>
      <c r="AJ748" s="1207"/>
      <c r="AK748" s="1207"/>
      <c r="AL748" s="1207"/>
      <c r="AM748" s="1207"/>
      <c r="AN748" s="1207"/>
      <c r="AO748" s="1207"/>
      <c r="AP748" s="1207"/>
      <c r="AQ748" s="1207"/>
      <c r="AR748" s="1207"/>
      <c r="AS748" s="1207"/>
      <c r="AT748" s="1207"/>
      <c r="AU748" s="1207"/>
      <c r="AV748" s="1207"/>
      <c r="AW748" s="1207"/>
      <c r="AX748" s="1207"/>
      <c r="AY748" s="1207"/>
      <c r="AZ748" s="1207"/>
      <c r="BA748" s="1207"/>
      <c r="BB748" s="1207"/>
      <c r="BC748" s="1207"/>
      <c r="BD748" s="1207"/>
      <c r="BE748" s="1207"/>
      <c r="BF748" s="1207"/>
      <c r="BG748" s="1207"/>
      <c r="BH748" s="1207"/>
      <c r="BI748" s="1207"/>
      <c r="BJ748" s="1207"/>
      <c r="BK748" s="1207"/>
      <c r="BL748" s="1207"/>
      <c r="BM748" s="1207"/>
      <c r="BN748" s="1207"/>
      <c r="BO748" s="1207"/>
      <c r="BP748" s="1207"/>
      <c r="BQ748" s="1207"/>
      <c r="BR748" s="1207"/>
      <c r="BS748" s="1207"/>
      <c r="BT748" s="1207"/>
      <c r="BU748" s="1207"/>
      <c r="BV748" s="1207"/>
      <c r="BW748" s="1207"/>
      <c r="BX748" s="1207"/>
      <c r="BY748" s="1207"/>
      <c r="BZ748" s="1207"/>
      <c r="CA748" s="1207"/>
      <c r="CB748" s="1207"/>
      <c r="CC748" s="1207"/>
      <c r="CD748" s="1207"/>
      <c r="CE748" s="1207"/>
      <c r="CF748" s="1207"/>
    </row>
    <row r="749" spans="1:84" ht="105" x14ac:dyDescent="0.2">
      <c r="A749" s="1355">
        <v>2022760</v>
      </c>
      <c r="B749" s="1172">
        <v>7655</v>
      </c>
      <c r="C749" s="1356" t="s">
        <v>670</v>
      </c>
      <c r="D749" s="1190" t="s">
        <v>691</v>
      </c>
      <c r="E749" s="1174" t="s">
        <v>782</v>
      </c>
      <c r="F749" s="1174" t="s">
        <v>1371</v>
      </c>
      <c r="G749" s="1390">
        <v>44788</v>
      </c>
      <c r="H749" s="1390">
        <v>44778</v>
      </c>
      <c r="I749" s="1176">
        <v>4</v>
      </c>
      <c r="J749" s="1176" t="s">
        <v>675</v>
      </c>
      <c r="K749" s="1177" t="s">
        <v>676</v>
      </c>
      <c r="L749" s="1178" t="s">
        <v>677</v>
      </c>
      <c r="M749" s="1179">
        <v>26000000</v>
      </c>
      <c r="N749" s="1386" t="s">
        <v>785</v>
      </c>
      <c r="O749" s="1174" t="s">
        <v>780</v>
      </c>
      <c r="P749" s="1207" t="s">
        <v>680</v>
      </c>
      <c r="Q749" s="1207"/>
      <c r="R749" s="1269">
        <v>0</v>
      </c>
      <c r="S749" s="1357"/>
      <c r="T749" s="1357">
        <f>+Tabla16[[#This Row],[CDPS A 31 JULIO 2022]]-Tabla16[[#This Row],[CDP]]</f>
        <v>0</v>
      </c>
      <c r="U749" s="1357"/>
      <c r="V749" s="1357"/>
      <c r="W749" s="1357"/>
      <c r="X749" s="1207"/>
      <c r="Y749" s="1207"/>
      <c r="Z749" s="1207"/>
      <c r="AA749" s="1207"/>
      <c r="AB749" s="1207"/>
      <c r="AC749" s="1207"/>
      <c r="AD749" s="1207"/>
      <c r="AE749" s="1207"/>
      <c r="AF749" s="1207"/>
      <c r="AG749" s="1207"/>
      <c r="AH749" s="1207"/>
      <c r="AI749" s="1207"/>
      <c r="AJ749" s="1207"/>
      <c r="AK749" s="1207"/>
      <c r="AL749" s="1207"/>
      <c r="AM749" s="1207"/>
      <c r="AN749" s="1207"/>
      <c r="AO749" s="1207"/>
      <c r="AP749" s="1207"/>
      <c r="AQ749" s="1207"/>
      <c r="AR749" s="1207"/>
      <c r="AS749" s="1207"/>
      <c r="AT749" s="1207"/>
      <c r="AU749" s="1207"/>
      <c r="AV749" s="1207"/>
      <c r="AW749" s="1207"/>
      <c r="AX749" s="1207"/>
      <c r="AY749" s="1207"/>
      <c r="AZ749" s="1207"/>
      <c r="BA749" s="1207"/>
      <c r="BB749" s="1207"/>
      <c r="BC749" s="1207"/>
      <c r="BD749" s="1207"/>
      <c r="BE749" s="1207"/>
      <c r="BF749" s="1207"/>
      <c r="BG749" s="1207"/>
      <c r="BH749" s="1207"/>
      <c r="BI749" s="1207"/>
      <c r="BJ749" s="1207"/>
      <c r="BK749" s="1207"/>
      <c r="BL749" s="1207"/>
      <c r="BM749" s="1207"/>
      <c r="BN749" s="1207"/>
      <c r="BO749" s="1207"/>
      <c r="BP749" s="1207"/>
      <c r="BQ749" s="1207"/>
      <c r="BR749" s="1207"/>
      <c r="BS749" s="1207"/>
      <c r="BT749" s="1207"/>
      <c r="BU749" s="1207"/>
      <c r="BV749" s="1207"/>
      <c r="BW749" s="1207"/>
      <c r="BX749" s="1207"/>
      <c r="BY749" s="1207"/>
      <c r="BZ749" s="1207"/>
      <c r="CA749" s="1207"/>
      <c r="CB749" s="1207"/>
      <c r="CC749" s="1207"/>
      <c r="CD749" s="1207"/>
      <c r="CE749" s="1207"/>
      <c r="CF749" s="1207"/>
    </row>
    <row r="750" spans="1:84" ht="105" x14ac:dyDescent="0.2">
      <c r="A750" s="1355">
        <v>2022761</v>
      </c>
      <c r="B750" s="1172">
        <v>7655</v>
      </c>
      <c r="C750" s="1356" t="s">
        <v>670</v>
      </c>
      <c r="D750" s="1190" t="s">
        <v>691</v>
      </c>
      <c r="E750" s="1174" t="s">
        <v>782</v>
      </c>
      <c r="F750" s="1174" t="s">
        <v>1372</v>
      </c>
      <c r="G750" s="1390">
        <v>44788</v>
      </c>
      <c r="H750" s="1390">
        <v>44778</v>
      </c>
      <c r="I750" s="1176">
        <v>4</v>
      </c>
      <c r="J750" s="1176" t="s">
        <v>675</v>
      </c>
      <c r="K750" s="1177" t="s">
        <v>676</v>
      </c>
      <c r="L750" s="1178" t="s">
        <v>677</v>
      </c>
      <c r="M750" s="1179">
        <v>11000000</v>
      </c>
      <c r="N750" s="1386" t="s">
        <v>785</v>
      </c>
      <c r="O750" s="1174" t="s">
        <v>780</v>
      </c>
      <c r="P750" s="1207" t="s">
        <v>680</v>
      </c>
      <c r="Q750" s="1207"/>
      <c r="R750" s="1269">
        <v>0</v>
      </c>
      <c r="S750" s="1357"/>
      <c r="T750" s="1357">
        <f>+Tabla16[[#This Row],[CDPS A 31 JULIO 2022]]-Tabla16[[#This Row],[CDP]]</f>
        <v>0</v>
      </c>
      <c r="U750" s="1357"/>
      <c r="V750" s="1357"/>
      <c r="W750" s="1357"/>
      <c r="X750" s="1207"/>
      <c r="Y750" s="1207"/>
      <c r="Z750" s="1207"/>
      <c r="AA750" s="1207"/>
      <c r="AB750" s="1207"/>
      <c r="AC750" s="1207"/>
      <c r="AD750" s="1207"/>
      <c r="AE750" s="1207"/>
      <c r="AF750" s="1207"/>
      <c r="AG750" s="1207"/>
      <c r="AH750" s="1207"/>
      <c r="AI750" s="1207"/>
      <c r="AJ750" s="1207"/>
      <c r="AK750" s="1207"/>
      <c r="AL750" s="1207"/>
      <c r="AM750" s="1207"/>
      <c r="AN750" s="1207"/>
      <c r="AO750" s="1207"/>
      <c r="AP750" s="1207"/>
      <c r="AQ750" s="1207"/>
      <c r="AR750" s="1207"/>
      <c r="AS750" s="1207"/>
      <c r="AT750" s="1207"/>
      <c r="AU750" s="1207"/>
      <c r="AV750" s="1207"/>
      <c r="AW750" s="1207"/>
      <c r="AX750" s="1207"/>
      <c r="AY750" s="1207"/>
      <c r="AZ750" s="1207"/>
      <c r="BA750" s="1207"/>
      <c r="BB750" s="1207"/>
      <c r="BC750" s="1207"/>
      <c r="BD750" s="1207"/>
      <c r="BE750" s="1207"/>
      <c r="BF750" s="1207"/>
      <c r="BG750" s="1207"/>
      <c r="BH750" s="1207"/>
      <c r="BI750" s="1207"/>
      <c r="BJ750" s="1207"/>
      <c r="BK750" s="1207"/>
      <c r="BL750" s="1207"/>
      <c r="BM750" s="1207"/>
      <c r="BN750" s="1207"/>
      <c r="BO750" s="1207"/>
      <c r="BP750" s="1207"/>
      <c r="BQ750" s="1207"/>
      <c r="BR750" s="1207"/>
      <c r="BS750" s="1207"/>
      <c r="BT750" s="1207"/>
      <c r="BU750" s="1207"/>
      <c r="BV750" s="1207"/>
      <c r="BW750" s="1207"/>
      <c r="BX750" s="1207"/>
      <c r="BY750" s="1207"/>
      <c r="BZ750" s="1207"/>
      <c r="CA750" s="1207"/>
      <c r="CB750" s="1207"/>
      <c r="CC750" s="1207"/>
      <c r="CD750" s="1207"/>
      <c r="CE750" s="1207"/>
      <c r="CF750" s="1207"/>
    </row>
    <row r="751" spans="1:84" ht="105" x14ac:dyDescent="0.2">
      <c r="A751" s="1355">
        <v>2022762</v>
      </c>
      <c r="B751" s="1172">
        <v>7655</v>
      </c>
      <c r="C751" s="1356" t="s">
        <v>670</v>
      </c>
      <c r="D751" s="1190" t="s">
        <v>691</v>
      </c>
      <c r="E751" s="1174" t="s">
        <v>782</v>
      </c>
      <c r="F751" s="1174" t="s">
        <v>1373</v>
      </c>
      <c r="G751" s="1390">
        <v>44788</v>
      </c>
      <c r="H751" s="1390">
        <v>44778</v>
      </c>
      <c r="I751" s="1176">
        <v>5</v>
      </c>
      <c r="J751" s="1176" t="s">
        <v>675</v>
      </c>
      <c r="K751" s="1177" t="s">
        <v>676</v>
      </c>
      <c r="L751" s="1178" t="s">
        <v>677</v>
      </c>
      <c r="M751" s="1179">
        <v>19250000</v>
      </c>
      <c r="N751" s="1386" t="s">
        <v>785</v>
      </c>
      <c r="O751" s="1174" t="s">
        <v>780</v>
      </c>
      <c r="P751" s="1207" t="s">
        <v>680</v>
      </c>
      <c r="Q751" s="1207"/>
      <c r="R751" s="1269">
        <v>0</v>
      </c>
      <c r="S751" s="1357"/>
      <c r="T751" s="1357">
        <f>+Tabla16[[#This Row],[CDPS A 31 JULIO 2022]]-Tabla16[[#This Row],[CDP]]</f>
        <v>0</v>
      </c>
      <c r="U751" s="1357"/>
      <c r="V751" s="1357"/>
      <c r="W751" s="1357"/>
      <c r="X751" s="1207"/>
      <c r="Y751" s="1207"/>
      <c r="Z751" s="1207"/>
      <c r="AA751" s="1207"/>
      <c r="AB751" s="1207"/>
      <c r="AC751" s="1207"/>
      <c r="AD751" s="1207"/>
      <c r="AE751" s="1207"/>
      <c r="AF751" s="1207"/>
      <c r="AG751" s="1207"/>
      <c r="AH751" s="1207"/>
      <c r="AI751" s="1207"/>
      <c r="AJ751" s="1207"/>
      <c r="AK751" s="1207"/>
      <c r="AL751" s="1207"/>
      <c r="AM751" s="1207"/>
      <c r="AN751" s="1207"/>
      <c r="AO751" s="1207"/>
      <c r="AP751" s="1207"/>
      <c r="AQ751" s="1207"/>
      <c r="AR751" s="1207"/>
      <c r="AS751" s="1207"/>
      <c r="AT751" s="1207"/>
      <c r="AU751" s="1207"/>
      <c r="AV751" s="1207"/>
      <c r="AW751" s="1207"/>
      <c r="AX751" s="1207"/>
      <c r="AY751" s="1207"/>
      <c r="AZ751" s="1207"/>
      <c r="BA751" s="1207"/>
      <c r="BB751" s="1207"/>
      <c r="BC751" s="1207"/>
      <c r="BD751" s="1207"/>
      <c r="BE751" s="1207"/>
      <c r="BF751" s="1207"/>
      <c r="BG751" s="1207"/>
      <c r="BH751" s="1207"/>
      <c r="BI751" s="1207"/>
      <c r="BJ751" s="1207"/>
      <c r="BK751" s="1207"/>
      <c r="BL751" s="1207"/>
      <c r="BM751" s="1207"/>
      <c r="BN751" s="1207"/>
      <c r="BO751" s="1207"/>
      <c r="BP751" s="1207"/>
      <c r="BQ751" s="1207"/>
      <c r="BR751" s="1207"/>
      <c r="BS751" s="1207"/>
      <c r="BT751" s="1207"/>
      <c r="BU751" s="1207"/>
      <c r="BV751" s="1207"/>
      <c r="BW751" s="1207"/>
      <c r="BX751" s="1207"/>
      <c r="BY751" s="1207"/>
      <c r="BZ751" s="1207"/>
      <c r="CA751" s="1207"/>
      <c r="CB751" s="1207"/>
      <c r="CC751" s="1207"/>
      <c r="CD751" s="1207"/>
      <c r="CE751" s="1207"/>
      <c r="CF751" s="1207"/>
    </row>
    <row r="752" spans="1:84" ht="105" x14ac:dyDescent="0.2">
      <c r="A752" s="1355">
        <v>2022763</v>
      </c>
      <c r="B752" s="1172">
        <v>7655</v>
      </c>
      <c r="C752" s="1356" t="s">
        <v>670</v>
      </c>
      <c r="D752" s="1190" t="s">
        <v>691</v>
      </c>
      <c r="E752" s="1174" t="s">
        <v>782</v>
      </c>
      <c r="F752" s="1174" t="s">
        <v>1374</v>
      </c>
      <c r="G752" s="1390">
        <v>44788</v>
      </c>
      <c r="H752" s="1390">
        <v>44778</v>
      </c>
      <c r="I752" s="1176">
        <v>5</v>
      </c>
      <c r="J752" s="1176" t="s">
        <v>675</v>
      </c>
      <c r="K752" s="1177" t="s">
        <v>676</v>
      </c>
      <c r="L752" s="1178" t="s">
        <v>677</v>
      </c>
      <c r="M752" s="1179">
        <v>27500000</v>
      </c>
      <c r="N752" s="1386" t="s">
        <v>785</v>
      </c>
      <c r="O752" s="1174" t="s">
        <v>780</v>
      </c>
      <c r="P752" s="1207" t="s">
        <v>680</v>
      </c>
      <c r="Q752" s="1207"/>
      <c r="R752" s="1269">
        <v>0</v>
      </c>
      <c r="S752" s="1357"/>
      <c r="T752" s="1357">
        <f>+Tabla16[[#This Row],[CDPS A 31 JULIO 2022]]-Tabla16[[#This Row],[CDP]]</f>
        <v>0</v>
      </c>
      <c r="U752" s="1357"/>
      <c r="V752" s="1357"/>
      <c r="W752" s="1357"/>
      <c r="X752" s="1207"/>
      <c r="Y752" s="1207"/>
      <c r="Z752" s="1207"/>
      <c r="AA752" s="1207"/>
      <c r="AB752" s="1207"/>
      <c r="AC752" s="1207"/>
      <c r="AD752" s="1207"/>
      <c r="AE752" s="1207"/>
      <c r="AF752" s="1207"/>
      <c r="AG752" s="1207"/>
      <c r="AH752" s="1207"/>
      <c r="AI752" s="1207"/>
      <c r="AJ752" s="1207"/>
      <c r="AK752" s="1207"/>
      <c r="AL752" s="1207"/>
      <c r="AM752" s="1207"/>
      <c r="AN752" s="1207"/>
      <c r="AO752" s="1207"/>
      <c r="AP752" s="1207"/>
      <c r="AQ752" s="1207"/>
      <c r="AR752" s="1207"/>
      <c r="AS752" s="1207"/>
      <c r="AT752" s="1207"/>
      <c r="AU752" s="1207"/>
      <c r="AV752" s="1207"/>
      <c r="AW752" s="1207"/>
      <c r="AX752" s="1207"/>
      <c r="AY752" s="1207"/>
      <c r="AZ752" s="1207"/>
      <c r="BA752" s="1207"/>
      <c r="BB752" s="1207"/>
      <c r="BC752" s="1207"/>
      <c r="BD752" s="1207"/>
      <c r="BE752" s="1207"/>
      <c r="BF752" s="1207"/>
      <c r="BG752" s="1207"/>
      <c r="BH752" s="1207"/>
      <c r="BI752" s="1207"/>
      <c r="BJ752" s="1207"/>
      <c r="BK752" s="1207"/>
      <c r="BL752" s="1207"/>
      <c r="BM752" s="1207"/>
      <c r="BN752" s="1207"/>
      <c r="BO752" s="1207"/>
      <c r="BP752" s="1207"/>
      <c r="BQ752" s="1207"/>
      <c r="BR752" s="1207"/>
      <c r="BS752" s="1207"/>
      <c r="BT752" s="1207"/>
      <c r="BU752" s="1207"/>
      <c r="BV752" s="1207"/>
      <c r="BW752" s="1207"/>
      <c r="BX752" s="1207"/>
      <c r="BY752" s="1207"/>
      <c r="BZ752" s="1207"/>
      <c r="CA752" s="1207"/>
      <c r="CB752" s="1207"/>
      <c r="CC752" s="1207"/>
      <c r="CD752" s="1207"/>
      <c r="CE752" s="1207"/>
      <c r="CF752" s="1207"/>
    </row>
    <row r="753" spans="1:84 16350:16364" ht="105" x14ac:dyDescent="0.2">
      <c r="A753" s="1355">
        <v>2022764</v>
      </c>
      <c r="B753" s="1172">
        <v>7655</v>
      </c>
      <c r="C753" s="1356" t="s">
        <v>670</v>
      </c>
      <c r="D753" s="1190" t="s">
        <v>691</v>
      </c>
      <c r="E753" s="1174" t="s">
        <v>782</v>
      </c>
      <c r="F753" s="1174" t="s">
        <v>1375</v>
      </c>
      <c r="G753" s="1390">
        <v>44788</v>
      </c>
      <c r="H753" s="1390">
        <v>44778</v>
      </c>
      <c r="I753" s="1176">
        <v>5</v>
      </c>
      <c r="J753" s="1176" t="s">
        <v>675</v>
      </c>
      <c r="K753" s="1177" t="s">
        <v>676</v>
      </c>
      <c r="L753" s="1178" t="s">
        <v>677</v>
      </c>
      <c r="M753" s="1179">
        <v>27500000</v>
      </c>
      <c r="N753" s="1386" t="s">
        <v>785</v>
      </c>
      <c r="O753" s="1174" t="s">
        <v>780</v>
      </c>
      <c r="P753" s="1207" t="s">
        <v>680</v>
      </c>
      <c r="Q753" s="1207"/>
      <c r="R753" s="1269">
        <v>0</v>
      </c>
      <c r="S753" s="1357"/>
      <c r="T753" s="1357">
        <f>+Tabla16[[#This Row],[CDPS A 31 JULIO 2022]]-Tabla16[[#This Row],[CDP]]</f>
        <v>0</v>
      </c>
      <c r="U753" s="1357"/>
      <c r="V753" s="1357"/>
      <c r="W753" s="1357"/>
      <c r="X753" s="1207"/>
      <c r="Y753" s="1207"/>
      <c r="Z753" s="1207"/>
      <c r="AA753" s="1207"/>
      <c r="AB753" s="1207"/>
      <c r="AC753" s="1207"/>
      <c r="AD753" s="1207"/>
      <c r="AE753" s="1207"/>
      <c r="AF753" s="1207"/>
      <c r="AG753" s="1207"/>
      <c r="AH753" s="1207"/>
      <c r="AI753" s="1207"/>
      <c r="AJ753" s="1207"/>
      <c r="AK753" s="1207"/>
      <c r="AL753" s="1207"/>
      <c r="AM753" s="1207"/>
      <c r="AN753" s="1207"/>
      <c r="AO753" s="1207"/>
      <c r="AP753" s="1207"/>
      <c r="AQ753" s="1207"/>
      <c r="AR753" s="1207"/>
      <c r="AS753" s="1207"/>
      <c r="AT753" s="1207"/>
      <c r="AU753" s="1207"/>
      <c r="AV753" s="1207"/>
      <c r="AW753" s="1207"/>
      <c r="AX753" s="1207"/>
      <c r="AY753" s="1207"/>
      <c r="AZ753" s="1207"/>
      <c r="BA753" s="1207"/>
      <c r="BB753" s="1207"/>
      <c r="BC753" s="1207"/>
      <c r="BD753" s="1207"/>
      <c r="BE753" s="1207"/>
      <c r="BF753" s="1207"/>
      <c r="BG753" s="1207"/>
      <c r="BH753" s="1207"/>
      <c r="BI753" s="1207"/>
      <c r="BJ753" s="1207"/>
      <c r="BK753" s="1207"/>
      <c r="BL753" s="1207"/>
      <c r="BM753" s="1207"/>
      <c r="BN753" s="1207"/>
      <c r="BO753" s="1207"/>
      <c r="BP753" s="1207"/>
      <c r="BQ753" s="1207"/>
      <c r="BR753" s="1207"/>
      <c r="BS753" s="1207"/>
      <c r="BT753" s="1207"/>
      <c r="BU753" s="1207"/>
      <c r="BV753" s="1207"/>
      <c r="BW753" s="1207"/>
      <c r="BX753" s="1207"/>
      <c r="BY753" s="1207"/>
      <c r="BZ753" s="1207"/>
      <c r="CA753" s="1207"/>
      <c r="CB753" s="1207"/>
      <c r="CC753" s="1207"/>
      <c r="CD753" s="1207"/>
      <c r="CE753" s="1207"/>
      <c r="CF753" s="1207"/>
    </row>
    <row r="754" spans="1:84 16350:16364" ht="105" x14ac:dyDescent="0.2">
      <c r="A754" s="1355">
        <v>2022765</v>
      </c>
      <c r="B754" s="1172">
        <v>7655</v>
      </c>
      <c r="C754" s="1356" t="s">
        <v>670</v>
      </c>
      <c r="D754" s="1190" t="s">
        <v>691</v>
      </c>
      <c r="E754" s="1174" t="s">
        <v>782</v>
      </c>
      <c r="F754" s="1407" t="s">
        <v>1376</v>
      </c>
      <c r="G754" s="1390">
        <v>44788</v>
      </c>
      <c r="H754" s="1390">
        <v>44778</v>
      </c>
      <c r="I754" s="1176">
        <v>1</v>
      </c>
      <c r="J754" s="1176" t="s">
        <v>675</v>
      </c>
      <c r="K754" s="1177" t="s">
        <v>676</v>
      </c>
      <c r="L754" s="1178" t="s">
        <v>677</v>
      </c>
      <c r="M754" s="1179">
        <v>2750000</v>
      </c>
      <c r="N754" s="1386" t="s">
        <v>785</v>
      </c>
      <c r="O754" s="1174" t="s">
        <v>780</v>
      </c>
      <c r="P754" s="1163" t="s">
        <v>680</v>
      </c>
      <c r="Q754" s="1207"/>
      <c r="R754" s="1357"/>
      <c r="S754" s="1357"/>
      <c r="T754" s="1357">
        <f>+Tabla16[[#This Row],[CDPS A 31 JULIO 2022]]-Tabla16[[#This Row],[CDP]]</f>
        <v>0</v>
      </c>
      <c r="U754" s="1357"/>
      <c r="V754" s="1357"/>
      <c r="W754" s="1357"/>
      <c r="X754" s="1207"/>
      <c r="Y754" s="1207"/>
      <c r="Z754" s="1207"/>
      <c r="AA754" s="1207"/>
      <c r="AB754" s="1207"/>
      <c r="AC754" s="1207"/>
      <c r="AD754" s="1207"/>
      <c r="AE754" s="1207"/>
      <c r="AF754" s="1207"/>
      <c r="AG754" s="1207"/>
      <c r="AH754" s="1207"/>
      <c r="AI754" s="1207"/>
      <c r="AJ754" s="1207"/>
      <c r="AK754" s="1207"/>
      <c r="AL754" s="1207"/>
      <c r="AM754" s="1207"/>
      <c r="AN754" s="1207"/>
      <c r="AO754" s="1207"/>
      <c r="AP754" s="1207"/>
      <c r="AQ754" s="1207"/>
      <c r="AR754" s="1207"/>
      <c r="AS754" s="1207"/>
      <c r="AT754" s="1207"/>
      <c r="AU754" s="1207"/>
      <c r="AV754" s="1207"/>
      <c r="AW754" s="1207"/>
      <c r="AX754" s="1207"/>
      <c r="AY754" s="1207"/>
      <c r="AZ754" s="1207"/>
      <c r="BA754" s="1207"/>
      <c r="BB754" s="1207"/>
      <c r="BC754" s="1207"/>
      <c r="BD754" s="1207"/>
      <c r="BE754" s="1207"/>
      <c r="BF754" s="1207"/>
      <c r="BG754" s="1207"/>
      <c r="BH754" s="1207"/>
      <c r="BI754" s="1207"/>
      <c r="BJ754" s="1207"/>
      <c r="BK754" s="1207"/>
      <c r="BL754" s="1207"/>
      <c r="BM754" s="1207"/>
      <c r="BN754" s="1207"/>
      <c r="BO754" s="1207"/>
      <c r="BP754" s="1207"/>
      <c r="BQ754" s="1207"/>
      <c r="BR754" s="1207"/>
      <c r="BS754" s="1207"/>
      <c r="BT754" s="1207"/>
      <c r="BU754" s="1207"/>
      <c r="BV754" s="1207"/>
      <c r="BW754" s="1207"/>
      <c r="BX754" s="1207"/>
      <c r="BY754" s="1207"/>
      <c r="BZ754" s="1207"/>
      <c r="CA754" s="1207"/>
      <c r="CB754" s="1207"/>
      <c r="CC754" s="1207"/>
      <c r="CD754" s="1207"/>
      <c r="CE754" s="1207"/>
      <c r="CF754" s="1207"/>
    </row>
    <row r="755" spans="1:84 16350:16364" ht="105" x14ac:dyDescent="0.2">
      <c r="A755" s="1355">
        <v>2022766</v>
      </c>
      <c r="B755" s="1172">
        <v>7655</v>
      </c>
      <c r="C755" s="1356" t="s">
        <v>670</v>
      </c>
      <c r="D755" s="1190" t="s">
        <v>673</v>
      </c>
      <c r="E755" s="1174">
        <v>80111600</v>
      </c>
      <c r="F755" s="1174" t="s">
        <v>1377</v>
      </c>
      <c r="G755" s="1390">
        <v>44788</v>
      </c>
      <c r="H755" s="1390">
        <v>44819</v>
      </c>
      <c r="I755" s="1176">
        <v>3.5</v>
      </c>
      <c r="J755" s="1176" t="s">
        <v>675</v>
      </c>
      <c r="K755" s="1177" t="s">
        <v>676</v>
      </c>
      <c r="L755" s="1178" t="s">
        <v>677</v>
      </c>
      <c r="M755" s="1179">
        <v>24000000</v>
      </c>
      <c r="N755" s="1386" t="s">
        <v>785</v>
      </c>
      <c r="O755" s="1174" t="s">
        <v>780</v>
      </c>
      <c r="P755" s="1207" t="s">
        <v>750</v>
      </c>
      <c r="Q755" s="1207"/>
      <c r="R755" s="1357"/>
      <c r="S755" s="1357"/>
      <c r="T755" s="1357">
        <f>+Tabla16[[#This Row],[CDPS A 31 JULIO 2022]]-Tabla16[[#This Row],[CDP]]</f>
        <v>0</v>
      </c>
      <c r="U755" s="1357"/>
      <c r="V755" s="1357"/>
      <c r="W755" s="1357"/>
      <c r="X755" s="1207"/>
      <c r="Y755" s="1207"/>
      <c r="Z755" s="1207"/>
      <c r="AA755" s="1207"/>
      <c r="AB755" s="1207"/>
      <c r="AC755" s="1207"/>
      <c r="AD755" s="1207"/>
      <c r="AE755" s="1207"/>
      <c r="AF755" s="1207"/>
      <c r="AG755" s="1207"/>
      <c r="AH755" s="1207"/>
      <c r="AI755" s="1207"/>
      <c r="AJ755" s="1207"/>
      <c r="AK755" s="1207"/>
      <c r="AL755" s="1207"/>
      <c r="AM755" s="1207"/>
      <c r="AN755" s="1207"/>
      <c r="AO755" s="1207"/>
      <c r="AP755" s="1207"/>
      <c r="AQ755" s="1207"/>
      <c r="AR755" s="1207"/>
      <c r="AS755" s="1207"/>
      <c r="AT755" s="1207"/>
      <c r="AU755" s="1207"/>
      <c r="AV755" s="1207"/>
      <c r="AW755" s="1207"/>
      <c r="AX755" s="1207"/>
      <c r="AY755" s="1207"/>
      <c r="AZ755" s="1207"/>
      <c r="BA755" s="1207"/>
      <c r="BB755" s="1207"/>
      <c r="BC755" s="1207"/>
      <c r="BD755" s="1207"/>
      <c r="BE755" s="1207"/>
      <c r="BF755" s="1207"/>
      <c r="BG755" s="1207"/>
      <c r="BH755" s="1207"/>
      <c r="BI755" s="1207"/>
      <c r="BJ755" s="1207"/>
      <c r="BK755" s="1207"/>
      <c r="BL755" s="1207"/>
      <c r="BM755" s="1207"/>
      <c r="BN755" s="1207"/>
      <c r="BO755" s="1207"/>
      <c r="BP755" s="1207"/>
      <c r="BQ755" s="1207"/>
      <c r="BR755" s="1207"/>
      <c r="BS755" s="1207"/>
      <c r="BT755" s="1207"/>
      <c r="BU755" s="1207"/>
      <c r="BV755" s="1207"/>
      <c r="BW755" s="1207"/>
      <c r="BX755" s="1207"/>
      <c r="BY755" s="1207"/>
      <c r="BZ755" s="1207"/>
      <c r="CA755" s="1207"/>
      <c r="CB755" s="1207"/>
      <c r="CC755" s="1207"/>
      <c r="CD755" s="1207"/>
      <c r="CE755" s="1207"/>
      <c r="CF755" s="1207"/>
    </row>
    <row r="756" spans="1:84 16350:16364" ht="105" x14ac:dyDescent="0.2">
      <c r="A756" s="1355">
        <v>2022767</v>
      </c>
      <c r="B756" s="1172">
        <v>7655</v>
      </c>
      <c r="C756" s="1356" t="s">
        <v>670</v>
      </c>
      <c r="D756" s="1190" t="s">
        <v>673</v>
      </c>
      <c r="E756" s="1174">
        <v>80111600</v>
      </c>
      <c r="F756" s="1189" t="s">
        <v>1378</v>
      </c>
      <c r="G756" s="1390">
        <v>44788</v>
      </c>
      <c r="H756" s="1390">
        <v>44819</v>
      </c>
      <c r="I756" s="1176">
        <v>3.5</v>
      </c>
      <c r="J756" s="1176" t="s">
        <v>675</v>
      </c>
      <c r="K756" s="1177" t="s">
        <v>676</v>
      </c>
      <c r="L756" s="1178" t="s">
        <v>677</v>
      </c>
      <c r="M756" s="1179">
        <v>15000000</v>
      </c>
      <c r="N756" s="1386" t="s">
        <v>785</v>
      </c>
      <c r="O756" s="1174" t="s">
        <v>780</v>
      </c>
      <c r="P756" s="1207" t="s">
        <v>750</v>
      </c>
      <c r="Q756" s="1207"/>
      <c r="R756" s="1357"/>
      <c r="S756" s="1357"/>
      <c r="T756" s="1357">
        <f>+Tabla16[[#This Row],[CDPS A 31 JULIO 2022]]-Tabla16[[#This Row],[CDP]]</f>
        <v>0</v>
      </c>
      <c r="U756" s="1357"/>
      <c r="V756" s="1357"/>
      <c r="W756" s="1357"/>
      <c r="X756" s="1207"/>
      <c r="Y756" s="1207"/>
      <c r="Z756" s="1207"/>
      <c r="AA756" s="1207"/>
      <c r="AB756" s="1207"/>
      <c r="AC756" s="1207"/>
      <c r="AD756" s="1207"/>
      <c r="AE756" s="1207"/>
      <c r="AF756" s="1207"/>
      <c r="AG756" s="1207"/>
      <c r="AH756" s="1207"/>
      <c r="AI756" s="1207"/>
      <c r="AJ756" s="1207"/>
      <c r="AK756" s="1207"/>
      <c r="AL756" s="1207"/>
      <c r="AM756" s="1207"/>
      <c r="AN756" s="1207"/>
      <c r="AO756" s="1207"/>
      <c r="AP756" s="1207"/>
      <c r="AQ756" s="1207"/>
      <c r="AR756" s="1207"/>
      <c r="AS756" s="1207"/>
      <c r="AT756" s="1207"/>
      <c r="AU756" s="1207"/>
      <c r="AV756" s="1207"/>
      <c r="AW756" s="1207"/>
      <c r="AX756" s="1207"/>
      <c r="AY756" s="1207"/>
      <c r="AZ756" s="1207"/>
      <c r="BA756" s="1207"/>
      <c r="BB756" s="1207"/>
      <c r="BC756" s="1207"/>
      <c r="BD756" s="1207"/>
      <c r="BE756" s="1207"/>
      <c r="BF756" s="1207"/>
      <c r="BG756" s="1207"/>
      <c r="BH756" s="1207"/>
      <c r="BI756" s="1207"/>
      <c r="BJ756" s="1207"/>
      <c r="BK756" s="1207"/>
      <c r="BL756" s="1207"/>
      <c r="BM756" s="1207"/>
      <c r="BN756" s="1207"/>
      <c r="BO756" s="1207"/>
      <c r="BP756" s="1207"/>
      <c r="BQ756" s="1207"/>
      <c r="BR756" s="1207"/>
      <c r="BS756" s="1207"/>
      <c r="BT756" s="1207"/>
      <c r="BU756" s="1207"/>
      <c r="BV756" s="1207"/>
      <c r="BW756" s="1207"/>
      <c r="BX756" s="1207"/>
      <c r="BY756" s="1207"/>
      <c r="BZ756" s="1207"/>
      <c r="CA756" s="1207"/>
      <c r="CB756" s="1207"/>
      <c r="CC756" s="1207"/>
      <c r="CD756" s="1207"/>
      <c r="CE756" s="1207"/>
      <c r="CF756" s="1207"/>
    </row>
    <row r="757" spans="1:84 16350:16364" ht="105" x14ac:dyDescent="0.2">
      <c r="A757" s="1355">
        <v>2022768</v>
      </c>
      <c r="B757" s="1172">
        <v>7655</v>
      </c>
      <c r="C757" s="1356" t="s">
        <v>670</v>
      </c>
      <c r="D757" s="1190" t="s">
        <v>673</v>
      </c>
      <c r="E757" s="1174">
        <v>80111600</v>
      </c>
      <c r="F757" s="1174" t="s">
        <v>1379</v>
      </c>
      <c r="G757" s="1390">
        <v>44788</v>
      </c>
      <c r="H757" s="1390">
        <v>44819</v>
      </c>
      <c r="I757" s="1176">
        <v>3</v>
      </c>
      <c r="J757" s="1176" t="s">
        <v>675</v>
      </c>
      <c r="K757" s="1177" t="s">
        <v>676</v>
      </c>
      <c r="L757" s="1178" t="s">
        <v>677</v>
      </c>
      <c r="M757" s="1179">
        <v>13500000</v>
      </c>
      <c r="N757" s="1386" t="s">
        <v>785</v>
      </c>
      <c r="O757" s="1174" t="s">
        <v>780</v>
      </c>
      <c r="P757" s="1163" t="s">
        <v>759</v>
      </c>
      <c r="Q757" s="1207"/>
      <c r="R757" s="1357"/>
      <c r="S757" s="1357"/>
      <c r="T757" s="1357">
        <f>+Tabla16[[#This Row],[CDPS A 31 JULIO 2022]]-Tabla16[[#This Row],[CDP]]</f>
        <v>0</v>
      </c>
      <c r="U757" s="1357"/>
      <c r="V757" s="1357"/>
      <c r="W757" s="1357"/>
      <c r="X757" s="1207"/>
      <c r="Y757" s="1207"/>
      <c r="Z757" s="1207"/>
      <c r="AA757" s="1207"/>
      <c r="AB757" s="1207"/>
      <c r="AC757" s="1207"/>
      <c r="AD757" s="1207"/>
      <c r="AE757" s="1207"/>
      <c r="AF757" s="1207"/>
      <c r="AG757" s="1207"/>
      <c r="AH757" s="1207"/>
      <c r="AI757" s="1207"/>
      <c r="AJ757" s="1207"/>
      <c r="AK757" s="1207"/>
      <c r="AL757" s="1207"/>
      <c r="AM757" s="1207"/>
      <c r="AN757" s="1207"/>
      <c r="AO757" s="1207"/>
      <c r="AP757" s="1207"/>
      <c r="AQ757" s="1207"/>
      <c r="AR757" s="1207"/>
      <c r="AS757" s="1207"/>
      <c r="AT757" s="1207"/>
      <c r="AU757" s="1207"/>
      <c r="AV757" s="1207"/>
      <c r="AW757" s="1207"/>
      <c r="AX757" s="1207"/>
      <c r="AY757" s="1207"/>
      <c r="AZ757" s="1207"/>
      <c r="BA757" s="1207"/>
      <c r="BB757" s="1207"/>
      <c r="BC757" s="1207"/>
      <c r="BD757" s="1207"/>
      <c r="BE757" s="1207"/>
      <c r="BF757" s="1207"/>
      <c r="BG757" s="1207"/>
      <c r="BH757" s="1207"/>
      <c r="BI757" s="1207"/>
      <c r="BJ757" s="1207"/>
      <c r="BK757" s="1207"/>
      <c r="BL757" s="1207"/>
      <c r="BM757" s="1207"/>
      <c r="BN757" s="1207"/>
      <c r="BO757" s="1207"/>
      <c r="BP757" s="1207"/>
      <c r="BQ757" s="1207"/>
      <c r="BR757" s="1207"/>
      <c r="BS757" s="1207"/>
      <c r="BT757" s="1207"/>
      <c r="BU757" s="1207"/>
      <c r="BV757" s="1207"/>
      <c r="BW757" s="1207"/>
      <c r="BX757" s="1207"/>
      <c r="BY757" s="1207"/>
      <c r="BZ757" s="1207"/>
      <c r="CA757" s="1207"/>
      <c r="CB757" s="1207"/>
      <c r="CC757" s="1207"/>
      <c r="CD757" s="1207"/>
      <c r="CE757" s="1207"/>
      <c r="CF757" s="1207"/>
    </row>
    <row r="758" spans="1:84 16350:16364" ht="105" x14ac:dyDescent="0.2">
      <c r="A758" s="1355">
        <v>2022769</v>
      </c>
      <c r="B758" s="1172">
        <v>7655</v>
      </c>
      <c r="C758" s="1356" t="s">
        <v>670</v>
      </c>
      <c r="D758" s="1190" t="s">
        <v>673</v>
      </c>
      <c r="E758" s="1174">
        <v>80111600</v>
      </c>
      <c r="F758" s="1174" t="s">
        <v>1380</v>
      </c>
      <c r="G758" s="1390">
        <v>44788</v>
      </c>
      <c r="H758" s="1390">
        <v>44819</v>
      </c>
      <c r="I758" s="1176">
        <v>3</v>
      </c>
      <c r="J758" s="1176" t="s">
        <v>675</v>
      </c>
      <c r="K758" s="1177" t="s">
        <v>676</v>
      </c>
      <c r="L758" s="1178" t="s">
        <v>677</v>
      </c>
      <c r="M758" s="1179">
        <v>13500000</v>
      </c>
      <c r="N758" s="1386" t="s">
        <v>785</v>
      </c>
      <c r="O758" s="1174" t="s">
        <v>780</v>
      </c>
      <c r="P758" s="1163" t="s">
        <v>759</v>
      </c>
      <c r="Q758" s="1207"/>
      <c r="R758" s="1357"/>
      <c r="S758" s="1357"/>
      <c r="T758" s="1357">
        <f>+Tabla16[[#This Row],[CDPS A 31 JULIO 2022]]-Tabla16[[#This Row],[CDP]]</f>
        <v>0</v>
      </c>
      <c r="U758" s="1357"/>
      <c r="V758" s="1357"/>
      <c r="W758" s="1357"/>
      <c r="X758" s="1207"/>
      <c r="Y758" s="1207"/>
      <c r="Z758" s="1207"/>
      <c r="AA758" s="1207"/>
      <c r="AB758" s="1207"/>
      <c r="AC758" s="1207"/>
      <c r="AD758" s="1207"/>
      <c r="AE758" s="1207"/>
      <c r="AF758" s="1207"/>
      <c r="AG758" s="1207"/>
      <c r="AH758" s="1207"/>
      <c r="AI758" s="1207"/>
      <c r="AJ758" s="1207"/>
      <c r="AK758" s="1207"/>
      <c r="AL758" s="1207"/>
      <c r="AM758" s="1207"/>
      <c r="AN758" s="1207"/>
      <c r="AO758" s="1207"/>
      <c r="AP758" s="1207"/>
      <c r="AQ758" s="1207"/>
      <c r="AR758" s="1207"/>
      <c r="AS758" s="1207"/>
      <c r="AT758" s="1207"/>
      <c r="AU758" s="1207"/>
      <c r="AV758" s="1207"/>
      <c r="AW758" s="1207"/>
      <c r="AX758" s="1207"/>
      <c r="AY758" s="1207"/>
      <c r="AZ758" s="1207"/>
      <c r="BA758" s="1207"/>
      <c r="BB758" s="1207"/>
      <c r="BC758" s="1207"/>
      <c r="BD758" s="1207"/>
      <c r="BE758" s="1207"/>
      <c r="BF758" s="1207"/>
      <c r="BG758" s="1207"/>
      <c r="BH758" s="1207"/>
      <c r="BI758" s="1207"/>
      <c r="BJ758" s="1207"/>
      <c r="BK758" s="1207"/>
      <c r="BL758" s="1207"/>
      <c r="BM758" s="1207"/>
      <c r="BN758" s="1207"/>
      <c r="BO758" s="1207"/>
      <c r="BP758" s="1207"/>
      <c r="BQ758" s="1207"/>
      <c r="BR758" s="1207"/>
      <c r="BS758" s="1207"/>
      <c r="BT758" s="1207"/>
      <c r="BU758" s="1207"/>
      <c r="BV758" s="1207"/>
      <c r="BW758" s="1207"/>
      <c r="BX758" s="1207"/>
      <c r="BY758" s="1207"/>
      <c r="BZ758" s="1207"/>
      <c r="CA758" s="1207"/>
      <c r="CB758" s="1207"/>
      <c r="CC758" s="1207"/>
      <c r="CD758" s="1207"/>
      <c r="CE758" s="1207"/>
      <c r="CF758" s="1207"/>
    </row>
    <row r="759" spans="1:84 16350:16364" ht="105" x14ac:dyDescent="0.2">
      <c r="A759" s="1355">
        <v>2022770</v>
      </c>
      <c r="B759" s="1172">
        <v>7655</v>
      </c>
      <c r="C759" s="1356" t="s">
        <v>670</v>
      </c>
      <c r="D759" s="1190" t="s">
        <v>673</v>
      </c>
      <c r="E759" s="1174">
        <v>80111600</v>
      </c>
      <c r="F759" s="1174" t="s">
        <v>1381</v>
      </c>
      <c r="G759" s="1390">
        <v>44788</v>
      </c>
      <c r="H759" s="1390">
        <v>44819</v>
      </c>
      <c r="I759" s="1176">
        <v>3</v>
      </c>
      <c r="J759" s="1176" t="s">
        <v>675</v>
      </c>
      <c r="K759" s="1177" t="s">
        <v>676</v>
      </c>
      <c r="L759" s="1178" t="s">
        <v>677</v>
      </c>
      <c r="M759" s="1179">
        <v>13500000</v>
      </c>
      <c r="N759" s="1386" t="s">
        <v>785</v>
      </c>
      <c r="O759" s="1174" t="s">
        <v>780</v>
      </c>
      <c r="P759" s="1163" t="s">
        <v>759</v>
      </c>
      <c r="Q759" s="1207"/>
      <c r="R759" s="1357"/>
      <c r="S759" s="1357"/>
      <c r="T759" s="1357">
        <f>+Tabla16[[#This Row],[CDPS A 31 JULIO 2022]]-Tabla16[[#This Row],[CDP]]</f>
        <v>0</v>
      </c>
      <c r="U759" s="1357"/>
      <c r="V759" s="1357"/>
      <c r="W759" s="1357"/>
      <c r="X759" s="1207"/>
      <c r="Y759" s="1207"/>
      <c r="Z759" s="1207"/>
      <c r="AA759" s="1207"/>
      <c r="AB759" s="1207"/>
      <c r="AC759" s="1207"/>
      <c r="AD759" s="1207"/>
      <c r="AE759" s="1207"/>
      <c r="AF759" s="1207"/>
      <c r="AG759" s="1207"/>
      <c r="AH759" s="1207"/>
      <c r="AI759" s="1207"/>
      <c r="AJ759" s="1207"/>
      <c r="AK759" s="1207"/>
      <c r="AL759" s="1207"/>
      <c r="AM759" s="1207"/>
      <c r="AN759" s="1207"/>
      <c r="AO759" s="1207"/>
      <c r="AP759" s="1207"/>
      <c r="AQ759" s="1207"/>
      <c r="AR759" s="1207"/>
      <c r="AS759" s="1207"/>
      <c r="AT759" s="1207"/>
      <c r="AU759" s="1207"/>
      <c r="AV759" s="1207"/>
      <c r="AW759" s="1207"/>
      <c r="AX759" s="1207"/>
      <c r="AY759" s="1207"/>
      <c r="AZ759" s="1207"/>
      <c r="BA759" s="1207"/>
      <c r="BB759" s="1207"/>
      <c r="BC759" s="1207"/>
      <c r="BD759" s="1207"/>
      <c r="BE759" s="1207"/>
      <c r="BF759" s="1207"/>
      <c r="BG759" s="1207"/>
      <c r="BH759" s="1207"/>
      <c r="BI759" s="1207"/>
      <c r="BJ759" s="1207"/>
      <c r="BK759" s="1207"/>
      <c r="BL759" s="1207"/>
      <c r="BM759" s="1207"/>
      <c r="BN759" s="1207"/>
      <c r="BO759" s="1207"/>
      <c r="BP759" s="1207"/>
      <c r="BQ759" s="1207"/>
      <c r="BR759" s="1207"/>
      <c r="BS759" s="1207"/>
      <c r="BT759" s="1207"/>
      <c r="BU759" s="1207"/>
      <c r="BV759" s="1207"/>
      <c r="BW759" s="1207"/>
      <c r="BX759" s="1207"/>
      <c r="BY759" s="1207"/>
      <c r="BZ759" s="1207"/>
      <c r="CA759" s="1207"/>
      <c r="CB759" s="1207"/>
      <c r="CC759" s="1207"/>
      <c r="CD759" s="1207"/>
      <c r="CE759" s="1207"/>
      <c r="CF759" s="1207"/>
    </row>
    <row r="760" spans="1:84 16350:16364" ht="105" x14ac:dyDescent="0.2">
      <c r="A760" s="1355">
        <v>2022771</v>
      </c>
      <c r="B760" s="1172">
        <v>7655</v>
      </c>
      <c r="C760" s="1356" t="s">
        <v>670</v>
      </c>
      <c r="D760" s="1190" t="s">
        <v>673</v>
      </c>
      <c r="E760" s="1174">
        <v>80111600</v>
      </c>
      <c r="F760" s="1174" t="s">
        <v>1382</v>
      </c>
      <c r="G760" s="1390">
        <v>44788</v>
      </c>
      <c r="H760" s="1390">
        <v>44819</v>
      </c>
      <c r="I760" s="1176">
        <v>3.5</v>
      </c>
      <c r="J760" s="1176" t="s">
        <v>675</v>
      </c>
      <c r="K760" s="1177" t="s">
        <v>676</v>
      </c>
      <c r="L760" s="1178" t="s">
        <v>677</v>
      </c>
      <c r="M760" s="1179">
        <v>29750000</v>
      </c>
      <c r="N760" s="1386" t="s">
        <v>785</v>
      </c>
      <c r="O760" s="1174" t="s">
        <v>780</v>
      </c>
      <c r="P760" s="1163" t="s">
        <v>759</v>
      </c>
      <c r="Q760" s="1207"/>
      <c r="R760" s="1357"/>
      <c r="S760" s="1357"/>
      <c r="T760" s="1357">
        <f>+Tabla16[[#This Row],[CDPS A 31 JULIO 2022]]-Tabla16[[#This Row],[CDP]]</f>
        <v>0</v>
      </c>
      <c r="U760" s="1357"/>
      <c r="V760" s="1357"/>
      <c r="W760" s="1357"/>
      <c r="X760" s="1207"/>
      <c r="Y760" s="1207"/>
      <c r="Z760" s="1207"/>
      <c r="AA760" s="1207"/>
      <c r="AB760" s="1207"/>
      <c r="AC760" s="1207"/>
      <c r="AD760" s="1207"/>
      <c r="AE760" s="1207"/>
      <c r="AF760" s="1207"/>
      <c r="AG760" s="1207"/>
      <c r="AH760" s="1207"/>
      <c r="AI760" s="1207"/>
      <c r="AJ760" s="1207"/>
      <c r="AK760" s="1207"/>
      <c r="AL760" s="1207"/>
      <c r="AM760" s="1207"/>
      <c r="AN760" s="1207"/>
      <c r="AO760" s="1207"/>
      <c r="AP760" s="1207"/>
      <c r="AQ760" s="1207"/>
      <c r="AR760" s="1207"/>
      <c r="AS760" s="1207"/>
      <c r="AT760" s="1207"/>
      <c r="AU760" s="1207"/>
      <c r="AV760" s="1207"/>
      <c r="AW760" s="1207"/>
      <c r="AX760" s="1207"/>
      <c r="AY760" s="1207"/>
      <c r="AZ760" s="1207"/>
      <c r="BA760" s="1207"/>
      <c r="BB760" s="1207"/>
      <c r="BC760" s="1207"/>
      <c r="BD760" s="1207"/>
      <c r="BE760" s="1207"/>
      <c r="BF760" s="1207"/>
      <c r="BG760" s="1207"/>
      <c r="BH760" s="1207"/>
      <c r="BI760" s="1207"/>
      <c r="BJ760" s="1207"/>
      <c r="BK760" s="1207"/>
      <c r="BL760" s="1207"/>
      <c r="BM760" s="1207"/>
      <c r="BN760" s="1207"/>
      <c r="BO760" s="1207"/>
      <c r="BP760" s="1207"/>
      <c r="BQ760" s="1207"/>
      <c r="BR760" s="1207"/>
      <c r="BS760" s="1207"/>
      <c r="BT760" s="1207"/>
      <c r="BU760" s="1207"/>
      <c r="BV760" s="1207"/>
      <c r="BW760" s="1207"/>
      <c r="BX760" s="1207"/>
      <c r="BY760" s="1207"/>
      <c r="BZ760" s="1207"/>
      <c r="CA760" s="1207"/>
      <c r="CB760" s="1207"/>
      <c r="CC760" s="1207"/>
      <c r="CD760" s="1207"/>
      <c r="CE760" s="1207"/>
      <c r="CF760" s="1207"/>
    </row>
    <row r="761" spans="1:84 16350:16364" ht="105" x14ac:dyDescent="0.2">
      <c r="A761" s="1355">
        <v>2022772</v>
      </c>
      <c r="B761" s="1172">
        <v>7655</v>
      </c>
      <c r="C761" s="1356" t="s">
        <v>670</v>
      </c>
      <c r="D761" s="1190" t="s">
        <v>673</v>
      </c>
      <c r="E761" s="1174">
        <v>80111600</v>
      </c>
      <c r="F761" s="1174" t="s">
        <v>1383</v>
      </c>
      <c r="G761" s="1390">
        <v>44788</v>
      </c>
      <c r="H761" s="1390">
        <v>44819</v>
      </c>
      <c r="I761" s="1176">
        <v>3</v>
      </c>
      <c r="J761" s="1176" t="s">
        <v>675</v>
      </c>
      <c r="K761" s="1177" t="s">
        <v>676</v>
      </c>
      <c r="L761" s="1178" t="s">
        <v>677</v>
      </c>
      <c r="M761" s="1179">
        <v>13500000</v>
      </c>
      <c r="N761" s="1386" t="s">
        <v>785</v>
      </c>
      <c r="O761" s="1174" t="s">
        <v>780</v>
      </c>
      <c r="P761" s="1163" t="s">
        <v>759</v>
      </c>
      <c r="Q761" s="1207"/>
      <c r="R761" s="1357"/>
      <c r="S761" s="1357"/>
      <c r="T761" s="1357">
        <f>+Tabla16[[#This Row],[CDPS A 31 JULIO 2022]]-Tabla16[[#This Row],[CDP]]</f>
        <v>0</v>
      </c>
      <c r="U761" s="1357"/>
      <c r="V761" s="1357"/>
      <c r="W761" s="1357"/>
      <c r="X761" s="1207"/>
      <c r="Y761" s="1207"/>
      <c r="Z761" s="1207"/>
      <c r="AA761" s="1207"/>
      <c r="AB761" s="1207"/>
      <c r="AC761" s="1207"/>
      <c r="AD761" s="1207"/>
      <c r="AE761" s="1207"/>
      <c r="AF761" s="1207"/>
      <c r="AG761" s="1207"/>
      <c r="AH761" s="1207"/>
      <c r="AI761" s="1207"/>
      <c r="AJ761" s="1207"/>
      <c r="AK761" s="1207"/>
      <c r="AL761" s="1207"/>
      <c r="AM761" s="1207"/>
      <c r="AN761" s="1207"/>
      <c r="AO761" s="1207"/>
      <c r="AP761" s="1207"/>
      <c r="AQ761" s="1207"/>
      <c r="AR761" s="1207"/>
      <c r="AS761" s="1207"/>
      <c r="AT761" s="1207"/>
      <c r="AU761" s="1207"/>
      <c r="AV761" s="1207"/>
      <c r="AW761" s="1207"/>
      <c r="AX761" s="1207"/>
      <c r="AY761" s="1207"/>
      <c r="AZ761" s="1207"/>
      <c r="BA761" s="1207"/>
      <c r="BB761" s="1207"/>
      <c r="BC761" s="1207"/>
      <c r="BD761" s="1207"/>
      <c r="BE761" s="1207"/>
      <c r="BF761" s="1207"/>
      <c r="BG761" s="1207"/>
      <c r="BH761" s="1207"/>
      <c r="BI761" s="1207"/>
      <c r="BJ761" s="1207"/>
      <c r="BK761" s="1207"/>
      <c r="BL761" s="1207"/>
      <c r="BM761" s="1207"/>
      <c r="BN761" s="1207"/>
      <c r="BO761" s="1207"/>
      <c r="BP761" s="1207"/>
      <c r="BQ761" s="1207"/>
      <c r="BR761" s="1207"/>
      <c r="BS761" s="1207"/>
      <c r="BT761" s="1207"/>
      <c r="BU761" s="1207"/>
      <c r="BV761" s="1207"/>
      <c r="BW761" s="1207"/>
      <c r="BX761" s="1207"/>
      <c r="BY761" s="1207"/>
      <c r="BZ761" s="1207"/>
      <c r="CA761" s="1207"/>
      <c r="CB761" s="1207"/>
      <c r="CC761" s="1207"/>
      <c r="CD761" s="1207"/>
      <c r="CE761" s="1207"/>
      <c r="CF761" s="1207"/>
      <c r="XDV761" s="1355"/>
      <c r="XDW761" s="1172"/>
      <c r="XDX761" s="1356"/>
      <c r="XDY761" s="1173"/>
      <c r="XDZ761" s="1202"/>
      <c r="XEA761" s="1388"/>
      <c r="XEB761" s="1387"/>
      <c r="XEC761" s="1387"/>
      <c r="XED761" s="1176"/>
      <c r="XEE761" s="1176"/>
      <c r="XEF761" s="1177"/>
      <c r="XEG761" s="1178"/>
      <c r="XEH761" s="1179"/>
      <c r="XEI761" s="1189"/>
      <c r="XEJ761" s="1174"/>
    </row>
    <row r="762" spans="1:84 16350:16364" ht="105" x14ac:dyDescent="0.2">
      <c r="A762" s="1355">
        <v>2022773</v>
      </c>
      <c r="B762" s="1172">
        <v>7655</v>
      </c>
      <c r="C762" s="1356" t="s">
        <v>670</v>
      </c>
      <c r="D762" s="1190" t="s">
        <v>688</v>
      </c>
      <c r="E762" s="1174">
        <v>80111600</v>
      </c>
      <c r="F762" s="1174" t="s">
        <v>1384</v>
      </c>
      <c r="G762" s="1390">
        <v>44822</v>
      </c>
      <c r="H762" s="1390">
        <v>44822</v>
      </c>
      <c r="I762" s="1176">
        <v>4</v>
      </c>
      <c r="J762" s="1176" t="s">
        <v>675</v>
      </c>
      <c r="K762" s="1177" t="s">
        <v>676</v>
      </c>
      <c r="L762" s="1178" t="s">
        <v>677</v>
      </c>
      <c r="M762" s="1179">
        <v>13123664</v>
      </c>
      <c r="N762" s="1386" t="s">
        <v>785</v>
      </c>
      <c r="O762" s="1174" t="s">
        <v>780</v>
      </c>
      <c r="P762" s="1163" t="s">
        <v>759</v>
      </c>
      <c r="Q762" s="1207"/>
      <c r="R762" s="1357"/>
      <c r="S762" s="1357"/>
      <c r="T762" s="1357">
        <f>+Tabla16[[#This Row],[CDPS A 31 JULIO 2022]]-Tabla16[[#This Row],[CDP]]</f>
        <v>0</v>
      </c>
      <c r="U762" s="1357"/>
      <c r="V762" s="1357"/>
      <c r="W762" s="1357"/>
      <c r="X762" s="1207"/>
      <c r="Y762" s="1207"/>
      <c r="Z762" s="1207"/>
      <c r="AA762" s="1207"/>
      <c r="AB762" s="1207"/>
      <c r="AC762" s="1207"/>
      <c r="AD762" s="1207"/>
      <c r="AE762" s="1207"/>
      <c r="AF762" s="1207"/>
      <c r="AG762" s="1207"/>
      <c r="AH762" s="1207"/>
      <c r="AI762" s="1207"/>
      <c r="AJ762" s="1207"/>
      <c r="AK762" s="1207"/>
      <c r="AL762" s="1207"/>
      <c r="AM762" s="1207"/>
      <c r="AN762" s="1207"/>
      <c r="AO762" s="1207"/>
      <c r="AP762" s="1207"/>
      <c r="AQ762" s="1207"/>
      <c r="AR762" s="1207"/>
      <c r="AS762" s="1207"/>
      <c r="AT762" s="1207"/>
      <c r="AU762" s="1207"/>
      <c r="AV762" s="1207"/>
      <c r="AW762" s="1207"/>
      <c r="AX762" s="1207"/>
      <c r="AY762" s="1207"/>
      <c r="AZ762" s="1207"/>
      <c r="BA762" s="1207"/>
      <c r="BB762" s="1207"/>
      <c r="BC762" s="1207"/>
      <c r="BD762" s="1207"/>
      <c r="BE762" s="1207"/>
      <c r="BF762" s="1207"/>
      <c r="BG762" s="1207"/>
      <c r="BH762" s="1207"/>
      <c r="BI762" s="1207"/>
      <c r="BJ762" s="1207"/>
      <c r="BK762" s="1207"/>
      <c r="BL762" s="1207"/>
      <c r="BM762" s="1207"/>
      <c r="BN762" s="1207"/>
      <c r="BO762" s="1207"/>
      <c r="BP762" s="1207"/>
      <c r="BQ762" s="1207"/>
      <c r="BR762" s="1207"/>
      <c r="BS762" s="1207"/>
      <c r="BT762" s="1207"/>
      <c r="BU762" s="1207"/>
      <c r="BV762" s="1207"/>
      <c r="BW762" s="1207"/>
      <c r="BX762" s="1207"/>
      <c r="BY762" s="1207"/>
      <c r="BZ762" s="1207"/>
      <c r="CA762" s="1207"/>
      <c r="CB762" s="1207"/>
      <c r="CC762" s="1207"/>
      <c r="CD762" s="1207"/>
      <c r="CE762" s="1207"/>
      <c r="CF762" s="1207"/>
    </row>
    <row r="763" spans="1:84 16350:16364" ht="105" x14ac:dyDescent="0.2">
      <c r="A763" s="1355">
        <v>2022774</v>
      </c>
      <c r="B763" s="1172">
        <v>7655</v>
      </c>
      <c r="C763" s="1356" t="s">
        <v>670</v>
      </c>
      <c r="D763" s="1190" t="s">
        <v>688</v>
      </c>
      <c r="E763" s="1174">
        <v>80111600</v>
      </c>
      <c r="F763" s="1174" t="s">
        <v>1385</v>
      </c>
      <c r="G763" s="1390">
        <v>44822</v>
      </c>
      <c r="H763" s="1390">
        <v>44822</v>
      </c>
      <c r="I763" s="1176">
        <v>4</v>
      </c>
      <c r="J763" s="1176" t="s">
        <v>675</v>
      </c>
      <c r="K763" s="1177" t="s">
        <v>676</v>
      </c>
      <c r="L763" s="1178" t="s">
        <v>677</v>
      </c>
      <c r="M763" s="1179">
        <v>15232332</v>
      </c>
      <c r="N763" s="1386" t="s">
        <v>785</v>
      </c>
      <c r="O763" s="1174" t="s">
        <v>780</v>
      </c>
      <c r="P763" s="1163" t="s">
        <v>759</v>
      </c>
      <c r="Q763" s="1207"/>
      <c r="R763" s="1357"/>
      <c r="S763" s="1357"/>
      <c r="T763" s="1357">
        <f>+Tabla16[[#This Row],[CDPS A 31 JULIO 2022]]-Tabla16[[#This Row],[CDP]]</f>
        <v>0</v>
      </c>
      <c r="U763" s="1357"/>
      <c r="V763" s="1357"/>
      <c r="W763" s="1357"/>
      <c r="X763" s="1207"/>
      <c r="Y763" s="1207"/>
      <c r="Z763" s="1207"/>
      <c r="AA763" s="1207"/>
      <c r="AB763" s="1207"/>
      <c r="AC763" s="1207"/>
      <c r="AD763" s="1207"/>
      <c r="AE763" s="1207"/>
      <c r="AF763" s="1207"/>
      <c r="AG763" s="1207"/>
      <c r="AH763" s="1207"/>
      <c r="AI763" s="1207"/>
      <c r="AJ763" s="1207"/>
      <c r="AK763" s="1207"/>
      <c r="AL763" s="1207"/>
      <c r="AM763" s="1207"/>
      <c r="AN763" s="1207"/>
      <c r="AO763" s="1207"/>
      <c r="AP763" s="1207"/>
      <c r="AQ763" s="1207"/>
      <c r="AR763" s="1207"/>
      <c r="AS763" s="1207"/>
      <c r="AT763" s="1207"/>
      <c r="AU763" s="1207"/>
      <c r="AV763" s="1207"/>
      <c r="AW763" s="1207"/>
      <c r="AX763" s="1207"/>
      <c r="AY763" s="1207"/>
      <c r="AZ763" s="1207"/>
      <c r="BA763" s="1207"/>
      <c r="BB763" s="1207"/>
      <c r="BC763" s="1207"/>
      <c r="BD763" s="1207"/>
      <c r="BE763" s="1207"/>
      <c r="BF763" s="1207"/>
      <c r="BG763" s="1207"/>
      <c r="BH763" s="1207"/>
      <c r="BI763" s="1207"/>
      <c r="BJ763" s="1207"/>
      <c r="BK763" s="1207"/>
      <c r="BL763" s="1207"/>
      <c r="BM763" s="1207"/>
      <c r="BN763" s="1207"/>
      <c r="BO763" s="1207"/>
      <c r="BP763" s="1207"/>
      <c r="BQ763" s="1207"/>
      <c r="BR763" s="1207"/>
      <c r="BS763" s="1207"/>
      <c r="BT763" s="1207"/>
      <c r="BU763" s="1207"/>
      <c r="BV763" s="1207"/>
      <c r="BW763" s="1207"/>
      <c r="BX763" s="1207"/>
      <c r="BY763" s="1207"/>
      <c r="BZ763" s="1207"/>
      <c r="CA763" s="1207"/>
      <c r="CB763" s="1207"/>
      <c r="CC763" s="1207"/>
      <c r="CD763" s="1207"/>
      <c r="CE763" s="1207"/>
      <c r="CF763" s="1207"/>
    </row>
    <row r="764" spans="1:84 16350:16364" ht="105" x14ac:dyDescent="0.2">
      <c r="A764" s="1355">
        <v>2022775</v>
      </c>
      <c r="B764" s="1172">
        <v>7655</v>
      </c>
      <c r="C764" s="1356" t="s">
        <v>670</v>
      </c>
      <c r="D764" s="1190" t="s">
        <v>688</v>
      </c>
      <c r="E764" s="1174">
        <v>80111600</v>
      </c>
      <c r="F764" s="1174" t="s">
        <v>1386</v>
      </c>
      <c r="G764" s="1390">
        <v>44822</v>
      </c>
      <c r="H764" s="1390">
        <v>44822</v>
      </c>
      <c r="I764" s="1176">
        <v>4</v>
      </c>
      <c r="J764" s="1176" t="s">
        <v>675</v>
      </c>
      <c r="K764" s="1177" t="s">
        <v>676</v>
      </c>
      <c r="L764" s="1178" t="s">
        <v>677</v>
      </c>
      <c r="M764" s="1179">
        <v>26450332</v>
      </c>
      <c r="N764" s="1386" t="s">
        <v>785</v>
      </c>
      <c r="O764" s="1174" t="s">
        <v>780</v>
      </c>
      <c r="P764" s="1163" t="s">
        <v>759</v>
      </c>
      <c r="Q764" s="1207"/>
      <c r="R764" s="1357"/>
      <c r="S764" s="1357"/>
      <c r="T764" s="1357">
        <f>+Tabla16[[#This Row],[CDPS A 31 JULIO 2022]]-Tabla16[[#This Row],[CDP]]</f>
        <v>0</v>
      </c>
      <c r="U764" s="1357"/>
      <c r="V764" s="1357"/>
      <c r="W764" s="1357"/>
      <c r="X764" s="1207"/>
      <c r="Y764" s="1207"/>
      <c r="Z764" s="1207"/>
      <c r="AA764" s="1207"/>
      <c r="AB764" s="1207"/>
      <c r="AC764" s="1207"/>
      <c r="AD764" s="1207"/>
      <c r="AE764" s="1207"/>
      <c r="AF764" s="1207"/>
      <c r="AG764" s="1207"/>
      <c r="AH764" s="1207"/>
      <c r="AI764" s="1207"/>
      <c r="AJ764" s="1207"/>
      <c r="AK764" s="1207"/>
      <c r="AL764" s="1207"/>
      <c r="AM764" s="1207"/>
      <c r="AN764" s="1207"/>
      <c r="AO764" s="1207"/>
      <c r="AP764" s="1207"/>
      <c r="AQ764" s="1207"/>
      <c r="AR764" s="1207"/>
      <c r="AS764" s="1207"/>
      <c r="AT764" s="1207"/>
      <c r="AU764" s="1207"/>
      <c r="AV764" s="1207"/>
      <c r="AW764" s="1207"/>
      <c r="AX764" s="1207"/>
      <c r="AY764" s="1207"/>
      <c r="AZ764" s="1207"/>
      <c r="BA764" s="1207"/>
      <c r="BB764" s="1207"/>
      <c r="BC764" s="1207"/>
      <c r="BD764" s="1207"/>
      <c r="BE764" s="1207"/>
      <c r="BF764" s="1207"/>
      <c r="BG764" s="1207"/>
      <c r="BH764" s="1207"/>
      <c r="BI764" s="1207"/>
      <c r="BJ764" s="1207"/>
      <c r="BK764" s="1207"/>
      <c r="BL764" s="1207"/>
      <c r="BM764" s="1207"/>
      <c r="BN764" s="1207"/>
      <c r="BO764" s="1207"/>
      <c r="BP764" s="1207"/>
      <c r="BQ764" s="1207"/>
      <c r="BR764" s="1207"/>
      <c r="BS764" s="1207"/>
      <c r="BT764" s="1207"/>
      <c r="BU764" s="1207"/>
      <c r="BV764" s="1207"/>
      <c r="BW764" s="1207"/>
      <c r="BX764" s="1207"/>
      <c r="BY764" s="1207"/>
      <c r="BZ764" s="1207"/>
      <c r="CA764" s="1207"/>
      <c r="CB764" s="1207"/>
      <c r="CC764" s="1207"/>
      <c r="CD764" s="1207"/>
      <c r="CE764" s="1207"/>
      <c r="CF764" s="1207"/>
    </row>
    <row r="765" spans="1:84 16350:16364" ht="105" x14ac:dyDescent="0.2">
      <c r="A765" s="1355">
        <v>2022776</v>
      </c>
      <c r="B765" s="1172">
        <v>7655</v>
      </c>
      <c r="C765" s="1356" t="s">
        <v>670</v>
      </c>
      <c r="D765" s="1190" t="s">
        <v>688</v>
      </c>
      <c r="E765" s="1174">
        <v>80111600</v>
      </c>
      <c r="F765" s="1174" t="s">
        <v>1387</v>
      </c>
      <c r="G765" s="1390">
        <v>44840</v>
      </c>
      <c r="H765" s="1390">
        <v>44840</v>
      </c>
      <c r="I765" s="1176">
        <v>4</v>
      </c>
      <c r="J765" s="1176" t="s">
        <v>675</v>
      </c>
      <c r="K765" s="1177" t="s">
        <v>676</v>
      </c>
      <c r="L765" s="1178" t="s">
        <v>677</v>
      </c>
      <c r="M765" s="1179">
        <v>22482782</v>
      </c>
      <c r="N765" s="1386" t="s">
        <v>785</v>
      </c>
      <c r="O765" s="1174" t="s">
        <v>780</v>
      </c>
      <c r="P765" s="1163" t="s">
        <v>759</v>
      </c>
      <c r="Q765" s="1207"/>
      <c r="R765" s="1357"/>
      <c r="S765" s="1357"/>
      <c r="T765" s="1357">
        <f>+Tabla16[[#This Row],[CDPS A 31 JULIO 2022]]-Tabla16[[#This Row],[CDP]]</f>
        <v>0</v>
      </c>
      <c r="U765" s="1357"/>
      <c r="V765" s="1357"/>
      <c r="W765" s="1357"/>
      <c r="X765" s="1207"/>
      <c r="Y765" s="1207"/>
      <c r="Z765" s="1207"/>
      <c r="AA765" s="1207"/>
      <c r="AB765" s="1207"/>
      <c r="AC765" s="1207"/>
      <c r="AD765" s="1207"/>
      <c r="AE765" s="1207"/>
      <c r="AF765" s="1207"/>
      <c r="AG765" s="1207"/>
      <c r="AH765" s="1207"/>
      <c r="AI765" s="1207"/>
      <c r="AJ765" s="1207"/>
      <c r="AK765" s="1207"/>
      <c r="AL765" s="1207"/>
      <c r="AM765" s="1207"/>
      <c r="AN765" s="1207"/>
      <c r="AO765" s="1207"/>
      <c r="AP765" s="1207"/>
      <c r="AQ765" s="1207"/>
      <c r="AR765" s="1207"/>
      <c r="AS765" s="1207"/>
      <c r="AT765" s="1207"/>
      <c r="AU765" s="1207"/>
      <c r="AV765" s="1207"/>
      <c r="AW765" s="1207"/>
      <c r="AX765" s="1207"/>
      <c r="AY765" s="1207"/>
      <c r="AZ765" s="1207"/>
      <c r="BA765" s="1207"/>
      <c r="BB765" s="1207"/>
      <c r="BC765" s="1207"/>
      <c r="BD765" s="1207"/>
      <c r="BE765" s="1207"/>
      <c r="BF765" s="1207"/>
      <c r="BG765" s="1207"/>
      <c r="BH765" s="1207"/>
      <c r="BI765" s="1207"/>
      <c r="BJ765" s="1207"/>
      <c r="BK765" s="1207"/>
      <c r="BL765" s="1207"/>
      <c r="BM765" s="1207"/>
      <c r="BN765" s="1207"/>
      <c r="BO765" s="1207"/>
      <c r="BP765" s="1207"/>
      <c r="BQ765" s="1207"/>
      <c r="BR765" s="1207"/>
      <c r="BS765" s="1207"/>
      <c r="BT765" s="1207"/>
      <c r="BU765" s="1207"/>
      <c r="BV765" s="1207"/>
      <c r="BW765" s="1207"/>
      <c r="BX765" s="1207"/>
      <c r="BY765" s="1207"/>
      <c r="BZ765" s="1207"/>
      <c r="CA765" s="1207"/>
      <c r="CB765" s="1207"/>
      <c r="CC765" s="1207"/>
      <c r="CD765" s="1207"/>
      <c r="CE765" s="1207"/>
      <c r="CF765" s="1207"/>
    </row>
    <row r="766" spans="1:84 16350:16364" ht="105" x14ac:dyDescent="0.2">
      <c r="A766" s="1355">
        <v>2022777</v>
      </c>
      <c r="B766" s="1172">
        <v>7655</v>
      </c>
      <c r="C766" s="1356" t="s">
        <v>670</v>
      </c>
      <c r="D766" s="1190" t="s">
        <v>688</v>
      </c>
      <c r="E766" s="1174">
        <v>80111600</v>
      </c>
      <c r="F766" s="1174" t="s">
        <v>1388</v>
      </c>
      <c r="G766" s="1390">
        <v>44822</v>
      </c>
      <c r="H766" s="1390">
        <v>44822</v>
      </c>
      <c r="I766" s="1176">
        <v>4</v>
      </c>
      <c r="J766" s="1176" t="s">
        <v>675</v>
      </c>
      <c r="K766" s="1177" t="s">
        <v>676</v>
      </c>
      <c r="L766" s="1178" t="s">
        <v>677</v>
      </c>
      <c r="M766" s="1179">
        <v>26450332</v>
      </c>
      <c r="N766" s="1386" t="s">
        <v>785</v>
      </c>
      <c r="O766" s="1174" t="s">
        <v>780</v>
      </c>
      <c r="P766" s="1163" t="s">
        <v>759</v>
      </c>
      <c r="Q766" s="1207"/>
      <c r="R766" s="1357"/>
      <c r="S766" s="1357"/>
      <c r="T766" s="1357">
        <f>+Tabla16[[#This Row],[CDPS A 31 JULIO 2022]]-Tabla16[[#This Row],[CDP]]</f>
        <v>0</v>
      </c>
      <c r="U766" s="1357"/>
      <c r="V766" s="1357"/>
      <c r="W766" s="1357"/>
      <c r="X766" s="1207"/>
      <c r="Y766" s="1207"/>
      <c r="Z766" s="1207"/>
      <c r="AA766" s="1207"/>
      <c r="AB766" s="1207"/>
      <c r="AC766" s="1207"/>
      <c r="AD766" s="1207"/>
      <c r="AE766" s="1207"/>
      <c r="AF766" s="1207"/>
      <c r="AG766" s="1207"/>
      <c r="AH766" s="1207"/>
      <c r="AI766" s="1207"/>
      <c r="AJ766" s="1207"/>
      <c r="AK766" s="1207"/>
      <c r="AL766" s="1207"/>
      <c r="AM766" s="1207"/>
      <c r="AN766" s="1207"/>
      <c r="AO766" s="1207"/>
      <c r="AP766" s="1207"/>
      <c r="AQ766" s="1207"/>
      <c r="AR766" s="1207"/>
      <c r="AS766" s="1207"/>
      <c r="AT766" s="1207"/>
      <c r="AU766" s="1207"/>
      <c r="AV766" s="1207"/>
      <c r="AW766" s="1207"/>
      <c r="AX766" s="1207"/>
      <c r="AY766" s="1207"/>
      <c r="AZ766" s="1207"/>
      <c r="BA766" s="1207"/>
      <c r="BB766" s="1207"/>
      <c r="BC766" s="1207"/>
      <c r="BD766" s="1207"/>
      <c r="BE766" s="1207"/>
      <c r="BF766" s="1207"/>
      <c r="BG766" s="1207"/>
      <c r="BH766" s="1207"/>
      <c r="BI766" s="1207"/>
      <c r="BJ766" s="1207"/>
      <c r="BK766" s="1207"/>
      <c r="BL766" s="1207"/>
      <c r="BM766" s="1207"/>
      <c r="BN766" s="1207"/>
      <c r="BO766" s="1207"/>
      <c r="BP766" s="1207"/>
      <c r="BQ766" s="1207"/>
      <c r="BR766" s="1207"/>
      <c r="BS766" s="1207"/>
      <c r="BT766" s="1207"/>
      <c r="BU766" s="1207"/>
      <c r="BV766" s="1207"/>
      <c r="BW766" s="1207"/>
      <c r="BX766" s="1207"/>
      <c r="BY766" s="1207"/>
      <c r="BZ766" s="1207"/>
      <c r="CA766" s="1207"/>
      <c r="CB766" s="1207"/>
      <c r="CC766" s="1207"/>
      <c r="CD766" s="1207"/>
      <c r="CE766" s="1207"/>
      <c r="CF766" s="1207"/>
    </row>
    <row r="767" spans="1:84 16350:16364" ht="90" x14ac:dyDescent="0.2">
      <c r="A767" s="1355">
        <v>2022778</v>
      </c>
      <c r="B767" s="1172">
        <v>7658</v>
      </c>
      <c r="C767" s="1356" t="s">
        <v>681</v>
      </c>
      <c r="D767" s="1190" t="s">
        <v>697</v>
      </c>
      <c r="E767" s="1174">
        <v>80111600</v>
      </c>
      <c r="F767" s="1174" t="s">
        <v>1002</v>
      </c>
      <c r="G767" s="1390">
        <v>44792</v>
      </c>
      <c r="H767" s="1390">
        <v>44798</v>
      </c>
      <c r="I767" s="1176">
        <v>3</v>
      </c>
      <c r="J767" s="1176" t="s">
        <v>675</v>
      </c>
      <c r="K767" s="1177" t="s">
        <v>676</v>
      </c>
      <c r="L767" s="1178" t="s">
        <v>677</v>
      </c>
      <c r="M767" s="1179">
        <v>16146000</v>
      </c>
      <c r="N767" s="1386" t="s">
        <v>767</v>
      </c>
      <c r="O767" s="1174" t="s">
        <v>766</v>
      </c>
      <c r="P767" s="1163" t="s">
        <v>680</v>
      </c>
      <c r="Q767" s="1207"/>
      <c r="R767" s="1357"/>
      <c r="S767" s="1357"/>
      <c r="T767" s="1357">
        <f>+Tabla16[[#This Row],[CDPS A 31 JULIO 2022]]-Tabla16[[#This Row],[CDP]]</f>
        <v>0</v>
      </c>
      <c r="U767" s="1357"/>
      <c r="V767" s="1357"/>
      <c r="W767" s="1357"/>
      <c r="X767" s="1207"/>
      <c r="Y767" s="1207"/>
      <c r="Z767" s="1207"/>
      <c r="AA767" s="1207"/>
      <c r="AB767" s="1207"/>
      <c r="AC767" s="1207"/>
      <c r="AD767" s="1207"/>
      <c r="AE767" s="1207"/>
      <c r="AF767" s="1207"/>
      <c r="AG767" s="1207"/>
      <c r="AH767" s="1207"/>
      <c r="AI767" s="1207"/>
      <c r="AJ767" s="1207"/>
      <c r="AK767" s="1207"/>
      <c r="AL767" s="1207"/>
      <c r="AM767" s="1207"/>
      <c r="AN767" s="1207"/>
      <c r="AO767" s="1207"/>
      <c r="AP767" s="1207"/>
      <c r="AQ767" s="1207"/>
      <c r="AR767" s="1207"/>
      <c r="AS767" s="1207"/>
      <c r="AT767" s="1207"/>
      <c r="AU767" s="1207"/>
      <c r="AV767" s="1207"/>
      <c r="AW767" s="1207"/>
      <c r="AX767" s="1207"/>
      <c r="AY767" s="1207"/>
      <c r="AZ767" s="1207"/>
      <c r="BA767" s="1207"/>
      <c r="BB767" s="1207"/>
      <c r="BC767" s="1207"/>
      <c r="BD767" s="1207"/>
      <c r="BE767" s="1207"/>
      <c r="BF767" s="1207"/>
      <c r="BG767" s="1207"/>
      <c r="BH767" s="1207"/>
      <c r="BI767" s="1207"/>
      <c r="BJ767" s="1207"/>
      <c r="BK767" s="1207"/>
      <c r="BL767" s="1207"/>
      <c r="BM767" s="1207"/>
      <c r="BN767" s="1207"/>
      <c r="BO767" s="1207"/>
      <c r="BP767" s="1207"/>
      <c r="BQ767" s="1207"/>
      <c r="BR767" s="1207"/>
      <c r="BS767" s="1207"/>
      <c r="BT767" s="1207"/>
      <c r="BU767" s="1207"/>
      <c r="BV767" s="1207"/>
      <c r="BW767" s="1207"/>
      <c r="BX767" s="1207"/>
      <c r="BY767" s="1207"/>
      <c r="BZ767" s="1207"/>
      <c r="CA767" s="1207"/>
      <c r="CB767" s="1207"/>
      <c r="CC767" s="1207"/>
      <c r="CD767" s="1207"/>
      <c r="CE767" s="1207"/>
      <c r="CF767" s="1207"/>
    </row>
    <row r="768" spans="1:84 16350:16364" ht="90" x14ac:dyDescent="0.2">
      <c r="A768" s="1355">
        <v>2022779</v>
      </c>
      <c r="B768" s="1172">
        <v>7658</v>
      </c>
      <c r="C768" s="1356" t="s">
        <v>681</v>
      </c>
      <c r="D768" s="1190" t="s">
        <v>697</v>
      </c>
      <c r="E768" s="1174">
        <v>80111600</v>
      </c>
      <c r="F768" s="1174" t="s">
        <v>1002</v>
      </c>
      <c r="G768" s="1390">
        <v>44792</v>
      </c>
      <c r="H768" s="1390">
        <v>44798</v>
      </c>
      <c r="I768" s="1176">
        <v>4</v>
      </c>
      <c r="J768" s="1176" t="s">
        <v>675</v>
      </c>
      <c r="K768" s="1177" t="s">
        <v>676</v>
      </c>
      <c r="L768" s="1178" t="s">
        <v>677</v>
      </c>
      <c r="M768" s="1179">
        <v>21528000</v>
      </c>
      <c r="N768" s="1386" t="s">
        <v>767</v>
      </c>
      <c r="O768" s="1174" t="s">
        <v>766</v>
      </c>
      <c r="P768" s="1163" t="s">
        <v>680</v>
      </c>
      <c r="Q768" s="1207"/>
      <c r="R768" s="1357"/>
      <c r="S768" s="1357"/>
      <c r="T768" s="1357">
        <f>+Tabla16[[#This Row],[CDPS A 31 JULIO 2022]]-Tabla16[[#This Row],[CDP]]</f>
        <v>0</v>
      </c>
      <c r="U768" s="1357"/>
      <c r="V768" s="1357"/>
      <c r="W768" s="1357"/>
      <c r="X768" s="1207"/>
      <c r="Y768" s="1207"/>
      <c r="Z768" s="1207"/>
      <c r="AA768" s="1207"/>
      <c r="AB768" s="1207"/>
      <c r="AC768" s="1207"/>
      <c r="AD768" s="1207"/>
      <c r="AE768" s="1207"/>
      <c r="AF768" s="1207"/>
      <c r="AG768" s="1207"/>
      <c r="AH768" s="1207"/>
      <c r="AI768" s="1207"/>
      <c r="AJ768" s="1207"/>
      <c r="AK768" s="1207"/>
      <c r="AL768" s="1207"/>
      <c r="AM768" s="1207"/>
      <c r="AN768" s="1207"/>
      <c r="AO768" s="1207"/>
      <c r="AP768" s="1207"/>
      <c r="AQ768" s="1207"/>
      <c r="AR768" s="1207"/>
      <c r="AS768" s="1207"/>
      <c r="AT768" s="1207"/>
      <c r="AU768" s="1207"/>
      <c r="AV768" s="1207"/>
      <c r="AW768" s="1207"/>
      <c r="AX768" s="1207"/>
      <c r="AY768" s="1207"/>
      <c r="AZ768" s="1207"/>
      <c r="BA768" s="1207"/>
      <c r="BB768" s="1207"/>
      <c r="BC768" s="1207"/>
      <c r="BD768" s="1207"/>
      <c r="BE768" s="1207"/>
      <c r="BF768" s="1207"/>
      <c r="BG768" s="1207"/>
      <c r="BH768" s="1207"/>
      <c r="BI768" s="1207"/>
      <c r="BJ768" s="1207"/>
      <c r="BK768" s="1207"/>
      <c r="BL768" s="1207"/>
      <c r="BM768" s="1207"/>
      <c r="BN768" s="1207"/>
      <c r="BO768" s="1207"/>
      <c r="BP768" s="1207"/>
      <c r="BQ768" s="1207"/>
      <c r="BR768" s="1207"/>
      <c r="BS768" s="1207"/>
      <c r="BT768" s="1207"/>
      <c r="BU768" s="1207"/>
      <c r="BV768" s="1207"/>
      <c r="BW768" s="1207"/>
      <c r="BX768" s="1207"/>
      <c r="BY768" s="1207"/>
      <c r="BZ768" s="1207"/>
      <c r="CA768" s="1207"/>
      <c r="CB768" s="1207"/>
      <c r="CC768" s="1207"/>
      <c r="CD768" s="1207"/>
      <c r="CE768" s="1207"/>
      <c r="CF768" s="1207"/>
    </row>
    <row r="769" spans="1:84" ht="105" x14ac:dyDescent="0.2">
      <c r="A769" s="1355">
        <v>2022800</v>
      </c>
      <c r="B769" s="1172">
        <v>7655</v>
      </c>
      <c r="C769" s="1356" t="s">
        <v>670</v>
      </c>
      <c r="D769" s="1190" t="s">
        <v>697</v>
      </c>
      <c r="E769" s="1174">
        <v>80111600</v>
      </c>
      <c r="F769" s="1174" t="s">
        <v>876</v>
      </c>
      <c r="G769" s="1390">
        <v>44562</v>
      </c>
      <c r="H769" s="1390">
        <v>44592</v>
      </c>
      <c r="I769" s="1176">
        <v>4</v>
      </c>
      <c r="J769" s="1176" t="s">
        <v>675</v>
      </c>
      <c r="K769" s="1177" t="s">
        <v>676</v>
      </c>
      <c r="L769" s="1178" t="s">
        <v>677</v>
      </c>
      <c r="M769" s="1179">
        <v>20700000</v>
      </c>
      <c r="N769" s="1386" t="s">
        <v>785</v>
      </c>
      <c r="O769" s="1174" t="s">
        <v>780</v>
      </c>
      <c r="P769" s="1163" t="s">
        <v>680</v>
      </c>
      <c r="Q769" s="1207"/>
      <c r="R769" s="1357"/>
      <c r="S769" s="1357"/>
      <c r="T769" s="1357">
        <f>+Tabla16[[#This Row],[CDPS A 31 JULIO 2022]]-Tabla16[[#This Row],[CDP]]</f>
        <v>0</v>
      </c>
      <c r="U769" s="1357"/>
      <c r="V769" s="1357"/>
      <c r="W769" s="1357"/>
      <c r="X769" s="1207"/>
      <c r="Y769" s="1207"/>
      <c r="Z769" s="1207"/>
      <c r="AA769" s="1207"/>
      <c r="AB769" s="1207"/>
      <c r="AC769" s="1207"/>
      <c r="AD769" s="1207"/>
      <c r="AE769" s="1207"/>
      <c r="AF769" s="1207"/>
      <c r="AG769" s="1207"/>
      <c r="AH769" s="1207"/>
      <c r="AI769" s="1207"/>
      <c r="AJ769" s="1207"/>
      <c r="AK769" s="1207"/>
      <c r="AL769" s="1207"/>
      <c r="AM769" s="1207"/>
      <c r="AN769" s="1207"/>
      <c r="AO769" s="1207"/>
      <c r="AP769" s="1207"/>
      <c r="AQ769" s="1207"/>
      <c r="AR769" s="1207"/>
      <c r="AS769" s="1207"/>
      <c r="AT769" s="1207"/>
      <c r="AU769" s="1207"/>
      <c r="AV769" s="1207"/>
      <c r="AW769" s="1207"/>
      <c r="AX769" s="1207"/>
      <c r="AY769" s="1207"/>
      <c r="AZ769" s="1207"/>
      <c r="BA769" s="1207"/>
      <c r="BB769" s="1207"/>
      <c r="BC769" s="1207"/>
      <c r="BD769" s="1207"/>
      <c r="BE769" s="1207"/>
      <c r="BF769" s="1207"/>
      <c r="BG769" s="1207"/>
      <c r="BH769" s="1207"/>
      <c r="BI769" s="1207"/>
      <c r="BJ769" s="1207"/>
      <c r="BK769" s="1207"/>
      <c r="BL769" s="1207"/>
      <c r="BM769" s="1207"/>
      <c r="BN769" s="1207"/>
      <c r="BO769" s="1207"/>
      <c r="BP769" s="1207"/>
      <c r="BQ769" s="1207"/>
      <c r="BR769" s="1207"/>
      <c r="BS769" s="1207"/>
      <c r="BT769" s="1207"/>
      <c r="BU769" s="1207"/>
      <c r="BV769" s="1207"/>
      <c r="BW769" s="1207"/>
      <c r="BX769" s="1207"/>
      <c r="BY769" s="1207"/>
      <c r="BZ769" s="1207"/>
      <c r="CA769" s="1207"/>
      <c r="CB769" s="1207"/>
      <c r="CC769" s="1207"/>
      <c r="CD769" s="1207"/>
      <c r="CE769" s="1207"/>
      <c r="CF769" s="1207"/>
    </row>
    <row r="770" spans="1:84" ht="90" x14ac:dyDescent="0.2">
      <c r="A770" s="1355">
        <v>2022801</v>
      </c>
      <c r="B770" s="1172">
        <v>7658</v>
      </c>
      <c r="C770" s="1356" t="s">
        <v>681</v>
      </c>
      <c r="D770" s="1408" t="s">
        <v>697</v>
      </c>
      <c r="E770" s="1174">
        <v>80111600</v>
      </c>
      <c r="F770" s="1174" t="s">
        <v>866</v>
      </c>
      <c r="G770" s="1390">
        <v>44796</v>
      </c>
      <c r="H770" s="1390">
        <v>44804</v>
      </c>
      <c r="I770" s="1176">
        <v>4</v>
      </c>
      <c r="J770" s="1176" t="s">
        <v>675</v>
      </c>
      <c r="K770" s="1177" t="s">
        <v>676</v>
      </c>
      <c r="L770" s="1178" t="s">
        <v>677</v>
      </c>
      <c r="M770" s="1179">
        <v>15400000</v>
      </c>
      <c r="N770" s="1386" t="s">
        <v>767</v>
      </c>
      <c r="O770" s="1174" t="s">
        <v>766</v>
      </c>
      <c r="P770" s="1163" t="s">
        <v>680</v>
      </c>
      <c r="Q770" s="1207"/>
      <c r="R770" s="1357"/>
      <c r="S770" s="1357"/>
      <c r="T770" s="1357">
        <f>+Tabla16[[#This Row],[CDPS A 31 JULIO 2022]]-Tabla16[[#This Row],[CDP]]</f>
        <v>0</v>
      </c>
      <c r="U770" s="1357"/>
      <c r="V770" s="1357"/>
      <c r="W770" s="1357"/>
      <c r="X770" s="1207"/>
      <c r="Y770" s="1207"/>
      <c r="Z770" s="1207"/>
      <c r="AA770" s="1207"/>
      <c r="AB770" s="1207"/>
      <c r="AC770" s="1207"/>
      <c r="AD770" s="1207"/>
      <c r="AE770" s="1207"/>
      <c r="AF770" s="1207"/>
      <c r="AG770" s="1207"/>
      <c r="AH770" s="1207"/>
      <c r="AI770" s="1207"/>
      <c r="AJ770" s="1207"/>
      <c r="AK770" s="1207"/>
      <c r="AL770" s="1207"/>
      <c r="AM770" s="1207"/>
      <c r="AN770" s="1207"/>
      <c r="AO770" s="1207"/>
      <c r="AP770" s="1207"/>
      <c r="AQ770" s="1207"/>
      <c r="AR770" s="1207"/>
      <c r="AS770" s="1207"/>
      <c r="AT770" s="1207"/>
      <c r="AU770" s="1207"/>
      <c r="AV770" s="1207"/>
      <c r="AW770" s="1207"/>
      <c r="AX770" s="1207"/>
      <c r="AY770" s="1207"/>
      <c r="AZ770" s="1207"/>
      <c r="BA770" s="1207"/>
      <c r="BB770" s="1207"/>
      <c r="BC770" s="1207"/>
      <c r="BD770" s="1207"/>
      <c r="BE770" s="1207"/>
      <c r="BF770" s="1207"/>
      <c r="BG770" s="1207"/>
      <c r="BH770" s="1207"/>
      <c r="BI770" s="1207"/>
      <c r="BJ770" s="1207"/>
      <c r="BK770" s="1207"/>
      <c r="BL770" s="1207"/>
      <c r="BM770" s="1207"/>
      <c r="BN770" s="1207"/>
      <c r="BO770" s="1207"/>
      <c r="BP770" s="1207"/>
      <c r="BQ770" s="1207"/>
      <c r="BR770" s="1207"/>
      <c r="BS770" s="1207"/>
      <c r="BT770" s="1207"/>
      <c r="BU770" s="1207"/>
      <c r="BV770" s="1207"/>
      <c r="BW770" s="1207"/>
      <c r="BX770" s="1207"/>
      <c r="BY770" s="1207"/>
      <c r="BZ770" s="1207"/>
      <c r="CA770" s="1207"/>
      <c r="CB770" s="1207"/>
      <c r="CC770" s="1207"/>
      <c r="CD770" s="1207"/>
      <c r="CE770" s="1207"/>
      <c r="CF770" s="1207"/>
    </row>
    <row r="771" spans="1:84" ht="105" x14ac:dyDescent="0.2">
      <c r="A771" s="1355">
        <v>2022802</v>
      </c>
      <c r="B771" s="1172">
        <v>7655</v>
      </c>
      <c r="C771" s="1356" t="s">
        <v>670</v>
      </c>
      <c r="D771" s="1190" t="s">
        <v>697</v>
      </c>
      <c r="E771" s="1174">
        <v>80111600</v>
      </c>
      <c r="F771" s="1174" t="s">
        <v>1389</v>
      </c>
      <c r="G771" s="1390">
        <v>44795</v>
      </c>
      <c r="H771" s="1390">
        <v>44802</v>
      </c>
      <c r="I771" s="1176">
        <v>1.5</v>
      </c>
      <c r="J771" s="1176" t="s">
        <v>675</v>
      </c>
      <c r="K771" s="1177" t="s">
        <v>676</v>
      </c>
      <c r="L771" s="1178" t="s">
        <v>677</v>
      </c>
      <c r="M771" s="1179">
        <v>6520500</v>
      </c>
      <c r="N771" s="1386" t="s">
        <v>785</v>
      </c>
      <c r="O771" s="1174" t="s">
        <v>780</v>
      </c>
      <c r="P771" s="1163" t="s">
        <v>759</v>
      </c>
      <c r="Q771" s="1207"/>
      <c r="R771" s="1357"/>
      <c r="S771" s="1357"/>
      <c r="T771" s="1357">
        <f>+Tabla16[[#This Row],[CDPS A 31 JULIO 2022]]-Tabla16[[#This Row],[CDP]]</f>
        <v>0</v>
      </c>
      <c r="U771" s="1357"/>
      <c r="V771" s="1357"/>
      <c r="W771" s="1357"/>
      <c r="X771" s="1207"/>
      <c r="Y771" s="1207"/>
      <c r="Z771" s="1207"/>
      <c r="AA771" s="1207"/>
      <c r="AB771" s="1207"/>
      <c r="AC771" s="1207"/>
      <c r="AD771" s="1207"/>
      <c r="AE771" s="1207"/>
      <c r="AF771" s="1207"/>
      <c r="AG771" s="1207"/>
      <c r="AH771" s="1207"/>
      <c r="AI771" s="1207"/>
      <c r="AJ771" s="1207"/>
      <c r="AK771" s="1207"/>
      <c r="AL771" s="1207"/>
      <c r="AM771" s="1207"/>
      <c r="AN771" s="1207"/>
      <c r="AO771" s="1207"/>
      <c r="AP771" s="1207"/>
      <c r="AQ771" s="1207"/>
      <c r="AR771" s="1207"/>
      <c r="AS771" s="1207"/>
      <c r="AT771" s="1207"/>
      <c r="AU771" s="1207"/>
      <c r="AV771" s="1207"/>
      <c r="AW771" s="1207"/>
      <c r="AX771" s="1207"/>
      <c r="AY771" s="1207"/>
      <c r="AZ771" s="1207"/>
      <c r="BA771" s="1207"/>
      <c r="BB771" s="1207"/>
      <c r="BC771" s="1207"/>
      <c r="BD771" s="1207"/>
      <c r="BE771" s="1207"/>
      <c r="BF771" s="1207"/>
      <c r="BG771" s="1207"/>
      <c r="BH771" s="1207"/>
      <c r="BI771" s="1207"/>
      <c r="BJ771" s="1207"/>
      <c r="BK771" s="1207"/>
      <c r="BL771" s="1207"/>
      <c r="BM771" s="1207"/>
      <c r="BN771" s="1207"/>
      <c r="BO771" s="1207"/>
      <c r="BP771" s="1207"/>
      <c r="BQ771" s="1207"/>
      <c r="BR771" s="1207"/>
      <c r="BS771" s="1207"/>
      <c r="BT771" s="1207"/>
      <c r="BU771" s="1207"/>
      <c r="BV771" s="1207"/>
      <c r="BW771" s="1207"/>
      <c r="BX771" s="1207"/>
      <c r="BY771" s="1207"/>
      <c r="BZ771" s="1207"/>
      <c r="CA771" s="1207"/>
      <c r="CB771" s="1207"/>
      <c r="CC771" s="1207"/>
      <c r="CD771" s="1207"/>
      <c r="CE771" s="1207"/>
      <c r="CF771" s="1207"/>
    </row>
    <row r="772" spans="1:84" ht="210" x14ac:dyDescent="0.2">
      <c r="A772" s="1355">
        <v>2022803</v>
      </c>
      <c r="B772" s="1172">
        <v>7658</v>
      </c>
      <c r="C772" s="1356" t="s">
        <v>681</v>
      </c>
      <c r="D772" s="1190" t="s">
        <v>694</v>
      </c>
      <c r="E772" s="1174" t="s">
        <v>1390</v>
      </c>
      <c r="F772" s="1174" t="s">
        <v>1391</v>
      </c>
      <c r="G772" s="1390">
        <v>44819</v>
      </c>
      <c r="H772" s="1390">
        <v>44864</v>
      </c>
      <c r="I772" s="1176">
        <v>2</v>
      </c>
      <c r="J772" s="1176" t="s">
        <v>689</v>
      </c>
      <c r="K772" s="1177" t="s">
        <v>772</v>
      </c>
      <c r="L772" s="1178" t="s">
        <v>983</v>
      </c>
      <c r="M772" s="1179">
        <v>437560000</v>
      </c>
      <c r="N772" s="1386" t="s">
        <v>770</v>
      </c>
      <c r="O772" s="1174" t="s">
        <v>769</v>
      </c>
      <c r="P772" s="1163" t="s">
        <v>680</v>
      </c>
      <c r="Q772" s="1207"/>
      <c r="R772" s="1357"/>
      <c r="S772" s="1357"/>
      <c r="T772" s="1357">
        <f>+Tabla16[[#This Row],[CDPS A 31 JULIO 2022]]-Tabla16[[#This Row],[CDP]]</f>
        <v>0</v>
      </c>
      <c r="U772" s="1357"/>
      <c r="V772" s="1357"/>
      <c r="W772" s="1357"/>
      <c r="X772" s="1207"/>
      <c r="Y772" s="1207"/>
      <c r="Z772" s="1207"/>
      <c r="AA772" s="1207"/>
      <c r="AB772" s="1207"/>
      <c r="AC772" s="1207"/>
      <c r="AD772" s="1207"/>
      <c r="AE772" s="1207"/>
      <c r="AF772" s="1207"/>
      <c r="AG772" s="1207"/>
      <c r="AH772" s="1207"/>
      <c r="AI772" s="1207"/>
      <c r="AJ772" s="1207"/>
      <c r="AK772" s="1207"/>
      <c r="AL772" s="1207"/>
      <c r="AM772" s="1207"/>
      <c r="AN772" s="1207"/>
      <c r="AO772" s="1207"/>
      <c r="AP772" s="1207"/>
      <c r="AQ772" s="1207"/>
      <c r="AR772" s="1207"/>
      <c r="AS772" s="1207"/>
      <c r="AT772" s="1207"/>
      <c r="AU772" s="1207"/>
      <c r="AV772" s="1207"/>
      <c r="AW772" s="1207"/>
      <c r="AX772" s="1207"/>
      <c r="AY772" s="1207"/>
      <c r="AZ772" s="1207"/>
      <c r="BA772" s="1207"/>
      <c r="BB772" s="1207"/>
      <c r="BC772" s="1207"/>
      <c r="BD772" s="1207"/>
      <c r="BE772" s="1207"/>
      <c r="BF772" s="1207"/>
      <c r="BG772" s="1207"/>
      <c r="BH772" s="1207"/>
      <c r="BI772" s="1207"/>
      <c r="BJ772" s="1207"/>
      <c r="BK772" s="1207"/>
      <c r="BL772" s="1207"/>
      <c r="BM772" s="1207"/>
      <c r="BN772" s="1207"/>
      <c r="BO772" s="1207"/>
      <c r="BP772" s="1207"/>
      <c r="BQ772" s="1207"/>
      <c r="BR772" s="1207"/>
      <c r="BS772" s="1207"/>
      <c r="BT772" s="1207"/>
      <c r="BU772" s="1207"/>
      <c r="BV772" s="1207"/>
      <c r="BW772" s="1207"/>
      <c r="BX772" s="1207"/>
      <c r="BY772" s="1207"/>
      <c r="BZ772" s="1207"/>
      <c r="CA772" s="1207"/>
      <c r="CB772" s="1207"/>
      <c r="CC772" s="1207"/>
      <c r="CD772" s="1207"/>
      <c r="CE772" s="1207"/>
      <c r="CF772" s="1207"/>
    </row>
    <row r="773" spans="1:84" ht="105" x14ac:dyDescent="0.2">
      <c r="A773" s="1355">
        <v>2022804</v>
      </c>
      <c r="B773" s="1172">
        <v>7658</v>
      </c>
      <c r="C773" s="1356" t="s">
        <v>681</v>
      </c>
      <c r="D773" s="1190" t="s">
        <v>694</v>
      </c>
      <c r="E773" s="1174">
        <v>80111600</v>
      </c>
      <c r="F773" s="1174" t="s">
        <v>1392</v>
      </c>
      <c r="G773" s="1390">
        <v>44789</v>
      </c>
      <c r="H773" s="1390">
        <v>44803</v>
      </c>
      <c r="I773" s="1176">
        <v>3.5</v>
      </c>
      <c r="J773" s="1176" t="s">
        <v>675</v>
      </c>
      <c r="K773" s="1177" t="s">
        <v>676</v>
      </c>
      <c r="L773" s="1178" t="s">
        <v>677</v>
      </c>
      <c r="M773" s="1179">
        <v>13475000</v>
      </c>
      <c r="N773" s="1386" t="s">
        <v>770</v>
      </c>
      <c r="O773" s="1174" t="s">
        <v>769</v>
      </c>
      <c r="P773" s="1163" t="s">
        <v>759</v>
      </c>
      <c r="Q773" s="1207"/>
      <c r="R773" s="1357"/>
      <c r="S773" s="1357"/>
      <c r="T773" s="1357">
        <f>+Tabla16[[#This Row],[CDPS A 31 JULIO 2022]]-Tabla16[[#This Row],[CDP]]</f>
        <v>0</v>
      </c>
      <c r="U773" s="1357"/>
      <c r="V773" s="1357"/>
      <c r="W773" s="1357"/>
      <c r="X773" s="1207"/>
      <c r="Y773" s="1207"/>
      <c r="Z773" s="1207"/>
      <c r="AA773" s="1207"/>
      <c r="AB773" s="1207"/>
      <c r="AC773" s="1207"/>
      <c r="AD773" s="1207"/>
      <c r="AE773" s="1207"/>
      <c r="AF773" s="1207"/>
      <c r="AG773" s="1207"/>
      <c r="AH773" s="1207"/>
      <c r="AI773" s="1207"/>
      <c r="AJ773" s="1207"/>
      <c r="AK773" s="1207"/>
      <c r="AL773" s="1207"/>
      <c r="AM773" s="1207"/>
      <c r="AN773" s="1207"/>
      <c r="AO773" s="1207"/>
      <c r="AP773" s="1207"/>
      <c r="AQ773" s="1207"/>
      <c r="AR773" s="1207"/>
      <c r="AS773" s="1207"/>
      <c r="AT773" s="1207"/>
      <c r="AU773" s="1207"/>
      <c r="AV773" s="1207"/>
      <c r="AW773" s="1207"/>
      <c r="AX773" s="1207"/>
      <c r="AY773" s="1207"/>
      <c r="AZ773" s="1207"/>
      <c r="BA773" s="1207"/>
      <c r="BB773" s="1207"/>
      <c r="BC773" s="1207"/>
      <c r="BD773" s="1207"/>
      <c r="BE773" s="1207"/>
      <c r="BF773" s="1207"/>
      <c r="BG773" s="1207"/>
      <c r="BH773" s="1207"/>
      <c r="BI773" s="1207"/>
      <c r="BJ773" s="1207"/>
      <c r="BK773" s="1207"/>
      <c r="BL773" s="1207"/>
      <c r="BM773" s="1207"/>
      <c r="BN773" s="1207"/>
      <c r="BO773" s="1207"/>
      <c r="BP773" s="1207"/>
      <c r="BQ773" s="1207"/>
      <c r="BR773" s="1207"/>
      <c r="BS773" s="1207"/>
      <c r="BT773" s="1207"/>
      <c r="BU773" s="1207"/>
      <c r="BV773" s="1207"/>
      <c r="BW773" s="1207"/>
      <c r="BX773" s="1207"/>
      <c r="BY773" s="1207"/>
      <c r="BZ773" s="1207"/>
      <c r="CA773" s="1207"/>
      <c r="CB773" s="1207"/>
      <c r="CC773" s="1207"/>
      <c r="CD773" s="1207"/>
      <c r="CE773" s="1207"/>
      <c r="CF773" s="1207"/>
    </row>
    <row r="774" spans="1:84" ht="105" x14ac:dyDescent="0.2">
      <c r="A774" s="1355">
        <v>2022805</v>
      </c>
      <c r="B774" s="1172">
        <v>7658</v>
      </c>
      <c r="C774" s="1356" t="s">
        <v>681</v>
      </c>
      <c r="D774" s="1190" t="s">
        <v>694</v>
      </c>
      <c r="E774" s="1174">
        <v>80111600</v>
      </c>
      <c r="F774" s="1174" t="s">
        <v>1393</v>
      </c>
      <c r="G774" s="1390">
        <v>44823</v>
      </c>
      <c r="H774" s="1390">
        <v>44823</v>
      </c>
      <c r="I774" s="1176">
        <v>4</v>
      </c>
      <c r="J774" s="1176" t="s">
        <v>675</v>
      </c>
      <c r="K774" s="1177" t="s">
        <v>676</v>
      </c>
      <c r="L774" s="1178" t="s">
        <v>677</v>
      </c>
      <c r="M774" s="1179">
        <v>30000000</v>
      </c>
      <c r="N774" s="1386" t="s">
        <v>770</v>
      </c>
      <c r="O774" s="1174" t="s">
        <v>769</v>
      </c>
      <c r="P774" s="1163" t="s">
        <v>759</v>
      </c>
      <c r="Q774" s="1207"/>
      <c r="R774" s="1357"/>
      <c r="S774" s="1357"/>
      <c r="T774" s="1357">
        <f>+Tabla16[[#This Row],[CDPS A 31 JULIO 2022]]-Tabla16[[#This Row],[CDP]]</f>
        <v>0</v>
      </c>
      <c r="U774" s="1357"/>
      <c r="V774" s="1357"/>
      <c r="W774" s="1357"/>
      <c r="X774" s="1207"/>
      <c r="Y774" s="1207"/>
      <c r="Z774" s="1207"/>
      <c r="AA774" s="1207"/>
      <c r="AB774" s="1207"/>
      <c r="AC774" s="1207"/>
      <c r="AD774" s="1207"/>
      <c r="AE774" s="1207"/>
      <c r="AF774" s="1207"/>
      <c r="AG774" s="1207"/>
      <c r="AH774" s="1207"/>
      <c r="AI774" s="1207"/>
      <c r="AJ774" s="1207"/>
      <c r="AK774" s="1207"/>
      <c r="AL774" s="1207"/>
      <c r="AM774" s="1207"/>
      <c r="AN774" s="1207"/>
      <c r="AO774" s="1207"/>
      <c r="AP774" s="1207"/>
      <c r="AQ774" s="1207"/>
      <c r="AR774" s="1207"/>
      <c r="AS774" s="1207"/>
      <c r="AT774" s="1207"/>
      <c r="AU774" s="1207"/>
      <c r="AV774" s="1207"/>
      <c r="AW774" s="1207"/>
      <c r="AX774" s="1207"/>
      <c r="AY774" s="1207"/>
      <c r="AZ774" s="1207"/>
      <c r="BA774" s="1207"/>
      <c r="BB774" s="1207"/>
      <c r="BC774" s="1207"/>
      <c r="BD774" s="1207"/>
      <c r="BE774" s="1207"/>
      <c r="BF774" s="1207"/>
      <c r="BG774" s="1207"/>
      <c r="BH774" s="1207"/>
      <c r="BI774" s="1207"/>
      <c r="BJ774" s="1207"/>
      <c r="BK774" s="1207"/>
      <c r="BL774" s="1207"/>
      <c r="BM774" s="1207"/>
      <c r="BN774" s="1207"/>
      <c r="BO774" s="1207"/>
      <c r="BP774" s="1207"/>
      <c r="BQ774" s="1207"/>
      <c r="BR774" s="1207"/>
      <c r="BS774" s="1207"/>
      <c r="BT774" s="1207"/>
      <c r="BU774" s="1207"/>
      <c r="BV774" s="1207"/>
      <c r="BW774" s="1207"/>
      <c r="BX774" s="1207"/>
      <c r="BY774" s="1207"/>
      <c r="BZ774" s="1207"/>
      <c r="CA774" s="1207"/>
      <c r="CB774" s="1207"/>
      <c r="CC774" s="1207"/>
      <c r="CD774" s="1207"/>
      <c r="CE774" s="1207"/>
      <c r="CF774" s="1207"/>
    </row>
    <row r="775" spans="1:84" ht="105" x14ac:dyDescent="0.2">
      <c r="A775" s="1355">
        <v>2022806</v>
      </c>
      <c r="B775" s="1172">
        <v>7658</v>
      </c>
      <c r="C775" s="1356" t="s">
        <v>681</v>
      </c>
      <c r="D775" s="1190" t="s">
        <v>694</v>
      </c>
      <c r="E775" s="1174">
        <v>80111600</v>
      </c>
      <c r="F775" s="1174" t="s">
        <v>1394</v>
      </c>
      <c r="G775" s="1390">
        <v>44829</v>
      </c>
      <c r="H775" s="1390">
        <v>44829</v>
      </c>
      <c r="I775" s="1176">
        <v>4</v>
      </c>
      <c r="J775" s="1176" t="s">
        <v>675</v>
      </c>
      <c r="K775" s="1177" t="s">
        <v>676</v>
      </c>
      <c r="L775" s="1178" t="s">
        <v>677</v>
      </c>
      <c r="M775" s="1179">
        <v>13200000</v>
      </c>
      <c r="N775" s="1386" t="s">
        <v>770</v>
      </c>
      <c r="O775" s="1174" t="s">
        <v>769</v>
      </c>
      <c r="P775" s="1163" t="s">
        <v>759</v>
      </c>
      <c r="Q775" s="1207"/>
      <c r="R775" s="1357"/>
      <c r="S775" s="1357"/>
      <c r="T775" s="1357">
        <f>+Tabla16[[#This Row],[CDPS A 31 JULIO 2022]]-Tabla16[[#This Row],[CDP]]</f>
        <v>0</v>
      </c>
      <c r="U775" s="1357"/>
      <c r="V775" s="1357"/>
      <c r="W775" s="1357"/>
      <c r="X775" s="1207"/>
      <c r="Y775" s="1207"/>
      <c r="Z775" s="1207"/>
      <c r="AA775" s="1207"/>
      <c r="AB775" s="1207"/>
      <c r="AC775" s="1207"/>
      <c r="AD775" s="1207"/>
      <c r="AE775" s="1207"/>
      <c r="AF775" s="1207"/>
      <c r="AG775" s="1207"/>
      <c r="AH775" s="1207"/>
      <c r="AI775" s="1207"/>
      <c r="AJ775" s="1207"/>
      <c r="AK775" s="1207"/>
      <c r="AL775" s="1207"/>
      <c r="AM775" s="1207"/>
      <c r="AN775" s="1207"/>
      <c r="AO775" s="1207"/>
      <c r="AP775" s="1207"/>
      <c r="AQ775" s="1207"/>
      <c r="AR775" s="1207"/>
      <c r="AS775" s="1207"/>
      <c r="AT775" s="1207"/>
      <c r="AU775" s="1207"/>
      <c r="AV775" s="1207"/>
      <c r="AW775" s="1207"/>
      <c r="AX775" s="1207"/>
      <c r="AY775" s="1207"/>
      <c r="AZ775" s="1207"/>
      <c r="BA775" s="1207"/>
      <c r="BB775" s="1207"/>
      <c r="BC775" s="1207"/>
      <c r="BD775" s="1207"/>
      <c r="BE775" s="1207"/>
      <c r="BF775" s="1207"/>
      <c r="BG775" s="1207"/>
      <c r="BH775" s="1207"/>
      <c r="BI775" s="1207"/>
      <c r="BJ775" s="1207"/>
      <c r="BK775" s="1207"/>
      <c r="BL775" s="1207"/>
      <c r="BM775" s="1207"/>
      <c r="BN775" s="1207"/>
      <c r="BO775" s="1207"/>
      <c r="BP775" s="1207"/>
      <c r="BQ775" s="1207"/>
      <c r="BR775" s="1207"/>
      <c r="BS775" s="1207"/>
      <c r="BT775" s="1207"/>
      <c r="BU775" s="1207"/>
      <c r="BV775" s="1207"/>
      <c r="BW775" s="1207"/>
      <c r="BX775" s="1207"/>
      <c r="BY775" s="1207"/>
      <c r="BZ775" s="1207"/>
      <c r="CA775" s="1207"/>
      <c r="CB775" s="1207"/>
      <c r="CC775" s="1207"/>
      <c r="CD775" s="1207"/>
      <c r="CE775" s="1207"/>
      <c r="CF775" s="1207"/>
    </row>
    <row r="776" spans="1:84" ht="105" x14ac:dyDescent="0.2">
      <c r="A776" s="1355">
        <v>2022807</v>
      </c>
      <c r="B776" s="1172">
        <v>7637</v>
      </c>
      <c r="C776" s="1356" t="s">
        <v>645</v>
      </c>
      <c r="D776" s="1190" t="s">
        <v>673</v>
      </c>
      <c r="E776" s="1174">
        <v>80111600</v>
      </c>
      <c r="F776" s="1174" t="s">
        <v>1395</v>
      </c>
      <c r="G776" s="1390">
        <v>44788</v>
      </c>
      <c r="H776" s="1390">
        <v>44819</v>
      </c>
      <c r="I776" s="1176">
        <v>3</v>
      </c>
      <c r="J776" s="1176" t="s">
        <v>675</v>
      </c>
      <c r="K776" s="1177" t="s">
        <v>676</v>
      </c>
      <c r="L776" s="1178" t="s">
        <v>677</v>
      </c>
      <c r="M776" s="1179">
        <v>9000000</v>
      </c>
      <c r="N776" s="1189" t="s">
        <v>678</v>
      </c>
      <c r="O776" s="1174" t="s">
        <v>679</v>
      </c>
      <c r="P776" s="1163" t="s">
        <v>759</v>
      </c>
      <c r="Q776" s="1207"/>
      <c r="R776" s="1357"/>
      <c r="S776" s="1357"/>
      <c r="T776" s="1357">
        <f>+Tabla16[[#This Row],[CDPS A 31 JULIO 2022]]-Tabla16[[#This Row],[CDP]]</f>
        <v>0</v>
      </c>
      <c r="U776" s="1357"/>
      <c r="V776" s="1357"/>
      <c r="W776" s="1357"/>
      <c r="X776" s="1207"/>
      <c r="Y776" s="1207"/>
      <c r="Z776" s="1207"/>
      <c r="AA776" s="1207"/>
      <c r="AB776" s="1207"/>
      <c r="AC776" s="1207"/>
      <c r="AD776" s="1207"/>
      <c r="AE776" s="1207"/>
      <c r="AF776" s="1207"/>
      <c r="AG776" s="1207"/>
      <c r="AH776" s="1207"/>
      <c r="AI776" s="1207"/>
      <c r="AJ776" s="1207"/>
      <c r="AK776" s="1207"/>
      <c r="AL776" s="1207"/>
      <c r="AM776" s="1207"/>
      <c r="AN776" s="1207"/>
      <c r="AO776" s="1207"/>
      <c r="AP776" s="1207"/>
      <c r="AQ776" s="1207"/>
      <c r="AR776" s="1207"/>
      <c r="AS776" s="1207"/>
      <c r="AT776" s="1207"/>
      <c r="AU776" s="1207"/>
      <c r="AV776" s="1207"/>
      <c r="AW776" s="1207"/>
      <c r="AX776" s="1207"/>
      <c r="AY776" s="1207"/>
      <c r="AZ776" s="1207"/>
      <c r="BA776" s="1207"/>
      <c r="BB776" s="1207"/>
      <c r="BC776" s="1207"/>
      <c r="BD776" s="1207"/>
      <c r="BE776" s="1207"/>
      <c r="BF776" s="1207"/>
      <c r="BG776" s="1207"/>
      <c r="BH776" s="1207"/>
      <c r="BI776" s="1207"/>
      <c r="BJ776" s="1207"/>
      <c r="BK776" s="1207"/>
      <c r="BL776" s="1207"/>
      <c r="BM776" s="1207"/>
      <c r="BN776" s="1207"/>
      <c r="BO776" s="1207"/>
      <c r="BP776" s="1207"/>
      <c r="BQ776" s="1207"/>
      <c r="BR776" s="1207"/>
      <c r="BS776" s="1207"/>
      <c r="BT776" s="1207"/>
      <c r="BU776" s="1207"/>
      <c r="BV776" s="1207"/>
      <c r="BW776" s="1207"/>
      <c r="BX776" s="1207"/>
      <c r="BY776" s="1207"/>
      <c r="BZ776" s="1207"/>
      <c r="CA776" s="1207"/>
      <c r="CB776" s="1207"/>
      <c r="CC776" s="1207"/>
      <c r="CD776" s="1207"/>
      <c r="CE776" s="1207"/>
      <c r="CF776" s="1207"/>
    </row>
    <row r="777" spans="1:84" ht="105" x14ac:dyDescent="0.2">
      <c r="A777" s="1355">
        <v>2022808</v>
      </c>
      <c r="B777" s="1172">
        <v>7655</v>
      </c>
      <c r="C777" s="1356" t="s">
        <v>670</v>
      </c>
      <c r="D777" s="1190" t="s">
        <v>673</v>
      </c>
      <c r="E777" s="1174">
        <v>80111600</v>
      </c>
      <c r="F777" s="1174" t="s">
        <v>1396</v>
      </c>
      <c r="G777" s="1390">
        <v>44788</v>
      </c>
      <c r="H777" s="1390">
        <v>44819</v>
      </c>
      <c r="I777" s="1176">
        <v>4.5</v>
      </c>
      <c r="J777" s="1176" t="s">
        <v>675</v>
      </c>
      <c r="K777" s="1177" t="s">
        <v>676</v>
      </c>
      <c r="L777" s="1178" t="s">
        <v>677</v>
      </c>
      <c r="M777" s="1179">
        <v>38500000</v>
      </c>
      <c r="N777" s="1391" t="s">
        <v>792</v>
      </c>
      <c r="O777" s="1174" t="s">
        <v>780</v>
      </c>
      <c r="P777" s="1159" t="s">
        <v>680</v>
      </c>
      <c r="Q777" s="1207"/>
      <c r="R777" s="1357"/>
      <c r="S777" s="1357"/>
      <c r="T777" s="1357">
        <f>+Tabla16[[#This Row],[CDPS A 31 JULIO 2022]]-Tabla16[[#This Row],[CDP]]</f>
        <v>0</v>
      </c>
      <c r="U777" s="1357"/>
      <c r="V777" s="1357"/>
      <c r="W777" s="1357"/>
      <c r="X777" s="1207"/>
      <c r="Y777" s="1207"/>
      <c r="Z777" s="1207"/>
      <c r="AA777" s="1207"/>
      <c r="AB777" s="1207"/>
      <c r="AC777" s="1207"/>
      <c r="AD777" s="1207"/>
      <c r="AE777" s="1207"/>
      <c r="AF777" s="1207"/>
      <c r="AG777" s="1207"/>
      <c r="AH777" s="1207"/>
      <c r="AI777" s="1207"/>
      <c r="AJ777" s="1207"/>
      <c r="AK777" s="1207"/>
      <c r="AL777" s="1207"/>
      <c r="AM777" s="1207"/>
      <c r="AN777" s="1207"/>
      <c r="AO777" s="1207"/>
      <c r="AP777" s="1207"/>
      <c r="AQ777" s="1207"/>
      <c r="AR777" s="1207"/>
      <c r="AS777" s="1207"/>
      <c r="AT777" s="1207"/>
      <c r="AU777" s="1207"/>
      <c r="AV777" s="1207"/>
      <c r="AW777" s="1207"/>
      <c r="AX777" s="1207"/>
      <c r="AY777" s="1207"/>
      <c r="AZ777" s="1207"/>
      <c r="BA777" s="1207"/>
      <c r="BB777" s="1207"/>
      <c r="BC777" s="1207"/>
      <c r="BD777" s="1207"/>
      <c r="BE777" s="1207"/>
      <c r="BF777" s="1207"/>
      <c r="BG777" s="1207"/>
      <c r="BH777" s="1207"/>
      <c r="BI777" s="1207"/>
      <c r="BJ777" s="1207"/>
      <c r="BK777" s="1207"/>
      <c r="BL777" s="1207"/>
      <c r="BM777" s="1207"/>
      <c r="BN777" s="1207"/>
      <c r="BO777" s="1207"/>
      <c r="BP777" s="1207"/>
      <c r="BQ777" s="1207"/>
      <c r="BR777" s="1207"/>
      <c r="BS777" s="1207"/>
      <c r="BT777" s="1207"/>
      <c r="BU777" s="1207"/>
      <c r="BV777" s="1207"/>
      <c r="BW777" s="1207"/>
      <c r="BX777" s="1207"/>
      <c r="BY777" s="1207"/>
      <c r="BZ777" s="1207"/>
      <c r="CA777" s="1207"/>
      <c r="CB777" s="1207"/>
      <c r="CC777" s="1207"/>
      <c r="CD777" s="1207"/>
      <c r="CE777" s="1207"/>
      <c r="CF777" s="1207"/>
    </row>
    <row r="778" spans="1:84" ht="180" x14ac:dyDescent="0.2">
      <c r="A778" s="1355">
        <v>2022809</v>
      </c>
      <c r="B778" s="1172">
        <v>7637</v>
      </c>
      <c r="C778" s="1356" t="s">
        <v>645</v>
      </c>
      <c r="D778" s="1173" t="s">
        <v>673</v>
      </c>
      <c r="E778" s="1202" t="s">
        <v>775</v>
      </c>
      <c r="F778" s="1388" t="s">
        <v>776</v>
      </c>
      <c r="G778" s="1387">
        <v>44762</v>
      </c>
      <c r="H778" s="1387">
        <v>44803</v>
      </c>
      <c r="I778" s="1176">
        <v>5</v>
      </c>
      <c r="J778" s="1176" t="s">
        <v>698</v>
      </c>
      <c r="K778" s="1177" t="s">
        <v>676</v>
      </c>
      <c r="L778" s="1177" t="s">
        <v>737</v>
      </c>
      <c r="M778" s="1179">
        <f>34050000+118550434+212901243</f>
        <v>365501677</v>
      </c>
      <c r="N778" s="1189" t="s">
        <v>678</v>
      </c>
      <c r="O778" s="1174" t="s">
        <v>679</v>
      </c>
      <c r="P778" s="1298" t="s">
        <v>680</v>
      </c>
      <c r="Q778" s="1207"/>
      <c r="R778" s="1207"/>
      <c r="S778" s="1207"/>
      <c r="T778" s="1207">
        <f>+Tabla16[[#This Row],[CDPS A 31 JULIO 2022]]-Tabla16[[#This Row],[CDP]]</f>
        <v>0</v>
      </c>
      <c r="U778" s="1207"/>
      <c r="V778" s="1207"/>
      <c r="W778" s="1207"/>
      <c r="X778" s="1207"/>
      <c r="Y778" s="1207"/>
      <c r="Z778" s="1207"/>
      <c r="AA778" s="1207"/>
      <c r="AB778" s="1207"/>
      <c r="AC778" s="1207"/>
      <c r="AD778" s="1207"/>
      <c r="AE778" s="1207"/>
      <c r="AF778" s="1207"/>
      <c r="AG778" s="1207"/>
      <c r="AH778" s="1207"/>
      <c r="AI778" s="1207"/>
      <c r="AJ778" s="1207"/>
      <c r="AK778" s="1207"/>
      <c r="AL778" s="1207"/>
      <c r="AM778" s="1207"/>
      <c r="AN778" s="1207"/>
      <c r="AO778" s="1207"/>
      <c r="AP778" s="1207"/>
      <c r="AQ778" s="1207"/>
      <c r="AR778" s="1207"/>
      <c r="AS778" s="1207"/>
      <c r="AT778" s="1207"/>
      <c r="AU778" s="1207"/>
      <c r="AV778" s="1207"/>
      <c r="AW778" s="1207"/>
      <c r="AX778" s="1207"/>
      <c r="AY778" s="1207"/>
      <c r="AZ778" s="1207"/>
      <c r="BA778" s="1207"/>
      <c r="BB778" s="1207"/>
      <c r="BC778" s="1207"/>
      <c r="BD778" s="1207"/>
      <c r="BE778" s="1207"/>
      <c r="BF778" s="1207"/>
      <c r="BG778" s="1207"/>
      <c r="BH778" s="1207"/>
      <c r="BI778" s="1207"/>
      <c r="BJ778" s="1207"/>
      <c r="BK778" s="1207"/>
      <c r="BL778" s="1207"/>
      <c r="BM778" s="1207"/>
      <c r="BN778" s="1207"/>
      <c r="BO778" s="1207"/>
      <c r="BP778" s="1207"/>
      <c r="BQ778" s="1207"/>
      <c r="BR778" s="1207"/>
      <c r="BS778" s="1207"/>
      <c r="BT778" s="1207"/>
      <c r="BU778" s="1207"/>
      <c r="BV778" s="1207"/>
      <c r="BW778" s="1207"/>
      <c r="BX778" s="1207"/>
      <c r="BY778" s="1207"/>
      <c r="BZ778" s="1207"/>
      <c r="CA778" s="1207"/>
      <c r="CB778" s="1207"/>
      <c r="CC778" s="1207"/>
      <c r="CD778" s="1207"/>
      <c r="CE778" s="1207"/>
      <c r="CF778" s="1207"/>
    </row>
    <row r="779" spans="1:84" ht="105" x14ac:dyDescent="0.2">
      <c r="A779" s="1355">
        <v>2022810</v>
      </c>
      <c r="B779" s="1172">
        <v>7637</v>
      </c>
      <c r="C779" s="1356" t="s">
        <v>645</v>
      </c>
      <c r="D779" s="1190" t="s">
        <v>673</v>
      </c>
      <c r="E779" s="1174">
        <v>80111600</v>
      </c>
      <c r="F779" s="1174" t="s">
        <v>1397</v>
      </c>
      <c r="G779" s="1390">
        <v>44788</v>
      </c>
      <c r="H779" s="1390">
        <v>44819</v>
      </c>
      <c r="I779" s="1176">
        <v>3</v>
      </c>
      <c r="J779" s="1176" t="s">
        <v>675</v>
      </c>
      <c r="K779" s="1177" t="s">
        <v>676</v>
      </c>
      <c r="L779" s="1178" t="s">
        <v>677</v>
      </c>
      <c r="M779" s="1179">
        <v>18000000</v>
      </c>
      <c r="N779" s="1189" t="s">
        <v>678</v>
      </c>
      <c r="O779" s="1174" t="s">
        <v>679</v>
      </c>
      <c r="P779" s="1163" t="s">
        <v>759</v>
      </c>
      <c r="Q779" s="1207"/>
      <c r="R779" s="1357"/>
      <c r="S779" s="1357"/>
      <c r="T779" s="1357">
        <f>+Tabla16[[#This Row],[CDPS A 31 JULIO 2022]]-Tabla16[[#This Row],[CDP]]</f>
        <v>0</v>
      </c>
      <c r="U779" s="1357"/>
      <c r="V779" s="1357"/>
      <c r="W779" s="1357"/>
      <c r="X779" s="1207"/>
      <c r="Y779" s="1207"/>
      <c r="Z779" s="1207"/>
      <c r="AA779" s="1207"/>
      <c r="AB779" s="1207"/>
      <c r="AC779" s="1207"/>
      <c r="AD779" s="1207"/>
      <c r="AE779" s="1207"/>
      <c r="AF779" s="1207"/>
      <c r="AG779" s="1207"/>
      <c r="AH779" s="1207"/>
      <c r="AI779" s="1207"/>
      <c r="AJ779" s="1207"/>
      <c r="AK779" s="1207"/>
      <c r="AL779" s="1207"/>
      <c r="AM779" s="1207"/>
      <c r="AN779" s="1207"/>
      <c r="AO779" s="1207"/>
      <c r="AP779" s="1207"/>
      <c r="AQ779" s="1207"/>
      <c r="AR779" s="1207"/>
      <c r="AS779" s="1207"/>
      <c r="AT779" s="1207"/>
      <c r="AU779" s="1207"/>
      <c r="AV779" s="1207"/>
      <c r="AW779" s="1207"/>
      <c r="AX779" s="1207"/>
      <c r="AY779" s="1207"/>
      <c r="AZ779" s="1207"/>
      <c r="BA779" s="1207"/>
      <c r="BB779" s="1207"/>
      <c r="BC779" s="1207"/>
      <c r="BD779" s="1207"/>
      <c r="BE779" s="1207"/>
      <c r="BF779" s="1207"/>
      <c r="BG779" s="1207"/>
      <c r="BH779" s="1207"/>
      <c r="BI779" s="1207"/>
      <c r="BJ779" s="1207"/>
      <c r="BK779" s="1207"/>
      <c r="BL779" s="1207"/>
      <c r="BM779" s="1207"/>
      <c r="BN779" s="1207"/>
      <c r="BO779" s="1207"/>
      <c r="BP779" s="1207"/>
      <c r="BQ779" s="1207"/>
      <c r="BR779" s="1207"/>
      <c r="BS779" s="1207"/>
      <c r="BT779" s="1207"/>
      <c r="BU779" s="1207"/>
      <c r="BV779" s="1207"/>
      <c r="BW779" s="1207"/>
      <c r="BX779" s="1207"/>
      <c r="BY779" s="1207"/>
      <c r="BZ779" s="1207"/>
      <c r="CA779" s="1207"/>
      <c r="CB779" s="1207"/>
      <c r="CC779" s="1207"/>
      <c r="CD779" s="1207"/>
      <c r="CE779" s="1207"/>
      <c r="CF779" s="1207"/>
    </row>
    <row r="780" spans="1:84" ht="105" x14ac:dyDescent="0.2">
      <c r="A780" s="1355">
        <v>2022814</v>
      </c>
      <c r="B780" s="1172">
        <v>7637</v>
      </c>
      <c r="C780" s="1356" t="s">
        <v>645</v>
      </c>
      <c r="D780" s="1190" t="s">
        <v>673</v>
      </c>
      <c r="E780" s="1174">
        <v>80111600</v>
      </c>
      <c r="F780" s="1174" t="s">
        <v>1402</v>
      </c>
      <c r="G780" s="1390">
        <v>44788</v>
      </c>
      <c r="H780" s="1390">
        <v>44819</v>
      </c>
      <c r="I780" s="1176">
        <v>3</v>
      </c>
      <c r="J780" s="1176" t="s">
        <v>675</v>
      </c>
      <c r="K780" s="1177" t="s">
        <v>676</v>
      </c>
      <c r="L780" s="1178" t="s">
        <v>677</v>
      </c>
      <c r="M780" s="1179">
        <v>18600000</v>
      </c>
      <c r="N780" s="1386" t="s">
        <v>706</v>
      </c>
      <c r="O780" s="1174" t="s">
        <v>679</v>
      </c>
      <c r="P780" s="1163" t="s">
        <v>759</v>
      </c>
      <c r="Q780" s="1207"/>
      <c r="R780" s="1357"/>
      <c r="S780" s="1357"/>
      <c r="T780" s="1357">
        <f>+Tabla16[[#This Row],[CDPS A 31 JULIO 2022]]-Tabla16[[#This Row],[CDP]]</f>
        <v>0</v>
      </c>
      <c r="U780" s="1357"/>
      <c r="V780" s="1357"/>
      <c r="W780" s="1357"/>
      <c r="X780" s="1207"/>
      <c r="Y780" s="1207"/>
      <c r="Z780" s="1207"/>
      <c r="AA780" s="1207"/>
      <c r="AB780" s="1207"/>
      <c r="AC780" s="1207"/>
      <c r="AD780" s="1207"/>
      <c r="AE780" s="1207"/>
      <c r="AF780" s="1207"/>
      <c r="AG780" s="1207"/>
      <c r="AH780" s="1207"/>
      <c r="AI780" s="1207"/>
      <c r="AJ780" s="1207"/>
      <c r="AK780" s="1207"/>
      <c r="AL780" s="1207"/>
      <c r="AM780" s="1207"/>
      <c r="AN780" s="1207"/>
      <c r="AO780" s="1207"/>
      <c r="AP780" s="1207"/>
      <c r="AQ780" s="1207"/>
      <c r="AR780" s="1207"/>
      <c r="AS780" s="1207"/>
      <c r="AT780" s="1207"/>
      <c r="AU780" s="1207"/>
      <c r="AV780" s="1207"/>
      <c r="AW780" s="1207"/>
      <c r="AX780" s="1207"/>
      <c r="AY780" s="1207"/>
      <c r="AZ780" s="1207"/>
      <c r="BA780" s="1207"/>
      <c r="BB780" s="1207"/>
      <c r="BC780" s="1207"/>
      <c r="BD780" s="1207"/>
      <c r="BE780" s="1207"/>
      <c r="BF780" s="1207"/>
      <c r="BG780" s="1207"/>
      <c r="BH780" s="1207"/>
      <c r="BI780" s="1207"/>
      <c r="BJ780" s="1207"/>
      <c r="BK780" s="1207"/>
      <c r="BL780" s="1207"/>
      <c r="BM780" s="1207"/>
      <c r="BN780" s="1207"/>
      <c r="BO780" s="1207"/>
      <c r="BP780" s="1207"/>
      <c r="BQ780" s="1207"/>
      <c r="BR780" s="1207"/>
      <c r="BS780" s="1207"/>
      <c r="BT780" s="1207"/>
      <c r="BU780" s="1207"/>
      <c r="BV780" s="1207"/>
      <c r="BW780" s="1207"/>
      <c r="BX780" s="1207"/>
      <c r="BY780" s="1207"/>
      <c r="BZ780" s="1207"/>
      <c r="CA780" s="1207"/>
      <c r="CB780" s="1207"/>
      <c r="CC780" s="1207"/>
      <c r="CD780" s="1207"/>
      <c r="CE780" s="1207"/>
      <c r="CF780" s="1207"/>
    </row>
    <row r="781" spans="1:84" ht="105" x14ac:dyDescent="0.2">
      <c r="A781" s="1355">
        <v>2022815</v>
      </c>
      <c r="B781" s="1172">
        <v>7637</v>
      </c>
      <c r="C781" s="1356" t="s">
        <v>645</v>
      </c>
      <c r="D781" s="1190" t="s">
        <v>673</v>
      </c>
      <c r="E781" s="1174">
        <v>80111600</v>
      </c>
      <c r="F781" s="1174" t="s">
        <v>1403</v>
      </c>
      <c r="G781" s="1390">
        <v>44788</v>
      </c>
      <c r="H781" s="1390">
        <v>44819</v>
      </c>
      <c r="I781" s="1176">
        <v>3</v>
      </c>
      <c r="J781" s="1176" t="s">
        <v>675</v>
      </c>
      <c r="K781" s="1177" t="s">
        <v>676</v>
      </c>
      <c r="L781" s="1178" t="s">
        <v>677</v>
      </c>
      <c r="M781" s="1179">
        <v>20400000</v>
      </c>
      <c r="N781" s="1386" t="s">
        <v>706</v>
      </c>
      <c r="O781" s="1174" t="s">
        <v>679</v>
      </c>
      <c r="P781" s="1163" t="s">
        <v>759</v>
      </c>
      <c r="Q781" s="1207"/>
      <c r="R781" s="1357"/>
      <c r="S781" s="1357"/>
      <c r="T781" s="1357">
        <f>+Tabla16[[#This Row],[CDPS A 31 JULIO 2022]]-Tabla16[[#This Row],[CDP]]</f>
        <v>0</v>
      </c>
      <c r="U781" s="1357"/>
      <c r="V781" s="1357"/>
      <c r="W781" s="1357"/>
      <c r="X781" s="1207"/>
      <c r="Y781" s="1207"/>
      <c r="Z781" s="1207"/>
      <c r="AA781" s="1207"/>
      <c r="AB781" s="1207"/>
      <c r="AC781" s="1207"/>
      <c r="AD781" s="1207"/>
      <c r="AE781" s="1207"/>
      <c r="AF781" s="1207"/>
      <c r="AG781" s="1207"/>
      <c r="AH781" s="1207"/>
      <c r="AI781" s="1207"/>
      <c r="AJ781" s="1207"/>
      <c r="AK781" s="1207"/>
      <c r="AL781" s="1207"/>
      <c r="AM781" s="1207"/>
      <c r="AN781" s="1207"/>
      <c r="AO781" s="1207"/>
      <c r="AP781" s="1207"/>
      <c r="AQ781" s="1207"/>
      <c r="AR781" s="1207"/>
      <c r="AS781" s="1207"/>
      <c r="AT781" s="1207"/>
      <c r="AU781" s="1207"/>
      <c r="AV781" s="1207"/>
      <c r="AW781" s="1207"/>
      <c r="AX781" s="1207"/>
      <c r="AY781" s="1207"/>
      <c r="AZ781" s="1207"/>
      <c r="BA781" s="1207"/>
      <c r="BB781" s="1207"/>
      <c r="BC781" s="1207"/>
      <c r="BD781" s="1207"/>
      <c r="BE781" s="1207"/>
      <c r="BF781" s="1207"/>
      <c r="BG781" s="1207"/>
      <c r="BH781" s="1207"/>
      <c r="BI781" s="1207"/>
      <c r="BJ781" s="1207"/>
      <c r="BK781" s="1207"/>
      <c r="BL781" s="1207"/>
      <c r="BM781" s="1207"/>
      <c r="BN781" s="1207"/>
      <c r="BO781" s="1207"/>
      <c r="BP781" s="1207"/>
      <c r="BQ781" s="1207"/>
      <c r="BR781" s="1207"/>
      <c r="BS781" s="1207"/>
      <c r="BT781" s="1207"/>
      <c r="BU781" s="1207"/>
      <c r="BV781" s="1207"/>
      <c r="BW781" s="1207"/>
      <c r="BX781" s="1207"/>
      <c r="BY781" s="1207"/>
      <c r="BZ781" s="1207"/>
      <c r="CA781" s="1207"/>
      <c r="CB781" s="1207"/>
      <c r="CC781" s="1207"/>
      <c r="CD781" s="1207"/>
      <c r="CE781" s="1207"/>
      <c r="CF781" s="1207"/>
    </row>
    <row r="782" spans="1:84" ht="105" x14ac:dyDescent="0.2">
      <c r="A782" s="1355">
        <v>2022816</v>
      </c>
      <c r="B782" s="1172">
        <v>7637</v>
      </c>
      <c r="C782" s="1356" t="s">
        <v>645</v>
      </c>
      <c r="D782" s="1190" t="s">
        <v>673</v>
      </c>
      <c r="E782" s="1174">
        <v>80111600</v>
      </c>
      <c r="F782" s="1174" t="s">
        <v>1404</v>
      </c>
      <c r="G782" s="1390">
        <v>44788</v>
      </c>
      <c r="H782" s="1390">
        <v>44819</v>
      </c>
      <c r="I782" s="1176">
        <v>3</v>
      </c>
      <c r="J782" s="1176" t="s">
        <v>675</v>
      </c>
      <c r="K782" s="1177" t="s">
        <v>676</v>
      </c>
      <c r="L782" s="1178" t="s">
        <v>677</v>
      </c>
      <c r="M782" s="1179">
        <v>20400000</v>
      </c>
      <c r="N782" s="1386" t="s">
        <v>706</v>
      </c>
      <c r="O782" s="1174" t="s">
        <v>679</v>
      </c>
      <c r="P782" s="1163" t="s">
        <v>759</v>
      </c>
      <c r="Q782" s="1207"/>
      <c r="R782" s="1357"/>
      <c r="S782" s="1357"/>
      <c r="T782" s="1357">
        <f>+Tabla16[[#This Row],[CDPS A 31 JULIO 2022]]-Tabla16[[#This Row],[CDP]]</f>
        <v>0</v>
      </c>
      <c r="U782" s="1357"/>
      <c r="V782" s="1357"/>
      <c r="W782" s="1357"/>
      <c r="X782" s="1207"/>
      <c r="Y782" s="1207"/>
      <c r="Z782" s="1207"/>
      <c r="AA782" s="1207"/>
      <c r="AB782" s="1207"/>
      <c r="AC782" s="1207"/>
      <c r="AD782" s="1207"/>
      <c r="AE782" s="1207"/>
      <c r="AF782" s="1207"/>
      <c r="AG782" s="1207"/>
      <c r="AH782" s="1207"/>
      <c r="AI782" s="1207"/>
      <c r="AJ782" s="1207"/>
      <c r="AK782" s="1207"/>
      <c r="AL782" s="1207"/>
      <c r="AM782" s="1207"/>
      <c r="AN782" s="1207"/>
      <c r="AO782" s="1207"/>
      <c r="AP782" s="1207"/>
      <c r="AQ782" s="1207"/>
      <c r="AR782" s="1207"/>
      <c r="AS782" s="1207"/>
      <c r="AT782" s="1207"/>
      <c r="AU782" s="1207"/>
      <c r="AV782" s="1207"/>
      <c r="AW782" s="1207"/>
      <c r="AX782" s="1207"/>
      <c r="AY782" s="1207"/>
      <c r="AZ782" s="1207"/>
      <c r="BA782" s="1207"/>
      <c r="BB782" s="1207"/>
      <c r="BC782" s="1207"/>
      <c r="BD782" s="1207"/>
      <c r="BE782" s="1207"/>
      <c r="BF782" s="1207"/>
      <c r="BG782" s="1207"/>
      <c r="BH782" s="1207"/>
      <c r="BI782" s="1207"/>
      <c r="BJ782" s="1207"/>
      <c r="BK782" s="1207"/>
      <c r="BL782" s="1207"/>
      <c r="BM782" s="1207"/>
      <c r="BN782" s="1207"/>
      <c r="BO782" s="1207"/>
      <c r="BP782" s="1207"/>
      <c r="BQ782" s="1207"/>
      <c r="BR782" s="1207"/>
      <c r="BS782" s="1207"/>
      <c r="BT782" s="1207"/>
      <c r="BU782" s="1207"/>
      <c r="BV782" s="1207"/>
      <c r="BW782" s="1207"/>
      <c r="BX782" s="1207"/>
      <c r="BY782" s="1207"/>
      <c r="BZ782" s="1207"/>
      <c r="CA782" s="1207"/>
      <c r="CB782" s="1207"/>
      <c r="CC782" s="1207"/>
      <c r="CD782" s="1207"/>
      <c r="CE782" s="1207"/>
      <c r="CF782" s="1207"/>
    </row>
    <row r="783" spans="1:84" ht="105" x14ac:dyDescent="0.2">
      <c r="A783" s="1355">
        <v>2022817</v>
      </c>
      <c r="B783" s="1172">
        <v>7637</v>
      </c>
      <c r="C783" s="1356" t="s">
        <v>645</v>
      </c>
      <c r="D783" s="1190" t="s">
        <v>673</v>
      </c>
      <c r="E783" s="1174">
        <v>80111600</v>
      </c>
      <c r="F783" s="1174" t="s">
        <v>1405</v>
      </c>
      <c r="G783" s="1390">
        <v>44788</v>
      </c>
      <c r="H783" s="1390">
        <v>44819</v>
      </c>
      <c r="I783" s="1176">
        <v>3</v>
      </c>
      <c r="J783" s="1176" t="s">
        <v>675</v>
      </c>
      <c r="K783" s="1177" t="s">
        <v>676</v>
      </c>
      <c r="L783" s="1178" t="s">
        <v>677</v>
      </c>
      <c r="M783" s="1179">
        <v>18600000</v>
      </c>
      <c r="N783" s="1189" t="s">
        <v>678</v>
      </c>
      <c r="O783" s="1174" t="s">
        <v>679</v>
      </c>
      <c r="P783" s="1163" t="s">
        <v>759</v>
      </c>
      <c r="Q783" s="1207"/>
      <c r="R783" s="1357"/>
      <c r="S783" s="1357"/>
      <c r="T783" s="1357">
        <f>+Tabla16[[#This Row],[CDPS A 31 JULIO 2022]]-Tabla16[[#This Row],[CDP]]</f>
        <v>0</v>
      </c>
      <c r="U783" s="1357"/>
      <c r="V783" s="1357"/>
      <c r="W783" s="1357"/>
      <c r="X783" s="1207"/>
      <c r="Y783" s="1207"/>
      <c r="Z783" s="1207"/>
      <c r="AA783" s="1207"/>
      <c r="AB783" s="1207"/>
      <c r="AC783" s="1207"/>
      <c r="AD783" s="1207"/>
      <c r="AE783" s="1207"/>
      <c r="AF783" s="1207"/>
      <c r="AG783" s="1207"/>
      <c r="AH783" s="1207"/>
      <c r="AI783" s="1207"/>
      <c r="AJ783" s="1207"/>
      <c r="AK783" s="1207"/>
      <c r="AL783" s="1207"/>
      <c r="AM783" s="1207"/>
      <c r="AN783" s="1207"/>
      <c r="AO783" s="1207"/>
      <c r="AP783" s="1207"/>
      <c r="AQ783" s="1207"/>
      <c r="AR783" s="1207"/>
      <c r="AS783" s="1207"/>
      <c r="AT783" s="1207"/>
      <c r="AU783" s="1207"/>
      <c r="AV783" s="1207"/>
      <c r="AW783" s="1207"/>
      <c r="AX783" s="1207"/>
      <c r="AY783" s="1207"/>
      <c r="AZ783" s="1207"/>
      <c r="BA783" s="1207"/>
      <c r="BB783" s="1207"/>
      <c r="BC783" s="1207"/>
      <c r="BD783" s="1207"/>
      <c r="BE783" s="1207"/>
      <c r="BF783" s="1207"/>
      <c r="BG783" s="1207"/>
      <c r="BH783" s="1207"/>
      <c r="BI783" s="1207"/>
      <c r="BJ783" s="1207"/>
      <c r="BK783" s="1207"/>
      <c r="BL783" s="1207"/>
      <c r="BM783" s="1207"/>
      <c r="BN783" s="1207"/>
      <c r="BO783" s="1207"/>
      <c r="BP783" s="1207"/>
      <c r="BQ783" s="1207"/>
      <c r="BR783" s="1207"/>
      <c r="BS783" s="1207"/>
      <c r="BT783" s="1207"/>
      <c r="BU783" s="1207"/>
      <c r="BV783" s="1207"/>
      <c r="BW783" s="1207"/>
      <c r="BX783" s="1207"/>
      <c r="BY783" s="1207"/>
      <c r="BZ783" s="1207"/>
      <c r="CA783" s="1207"/>
      <c r="CB783" s="1207"/>
      <c r="CC783" s="1207"/>
      <c r="CD783" s="1207"/>
      <c r="CE783" s="1207"/>
      <c r="CF783" s="1207"/>
    </row>
    <row r="784" spans="1:84" ht="105" x14ac:dyDescent="0.2">
      <c r="A784" s="1355">
        <v>2022818</v>
      </c>
      <c r="B784" s="1172">
        <v>7637</v>
      </c>
      <c r="C784" s="1356" t="s">
        <v>645</v>
      </c>
      <c r="D784" s="1190" t="s">
        <v>673</v>
      </c>
      <c r="E784" s="1174">
        <v>80111600</v>
      </c>
      <c r="F784" s="1174" t="s">
        <v>1406</v>
      </c>
      <c r="G784" s="1390">
        <v>44788</v>
      </c>
      <c r="H784" s="1390">
        <v>44819</v>
      </c>
      <c r="I784" s="1176">
        <v>2</v>
      </c>
      <c r="J784" s="1176" t="s">
        <v>675</v>
      </c>
      <c r="K784" s="1177" t="s">
        <v>676</v>
      </c>
      <c r="L784" s="1178" t="s">
        <v>677</v>
      </c>
      <c r="M784" s="1179">
        <v>10350000</v>
      </c>
      <c r="N784" s="1189" t="s">
        <v>678</v>
      </c>
      <c r="O784" s="1174" t="s">
        <v>679</v>
      </c>
      <c r="P784" s="1163" t="s">
        <v>759</v>
      </c>
      <c r="Q784" s="1207"/>
      <c r="R784" s="1357"/>
      <c r="S784" s="1357"/>
      <c r="T784" s="1357">
        <f>+Tabla16[[#This Row],[CDPS A 31 JULIO 2022]]-Tabla16[[#This Row],[CDP]]</f>
        <v>0</v>
      </c>
      <c r="U784" s="1357"/>
      <c r="V784" s="1357"/>
      <c r="W784" s="1357"/>
      <c r="X784" s="1207"/>
      <c r="Y784" s="1207"/>
      <c r="Z784" s="1207"/>
      <c r="AA784" s="1207"/>
      <c r="AB784" s="1207"/>
      <c r="AC784" s="1207"/>
      <c r="AD784" s="1207"/>
      <c r="AE784" s="1207"/>
      <c r="AF784" s="1207"/>
      <c r="AG784" s="1207"/>
      <c r="AH784" s="1207"/>
      <c r="AI784" s="1207"/>
      <c r="AJ784" s="1207"/>
      <c r="AK784" s="1207"/>
      <c r="AL784" s="1207"/>
      <c r="AM784" s="1207"/>
      <c r="AN784" s="1207"/>
      <c r="AO784" s="1207"/>
      <c r="AP784" s="1207"/>
      <c r="AQ784" s="1207"/>
      <c r="AR784" s="1207"/>
      <c r="AS784" s="1207"/>
      <c r="AT784" s="1207"/>
      <c r="AU784" s="1207"/>
      <c r="AV784" s="1207"/>
      <c r="AW784" s="1207"/>
      <c r="AX784" s="1207"/>
      <c r="AY784" s="1207"/>
      <c r="AZ784" s="1207"/>
      <c r="BA784" s="1207"/>
      <c r="BB784" s="1207"/>
      <c r="BC784" s="1207"/>
      <c r="BD784" s="1207"/>
      <c r="BE784" s="1207"/>
      <c r="BF784" s="1207"/>
      <c r="BG784" s="1207"/>
      <c r="BH784" s="1207"/>
      <c r="BI784" s="1207"/>
      <c r="BJ784" s="1207"/>
      <c r="BK784" s="1207"/>
      <c r="BL784" s="1207"/>
      <c r="BM784" s="1207"/>
      <c r="BN784" s="1207"/>
      <c r="BO784" s="1207"/>
      <c r="BP784" s="1207"/>
      <c r="BQ784" s="1207"/>
      <c r="BR784" s="1207"/>
      <c r="BS784" s="1207"/>
      <c r="BT784" s="1207"/>
      <c r="BU784" s="1207"/>
      <c r="BV784" s="1207"/>
      <c r="BW784" s="1207"/>
      <c r="BX784" s="1207"/>
      <c r="BY784" s="1207"/>
      <c r="BZ784" s="1207"/>
      <c r="CA784" s="1207"/>
      <c r="CB784" s="1207"/>
      <c r="CC784" s="1207"/>
      <c r="CD784" s="1207"/>
      <c r="CE784" s="1207"/>
      <c r="CF784" s="1207"/>
    </row>
    <row r="785" spans="1:84" ht="105" x14ac:dyDescent="0.2">
      <c r="A785" s="1355">
        <v>2022819</v>
      </c>
      <c r="B785" s="1172">
        <v>7637</v>
      </c>
      <c r="C785" s="1356" t="s">
        <v>645</v>
      </c>
      <c r="D785" s="1190" t="s">
        <v>673</v>
      </c>
      <c r="E785" s="1174">
        <v>80111600</v>
      </c>
      <c r="F785" s="1174" t="s">
        <v>1407</v>
      </c>
      <c r="G785" s="1390">
        <v>44788</v>
      </c>
      <c r="H785" s="1390">
        <v>44819</v>
      </c>
      <c r="I785" s="1176">
        <v>3.5</v>
      </c>
      <c r="J785" s="1176" t="s">
        <v>675</v>
      </c>
      <c r="K785" s="1177" t="s">
        <v>676</v>
      </c>
      <c r="L785" s="1178" t="s">
        <v>677</v>
      </c>
      <c r="M785" s="1179">
        <v>13500000</v>
      </c>
      <c r="N785" s="1189" t="s">
        <v>678</v>
      </c>
      <c r="O785" s="1174" t="s">
        <v>679</v>
      </c>
      <c r="P785" s="1163" t="s">
        <v>759</v>
      </c>
      <c r="Q785" s="1207"/>
      <c r="R785" s="1357"/>
      <c r="S785" s="1357"/>
      <c r="T785" s="1357">
        <f>+Tabla16[[#This Row],[CDPS A 31 JULIO 2022]]-Tabla16[[#This Row],[CDP]]</f>
        <v>0</v>
      </c>
      <c r="U785" s="1357"/>
      <c r="V785" s="1357"/>
      <c r="W785" s="1357"/>
      <c r="X785" s="1207"/>
      <c r="Y785" s="1207"/>
      <c r="Z785" s="1207"/>
      <c r="AA785" s="1207"/>
      <c r="AB785" s="1207"/>
      <c r="AC785" s="1207"/>
      <c r="AD785" s="1207"/>
      <c r="AE785" s="1207"/>
      <c r="AF785" s="1207"/>
      <c r="AG785" s="1207"/>
      <c r="AH785" s="1207"/>
      <c r="AI785" s="1207"/>
      <c r="AJ785" s="1207"/>
      <c r="AK785" s="1207"/>
      <c r="AL785" s="1207"/>
      <c r="AM785" s="1207"/>
      <c r="AN785" s="1207"/>
      <c r="AO785" s="1207"/>
      <c r="AP785" s="1207"/>
      <c r="AQ785" s="1207"/>
      <c r="AR785" s="1207"/>
      <c r="AS785" s="1207"/>
      <c r="AT785" s="1207"/>
      <c r="AU785" s="1207"/>
      <c r="AV785" s="1207"/>
      <c r="AW785" s="1207"/>
      <c r="AX785" s="1207"/>
      <c r="AY785" s="1207"/>
      <c r="AZ785" s="1207"/>
      <c r="BA785" s="1207"/>
      <c r="BB785" s="1207"/>
      <c r="BC785" s="1207"/>
      <c r="BD785" s="1207"/>
      <c r="BE785" s="1207"/>
      <c r="BF785" s="1207"/>
      <c r="BG785" s="1207"/>
      <c r="BH785" s="1207"/>
      <c r="BI785" s="1207"/>
      <c r="BJ785" s="1207"/>
      <c r="BK785" s="1207"/>
      <c r="BL785" s="1207"/>
      <c r="BM785" s="1207"/>
      <c r="BN785" s="1207"/>
      <c r="BO785" s="1207"/>
      <c r="BP785" s="1207"/>
      <c r="BQ785" s="1207"/>
      <c r="BR785" s="1207"/>
      <c r="BS785" s="1207"/>
      <c r="BT785" s="1207"/>
      <c r="BU785" s="1207"/>
      <c r="BV785" s="1207"/>
      <c r="BW785" s="1207"/>
      <c r="BX785" s="1207"/>
      <c r="BY785" s="1207"/>
      <c r="BZ785" s="1207"/>
      <c r="CA785" s="1207"/>
      <c r="CB785" s="1207"/>
      <c r="CC785" s="1207"/>
      <c r="CD785" s="1207"/>
      <c r="CE785" s="1207"/>
      <c r="CF785" s="1207"/>
    </row>
    <row r="786" spans="1:84" ht="105" x14ac:dyDescent="0.2">
      <c r="A786" s="1355">
        <v>2022820</v>
      </c>
      <c r="B786" s="1172">
        <v>7637</v>
      </c>
      <c r="C786" s="1356" t="s">
        <v>645</v>
      </c>
      <c r="D786" s="1190" t="s">
        <v>673</v>
      </c>
      <c r="E786" s="1174">
        <v>80111600</v>
      </c>
      <c r="F786" s="1174" t="s">
        <v>1408</v>
      </c>
      <c r="G786" s="1390">
        <v>44788</v>
      </c>
      <c r="H786" s="1390">
        <v>44819</v>
      </c>
      <c r="I786" s="1176">
        <v>3</v>
      </c>
      <c r="J786" s="1176" t="s">
        <v>675</v>
      </c>
      <c r="K786" s="1177" t="s">
        <v>676</v>
      </c>
      <c r="L786" s="1178" t="s">
        <v>677</v>
      </c>
      <c r="M786" s="1179">
        <v>9000000</v>
      </c>
      <c r="N786" s="1189" t="s">
        <v>678</v>
      </c>
      <c r="O786" s="1174" t="s">
        <v>679</v>
      </c>
      <c r="P786" s="1163" t="s">
        <v>759</v>
      </c>
      <c r="Q786" s="1207"/>
      <c r="R786" s="1357"/>
      <c r="S786" s="1357"/>
      <c r="T786" s="1357">
        <f>+Tabla16[[#This Row],[CDPS A 31 JULIO 2022]]-Tabla16[[#This Row],[CDP]]</f>
        <v>0</v>
      </c>
      <c r="U786" s="1357"/>
      <c r="V786" s="1357"/>
      <c r="W786" s="1357"/>
      <c r="X786" s="1207"/>
      <c r="Y786" s="1207"/>
      <c r="Z786" s="1207"/>
      <c r="AA786" s="1207"/>
      <c r="AB786" s="1207"/>
      <c r="AC786" s="1207"/>
      <c r="AD786" s="1207"/>
      <c r="AE786" s="1207"/>
      <c r="AF786" s="1207"/>
      <c r="AG786" s="1207"/>
      <c r="AH786" s="1207"/>
      <c r="AI786" s="1207"/>
      <c r="AJ786" s="1207"/>
      <c r="AK786" s="1207"/>
      <c r="AL786" s="1207"/>
      <c r="AM786" s="1207"/>
      <c r="AN786" s="1207"/>
      <c r="AO786" s="1207"/>
      <c r="AP786" s="1207"/>
      <c r="AQ786" s="1207"/>
      <c r="AR786" s="1207"/>
      <c r="AS786" s="1207"/>
      <c r="AT786" s="1207"/>
      <c r="AU786" s="1207"/>
      <c r="AV786" s="1207"/>
      <c r="AW786" s="1207"/>
      <c r="AX786" s="1207"/>
      <c r="AY786" s="1207"/>
      <c r="AZ786" s="1207"/>
      <c r="BA786" s="1207"/>
      <c r="BB786" s="1207"/>
      <c r="BC786" s="1207"/>
      <c r="BD786" s="1207"/>
      <c r="BE786" s="1207"/>
      <c r="BF786" s="1207"/>
      <c r="BG786" s="1207"/>
      <c r="BH786" s="1207"/>
      <c r="BI786" s="1207"/>
      <c r="BJ786" s="1207"/>
      <c r="BK786" s="1207"/>
      <c r="BL786" s="1207"/>
      <c r="BM786" s="1207"/>
      <c r="BN786" s="1207"/>
      <c r="BO786" s="1207"/>
      <c r="BP786" s="1207"/>
      <c r="BQ786" s="1207"/>
      <c r="BR786" s="1207"/>
      <c r="BS786" s="1207"/>
      <c r="BT786" s="1207"/>
      <c r="BU786" s="1207"/>
      <c r="BV786" s="1207"/>
      <c r="BW786" s="1207"/>
      <c r="BX786" s="1207"/>
      <c r="BY786" s="1207"/>
      <c r="BZ786" s="1207"/>
      <c r="CA786" s="1207"/>
      <c r="CB786" s="1207"/>
      <c r="CC786" s="1207"/>
      <c r="CD786" s="1207"/>
      <c r="CE786" s="1207"/>
      <c r="CF786" s="1207"/>
    </row>
    <row r="787" spans="1:84" ht="105" x14ac:dyDescent="0.2">
      <c r="A787" s="1355">
        <v>2022821</v>
      </c>
      <c r="B787" s="1172">
        <v>7637</v>
      </c>
      <c r="C787" s="1356" t="s">
        <v>645</v>
      </c>
      <c r="D787" s="1190" t="s">
        <v>673</v>
      </c>
      <c r="E787" s="1174">
        <v>80111600</v>
      </c>
      <c r="F787" s="1174" t="s">
        <v>1409</v>
      </c>
      <c r="G787" s="1390">
        <v>44788</v>
      </c>
      <c r="H787" s="1390">
        <v>44819</v>
      </c>
      <c r="I787" s="1176">
        <v>3</v>
      </c>
      <c r="J787" s="1176" t="s">
        <v>675</v>
      </c>
      <c r="K787" s="1177" t="s">
        <v>676</v>
      </c>
      <c r="L787" s="1178" t="s">
        <v>677</v>
      </c>
      <c r="M787" s="1179">
        <v>18600000</v>
      </c>
      <c r="N787" s="1386" t="s">
        <v>687</v>
      </c>
      <c r="O787" s="1174" t="s">
        <v>679</v>
      </c>
      <c r="P787" s="1163" t="s">
        <v>759</v>
      </c>
      <c r="Q787" s="1207"/>
      <c r="R787" s="1357"/>
      <c r="S787" s="1357"/>
      <c r="T787" s="1357">
        <f>+Tabla16[[#This Row],[CDPS A 31 JULIO 2022]]-Tabla16[[#This Row],[CDP]]</f>
        <v>0</v>
      </c>
      <c r="U787" s="1357"/>
      <c r="V787" s="1357"/>
      <c r="W787" s="1357"/>
      <c r="X787" s="1207"/>
      <c r="Y787" s="1207"/>
      <c r="Z787" s="1207"/>
      <c r="AA787" s="1207"/>
      <c r="AB787" s="1207"/>
      <c r="AC787" s="1207"/>
      <c r="AD787" s="1207"/>
      <c r="AE787" s="1207"/>
      <c r="AF787" s="1207"/>
      <c r="AG787" s="1207"/>
      <c r="AH787" s="1207"/>
      <c r="AI787" s="1207"/>
      <c r="AJ787" s="1207"/>
      <c r="AK787" s="1207"/>
      <c r="AL787" s="1207"/>
      <c r="AM787" s="1207"/>
      <c r="AN787" s="1207"/>
      <c r="AO787" s="1207"/>
      <c r="AP787" s="1207"/>
      <c r="AQ787" s="1207"/>
      <c r="AR787" s="1207"/>
      <c r="AS787" s="1207"/>
      <c r="AT787" s="1207"/>
      <c r="AU787" s="1207"/>
      <c r="AV787" s="1207"/>
      <c r="AW787" s="1207"/>
      <c r="AX787" s="1207"/>
      <c r="AY787" s="1207"/>
      <c r="AZ787" s="1207"/>
      <c r="BA787" s="1207"/>
      <c r="BB787" s="1207"/>
      <c r="BC787" s="1207"/>
      <c r="BD787" s="1207"/>
      <c r="BE787" s="1207"/>
      <c r="BF787" s="1207"/>
      <c r="BG787" s="1207"/>
      <c r="BH787" s="1207"/>
      <c r="BI787" s="1207"/>
      <c r="BJ787" s="1207"/>
      <c r="BK787" s="1207"/>
      <c r="BL787" s="1207"/>
      <c r="BM787" s="1207"/>
      <c r="BN787" s="1207"/>
      <c r="BO787" s="1207"/>
      <c r="BP787" s="1207"/>
      <c r="BQ787" s="1207"/>
      <c r="BR787" s="1207"/>
      <c r="BS787" s="1207"/>
      <c r="BT787" s="1207"/>
      <c r="BU787" s="1207"/>
      <c r="BV787" s="1207"/>
      <c r="BW787" s="1207"/>
      <c r="BX787" s="1207"/>
      <c r="BY787" s="1207"/>
      <c r="BZ787" s="1207"/>
      <c r="CA787" s="1207"/>
      <c r="CB787" s="1207"/>
      <c r="CC787" s="1207"/>
      <c r="CD787" s="1207"/>
      <c r="CE787" s="1207"/>
      <c r="CF787" s="1207"/>
    </row>
    <row r="788" spans="1:84" ht="105" x14ac:dyDescent="0.2">
      <c r="A788" s="1355">
        <v>2022822</v>
      </c>
      <c r="B788" s="1172">
        <v>7655</v>
      </c>
      <c r="C788" s="1356" t="s">
        <v>670</v>
      </c>
      <c r="D788" s="1190" t="s">
        <v>691</v>
      </c>
      <c r="E788" s="1174" t="s">
        <v>782</v>
      </c>
      <c r="F788" s="1174" t="s">
        <v>1374</v>
      </c>
      <c r="G788" s="1390">
        <v>44805</v>
      </c>
      <c r="H788" s="1390">
        <v>44805</v>
      </c>
      <c r="I788" s="1176">
        <v>4</v>
      </c>
      <c r="J788" s="1176" t="s">
        <v>675</v>
      </c>
      <c r="K788" s="1177" t="s">
        <v>676</v>
      </c>
      <c r="L788" s="1178" t="s">
        <v>677</v>
      </c>
      <c r="M788" s="1179">
        <v>22000000</v>
      </c>
      <c r="N788" s="1386" t="s">
        <v>785</v>
      </c>
      <c r="O788" s="1174" t="s">
        <v>780</v>
      </c>
      <c r="P788" s="1163" t="s">
        <v>680</v>
      </c>
      <c r="Q788" s="1207"/>
      <c r="R788" s="1357"/>
      <c r="S788" s="1357"/>
      <c r="T788" s="1357"/>
      <c r="U788" s="1357"/>
      <c r="V788" s="1357"/>
      <c r="W788" s="1357"/>
      <c r="X788" s="1207"/>
      <c r="Y788" s="1207"/>
      <c r="Z788" s="1207"/>
      <c r="AA788" s="1207"/>
      <c r="AB788" s="1207"/>
      <c r="AC788" s="1207"/>
      <c r="AD788" s="1207"/>
      <c r="AE788" s="1207"/>
      <c r="AF788" s="1207"/>
      <c r="AG788" s="1207"/>
      <c r="AH788" s="1207"/>
      <c r="AI788" s="1207"/>
      <c r="AJ788" s="1207"/>
      <c r="AK788" s="1207"/>
      <c r="AL788" s="1207"/>
      <c r="AM788" s="1207"/>
      <c r="AN788" s="1207"/>
      <c r="AO788" s="1207"/>
      <c r="AP788" s="1207"/>
      <c r="AQ788" s="1207"/>
      <c r="AR788" s="1207"/>
      <c r="AS788" s="1207"/>
      <c r="AT788" s="1207"/>
      <c r="AU788" s="1207"/>
      <c r="AV788" s="1207"/>
      <c r="AW788" s="1207"/>
      <c r="AX788" s="1207"/>
      <c r="AY788" s="1207"/>
      <c r="AZ788" s="1207"/>
      <c r="BA788" s="1207"/>
      <c r="BB788" s="1207"/>
      <c r="BC788" s="1207"/>
      <c r="BD788" s="1207"/>
      <c r="BE788" s="1207"/>
      <c r="BF788" s="1207"/>
      <c r="BG788" s="1207"/>
      <c r="BH788" s="1207"/>
      <c r="BI788" s="1207"/>
      <c r="BJ788" s="1207"/>
      <c r="BK788" s="1207"/>
      <c r="BL788" s="1207"/>
      <c r="BM788" s="1207"/>
      <c r="BN788" s="1207"/>
      <c r="BO788" s="1207"/>
      <c r="BP788" s="1207"/>
      <c r="BQ788" s="1207"/>
      <c r="BR788" s="1207"/>
      <c r="BS788" s="1207"/>
      <c r="BT788" s="1207"/>
      <c r="BU788" s="1207"/>
      <c r="BV788" s="1207"/>
      <c r="BW788" s="1207"/>
      <c r="BX788" s="1207"/>
      <c r="BY788" s="1207"/>
      <c r="BZ788" s="1207"/>
      <c r="CA788" s="1207"/>
      <c r="CB788" s="1207"/>
      <c r="CC788" s="1207"/>
      <c r="CD788" s="1207"/>
      <c r="CE788" s="1207"/>
      <c r="CF788" s="1207"/>
    </row>
    <row r="789" spans="1:84" ht="105" x14ac:dyDescent="0.2">
      <c r="A789" s="1355">
        <v>2022823</v>
      </c>
      <c r="B789" s="1172">
        <v>7637</v>
      </c>
      <c r="C789" s="1356" t="s">
        <v>645</v>
      </c>
      <c r="D789" s="1190" t="s">
        <v>673</v>
      </c>
      <c r="E789" s="1174">
        <v>80111600</v>
      </c>
      <c r="F789" s="1174" t="s">
        <v>1410</v>
      </c>
      <c r="G789" s="1390">
        <v>44805</v>
      </c>
      <c r="H789" s="1390">
        <v>44819</v>
      </c>
      <c r="I789" s="1176">
        <v>3</v>
      </c>
      <c r="J789" s="1176" t="s">
        <v>675</v>
      </c>
      <c r="K789" s="1177" t="s">
        <v>676</v>
      </c>
      <c r="L789" s="1178" t="s">
        <v>677</v>
      </c>
      <c r="M789" s="1179">
        <v>12000000</v>
      </c>
      <c r="N789" s="1189" t="s">
        <v>678</v>
      </c>
      <c r="O789" s="1174" t="s">
        <v>1411</v>
      </c>
      <c r="P789" s="1163" t="s">
        <v>680</v>
      </c>
      <c r="Q789" s="1207"/>
      <c r="R789" s="1357"/>
      <c r="S789" s="1357"/>
      <c r="T789" s="1357">
        <f>+Tabla16[[#This Row],[CDPS A 31 JULIO 2022]]-Tabla16[[#This Row],[CDP]]</f>
        <v>0</v>
      </c>
      <c r="U789" s="1357"/>
      <c r="V789" s="1357"/>
      <c r="W789" s="1357"/>
      <c r="X789" s="1207"/>
      <c r="Y789" s="1207"/>
      <c r="Z789" s="1207"/>
      <c r="AA789" s="1207"/>
      <c r="AB789" s="1207"/>
      <c r="AC789" s="1207"/>
      <c r="AD789" s="1207"/>
      <c r="AE789" s="1207"/>
      <c r="AF789" s="1207"/>
      <c r="AG789" s="1207"/>
      <c r="AH789" s="1207"/>
      <c r="AI789" s="1207"/>
      <c r="AJ789" s="1207"/>
      <c r="AK789" s="1207"/>
      <c r="AL789" s="1207"/>
      <c r="AM789" s="1207"/>
      <c r="AN789" s="1207"/>
      <c r="AO789" s="1207"/>
      <c r="AP789" s="1207"/>
      <c r="AQ789" s="1207"/>
      <c r="AR789" s="1207"/>
      <c r="AS789" s="1207"/>
      <c r="AT789" s="1207"/>
      <c r="AU789" s="1207"/>
      <c r="AV789" s="1207"/>
      <c r="AW789" s="1207"/>
      <c r="AX789" s="1207"/>
      <c r="AY789" s="1207"/>
      <c r="AZ789" s="1207"/>
      <c r="BA789" s="1207"/>
      <c r="BB789" s="1207"/>
      <c r="BC789" s="1207"/>
      <c r="BD789" s="1207"/>
      <c r="BE789" s="1207"/>
      <c r="BF789" s="1207"/>
      <c r="BG789" s="1207"/>
      <c r="BH789" s="1207"/>
      <c r="BI789" s="1207"/>
      <c r="BJ789" s="1207"/>
      <c r="BK789" s="1207"/>
      <c r="BL789" s="1207"/>
      <c r="BM789" s="1207"/>
      <c r="BN789" s="1207"/>
      <c r="BO789" s="1207"/>
      <c r="BP789" s="1207"/>
      <c r="BQ789" s="1207"/>
      <c r="BR789" s="1207"/>
      <c r="BS789" s="1207"/>
      <c r="BT789" s="1207"/>
      <c r="BU789" s="1207"/>
      <c r="BV789" s="1207"/>
      <c r="BW789" s="1207"/>
      <c r="BX789" s="1207"/>
      <c r="BY789" s="1207"/>
      <c r="BZ789" s="1207"/>
      <c r="CA789" s="1207"/>
      <c r="CB789" s="1207"/>
      <c r="CC789" s="1207"/>
      <c r="CD789" s="1207"/>
      <c r="CE789" s="1207"/>
      <c r="CF789" s="1207"/>
    </row>
    <row r="790" spans="1:84" ht="105" x14ac:dyDescent="0.2">
      <c r="A790" s="1355">
        <v>2022824</v>
      </c>
      <c r="B790" s="1172">
        <v>7658</v>
      </c>
      <c r="C790" s="1356" t="s">
        <v>681</v>
      </c>
      <c r="D790" s="1190" t="s">
        <v>694</v>
      </c>
      <c r="E790" s="1174">
        <v>80111600</v>
      </c>
      <c r="F790" s="1174" t="s">
        <v>1089</v>
      </c>
      <c r="G790" s="1390">
        <v>44819</v>
      </c>
      <c r="H790" s="1390">
        <v>44819</v>
      </c>
      <c r="I790" s="1176">
        <v>4</v>
      </c>
      <c r="J790" s="1176" t="s">
        <v>675</v>
      </c>
      <c r="K790" s="1177" t="s">
        <v>676</v>
      </c>
      <c r="L790" s="1178" t="s">
        <v>677</v>
      </c>
      <c r="M790" s="1179">
        <v>11000000</v>
      </c>
      <c r="N790" s="1386" t="s">
        <v>770</v>
      </c>
      <c r="O790" s="1174" t="s">
        <v>769</v>
      </c>
      <c r="P790" s="1163" t="s">
        <v>680</v>
      </c>
      <c r="Q790" s="1207"/>
      <c r="R790" s="1357"/>
      <c r="S790" s="1357"/>
      <c r="T790" s="1357">
        <f>+Tabla16[[#This Row],[CDPS A 31 JULIO 2022]]-Tabla16[[#This Row],[CDP]]</f>
        <v>0</v>
      </c>
      <c r="U790" s="1357"/>
      <c r="V790" s="1357"/>
      <c r="W790" s="1357"/>
      <c r="X790" s="1207"/>
      <c r="Y790" s="1207"/>
      <c r="Z790" s="1207"/>
      <c r="AA790" s="1207"/>
      <c r="AB790" s="1207"/>
      <c r="AC790" s="1207"/>
      <c r="AD790" s="1207"/>
      <c r="AE790" s="1207"/>
      <c r="AF790" s="1207"/>
      <c r="AG790" s="1207"/>
      <c r="AH790" s="1207"/>
      <c r="AI790" s="1207"/>
      <c r="AJ790" s="1207"/>
      <c r="AK790" s="1207"/>
      <c r="AL790" s="1207"/>
      <c r="AM790" s="1207"/>
      <c r="AN790" s="1207"/>
      <c r="AO790" s="1207"/>
      <c r="AP790" s="1207"/>
      <c r="AQ790" s="1207"/>
      <c r="AR790" s="1207"/>
      <c r="AS790" s="1207"/>
      <c r="AT790" s="1207"/>
      <c r="AU790" s="1207"/>
      <c r="AV790" s="1207"/>
      <c r="AW790" s="1207"/>
      <c r="AX790" s="1207"/>
      <c r="AY790" s="1207"/>
      <c r="AZ790" s="1207"/>
      <c r="BA790" s="1207"/>
      <c r="BB790" s="1207"/>
      <c r="BC790" s="1207"/>
      <c r="BD790" s="1207"/>
      <c r="BE790" s="1207"/>
      <c r="BF790" s="1207"/>
      <c r="BG790" s="1207"/>
      <c r="BH790" s="1207"/>
      <c r="BI790" s="1207"/>
      <c r="BJ790" s="1207"/>
      <c r="BK790" s="1207"/>
      <c r="BL790" s="1207"/>
      <c r="BM790" s="1207"/>
      <c r="BN790" s="1207"/>
      <c r="BO790" s="1207"/>
      <c r="BP790" s="1207"/>
      <c r="BQ790" s="1207"/>
      <c r="BR790" s="1207"/>
      <c r="BS790" s="1207"/>
      <c r="BT790" s="1207"/>
      <c r="BU790" s="1207"/>
      <c r="BV790" s="1207"/>
      <c r="BW790" s="1207"/>
      <c r="BX790" s="1207"/>
      <c r="BY790" s="1207"/>
      <c r="BZ790" s="1207"/>
      <c r="CA790" s="1207"/>
      <c r="CB790" s="1207"/>
      <c r="CC790" s="1207"/>
      <c r="CD790" s="1207"/>
      <c r="CE790" s="1207"/>
      <c r="CF790" s="1207"/>
    </row>
    <row r="791" spans="1:84" ht="105" x14ac:dyDescent="0.2">
      <c r="A791" s="1355">
        <v>2022825</v>
      </c>
      <c r="B791" s="1172">
        <v>7658</v>
      </c>
      <c r="C791" s="1356" t="s">
        <v>681</v>
      </c>
      <c r="D791" s="1190" t="s">
        <v>694</v>
      </c>
      <c r="E791" s="1174">
        <v>80111600</v>
      </c>
      <c r="F791" s="1174" t="s">
        <v>1087</v>
      </c>
      <c r="G791" s="1390">
        <v>44819</v>
      </c>
      <c r="H791" s="1390">
        <v>44819</v>
      </c>
      <c r="I791" s="1176">
        <v>4</v>
      </c>
      <c r="J791" s="1176" t="s">
        <v>675</v>
      </c>
      <c r="K791" s="1177" t="s">
        <v>676</v>
      </c>
      <c r="L791" s="1178" t="s">
        <v>677</v>
      </c>
      <c r="M791" s="1179">
        <v>9800000</v>
      </c>
      <c r="N791" s="1386" t="s">
        <v>770</v>
      </c>
      <c r="O791" s="1174" t="s">
        <v>769</v>
      </c>
      <c r="P791" s="1163" t="s">
        <v>680</v>
      </c>
      <c r="Q791" s="1207"/>
      <c r="R791" s="1357"/>
      <c r="S791" s="1357"/>
      <c r="T791" s="1357">
        <f>+Tabla16[[#This Row],[CDPS A 31 JULIO 2022]]-Tabla16[[#This Row],[CDP]]</f>
        <v>0</v>
      </c>
      <c r="U791" s="1357"/>
      <c r="V791" s="1357"/>
      <c r="W791" s="1357"/>
      <c r="X791" s="1207"/>
      <c r="Y791" s="1207"/>
      <c r="Z791" s="1207"/>
      <c r="AA791" s="1207"/>
      <c r="AB791" s="1207"/>
      <c r="AC791" s="1207"/>
      <c r="AD791" s="1207"/>
      <c r="AE791" s="1207"/>
      <c r="AF791" s="1207"/>
      <c r="AG791" s="1207"/>
      <c r="AH791" s="1207"/>
      <c r="AI791" s="1207"/>
      <c r="AJ791" s="1207"/>
      <c r="AK791" s="1207"/>
      <c r="AL791" s="1207"/>
      <c r="AM791" s="1207"/>
      <c r="AN791" s="1207"/>
      <c r="AO791" s="1207"/>
      <c r="AP791" s="1207"/>
      <c r="AQ791" s="1207"/>
      <c r="AR791" s="1207"/>
      <c r="AS791" s="1207"/>
      <c r="AT791" s="1207"/>
      <c r="AU791" s="1207"/>
      <c r="AV791" s="1207"/>
      <c r="AW791" s="1207"/>
      <c r="AX791" s="1207"/>
      <c r="AY791" s="1207"/>
      <c r="AZ791" s="1207"/>
      <c r="BA791" s="1207"/>
      <c r="BB791" s="1207"/>
      <c r="BC791" s="1207"/>
      <c r="BD791" s="1207"/>
      <c r="BE791" s="1207"/>
      <c r="BF791" s="1207"/>
      <c r="BG791" s="1207"/>
      <c r="BH791" s="1207"/>
      <c r="BI791" s="1207"/>
      <c r="BJ791" s="1207"/>
      <c r="BK791" s="1207"/>
      <c r="BL791" s="1207"/>
      <c r="BM791" s="1207"/>
      <c r="BN791" s="1207"/>
      <c r="BO791" s="1207"/>
      <c r="BP791" s="1207"/>
      <c r="BQ791" s="1207"/>
      <c r="BR791" s="1207"/>
      <c r="BS791" s="1207"/>
      <c r="BT791" s="1207"/>
      <c r="BU791" s="1207"/>
      <c r="BV791" s="1207"/>
      <c r="BW791" s="1207"/>
      <c r="BX791" s="1207"/>
      <c r="BY791" s="1207"/>
      <c r="BZ791" s="1207"/>
      <c r="CA791" s="1207"/>
      <c r="CB791" s="1207"/>
      <c r="CC791" s="1207"/>
      <c r="CD791" s="1207"/>
      <c r="CE791" s="1207"/>
      <c r="CF791" s="1207"/>
    </row>
    <row r="792" spans="1:84" ht="105" x14ac:dyDescent="0.2">
      <c r="A792" s="1355">
        <v>2022826</v>
      </c>
      <c r="B792" s="1172">
        <v>7658</v>
      </c>
      <c r="C792" s="1356" t="s">
        <v>681</v>
      </c>
      <c r="D792" s="1190" t="s">
        <v>694</v>
      </c>
      <c r="E792" s="1174" t="s">
        <v>1063</v>
      </c>
      <c r="F792" s="1174" t="s">
        <v>1412</v>
      </c>
      <c r="G792" s="1390">
        <v>44713</v>
      </c>
      <c r="H792" s="1390">
        <v>44803</v>
      </c>
      <c r="I792" s="1176">
        <v>4</v>
      </c>
      <c r="J792" s="1176" t="s">
        <v>689</v>
      </c>
      <c r="K792" s="1177" t="s">
        <v>772</v>
      </c>
      <c r="L792" s="1178" t="s">
        <v>983</v>
      </c>
      <c r="M792" s="1179">
        <v>241130733</v>
      </c>
      <c r="N792" s="1386" t="s">
        <v>770</v>
      </c>
      <c r="O792" s="1174" t="s">
        <v>769</v>
      </c>
      <c r="P792" s="1163" t="s">
        <v>680</v>
      </c>
      <c r="Q792" s="1207"/>
      <c r="R792" s="1357"/>
      <c r="S792" s="1357"/>
      <c r="T792" s="1357">
        <f>+Tabla16[[#This Row],[CDPS A 31 JULIO 2022]]-Tabla16[[#This Row],[CDP]]</f>
        <v>0</v>
      </c>
      <c r="U792" s="1357"/>
      <c r="V792" s="1357"/>
      <c r="W792" s="1357"/>
      <c r="X792" s="1207"/>
      <c r="Y792" s="1207"/>
      <c r="Z792" s="1207"/>
      <c r="AA792" s="1207"/>
      <c r="AB792" s="1207"/>
      <c r="AC792" s="1207"/>
      <c r="AD792" s="1207"/>
      <c r="AE792" s="1207"/>
      <c r="AF792" s="1207"/>
      <c r="AG792" s="1207"/>
      <c r="AH792" s="1207"/>
      <c r="AI792" s="1207"/>
      <c r="AJ792" s="1207"/>
      <c r="AK792" s="1207"/>
      <c r="AL792" s="1207"/>
      <c r="AM792" s="1207"/>
      <c r="AN792" s="1207"/>
      <c r="AO792" s="1207"/>
      <c r="AP792" s="1207"/>
      <c r="AQ792" s="1207"/>
      <c r="AR792" s="1207"/>
      <c r="AS792" s="1207"/>
      <c r="AT792" s="1207"/>
      <c r="AU792" s="1207"/>
      <c r="AV792" s="1207"/>
      <c r="AW792" s="1207"/>
      <c r="AX792" s="1207"/>
      <c r="AY792" s="1207"/>
      <c r="AZ792" s="1207"/>
      <c r="BA792" s="1207"/>
      <c r="BB792" s="1207"/>
      <c r="BC792" s="1207"/>
      <c r="BD792" s="1207"/>
      <c r="BE792" s="1207"/>
      <c r="BF792" s="1207"/>
      <c r="BG792" s="1207"/>
      <c r="BH792" s="1207"/>
      <c r="BI792" s="1207"/>
      <c r="BJ792" s="1207"/>
      <c r="BK792" s="1207"/>
      <c r="BL792" s="1207"/>
      <c r="BM792" s="1207"/>
      <c r="BN792" s="1207"/>
      <c r="BO792" s="1207"/>
      <c r="BP792" s="1207"/>
      <c r="BQ792" s="1207"/>
      <c r="BR792" s="1207"/>
      <c r="BS792" s="1207"/>
      <c r="BT792" s="1207"/>
      <c r="BU792" s="1207"/>
      <c r="BV792" s="1207"/>
      <c r="BW792" s="1207"/>
      <c r="BX792" s="1207"/>
      <c r="BY792" s="1207"/>
      <c r="BZ792" s="1207"/>
      <c r="CA792" s="1207"/>
      <c r="CB792" s="1207"/>
      <c r="CC792" s="1207"/>
      <c r="CD792" s="1207"/>
      <c r="CE792" s="1207"/>
      <c r="CF792" s="1207"/>
    </row>
    <row r="793" spans="1:84" ht="105" x14ac:dyDescent="0.2">
      <c r="A793" s="1355">
        <v>2022827</v>
      </c>
      <c r="B793" s="1172">
        <v>7658</v>
      </c>
      <c r="C793" s="1356" t="s">
        <v>681</v>
      </c>
      <c r="D793" s="1190" t="s">
        <v>694</v>
      </c>
      <c r="E793" s="1174">
        <v>10111306</v>
      </c>
      <c r="F793" s="1174" t="s">
        <v>1413</v>
      </c>
      <c r="G793" s="1390">
        <v>44805</v>
      </c>
      <c r="H793" s="1390">
        <v>44849</v>
      </c>
      <c r="I793" s="1176">
        <v>2</v>
      </c>
      <c r="J793" s="1176" t="s">
        <v>701</v>
      </c>
      <c r="K793" s="1177" t="s">
        <v>772</v>
      </c>
      <c r="L793" s="1178" t="s">
        <v>983</v>
      </c>
      <c r="M793" s="1179">
        <v>30000000</v>
      </c>
      <c r="N793" s="1386" t="s">
        <v>770</v>
      </c>
      <c r="O793" s="1174" t="s">
        <v>769</v>
      </c>
      <c r="P793" s="1163" t="s">
        <v>680</v>
      </c>
      <c r="Q793" s="1207"/>
      <c r="R793" s="1357"/>
      <c r="S793" s="1357"/>
      <c r="T793" s="1357">
        <f>+Tabla16[[#This Row],[CDPS A 31 JULIO 2022]]-Tabla16[[#This Row],[CDP]]</f>
        <v>0</v>
      </c>
      <c r="U793" s="1357"/>
      <c r="V793" s="1357"/>
      <c r="W793" s="1357"/>
      <c r="X793" s="1207"/>
      <c r="Y793" s="1207"/>
      <c r="Z793" s="1207"/>
      <c r="AA793" s="1207"/>
      <c r="AB793" s="1207"/>
      <c r="AC793" s="1207"/>
      <c r="AD793" s="1207"/>
      <c r="AE793" s="1207"/>
      <c r="AF793" s="1207"/>
      <c r="AG793" s="1207"/>
      <c r="AH793" s="1207"/>
      <c r="AI793" s="1207"/>
      <c r="AJ793" s="1207"/>
      <c r="AK793" s="1207"/>
      <c r="AL793" s="1207"/>
      <c r="AM793" s="1207"/>
      <c r="AN793" s="1207"/>
      <c r="AO793" s="1207"/>
      <c r="AP793" s="1207"/>
      <c r="AQ793" s="1207"/>
      <c r="AR793" s="1207"/>
      <c r="AS793" s="1207"/>
      <c r="AT793" s="1207"/>
      <c r="AU793" s="1207"/>
      <c r="AV793" s="1207"/>
      <c r="AW793" s="1207"/>
      <c r="AX793" s="1207"/>
      <c r="AY793" s="1207"/>
      <c r="AZ793" s="1207"/>
      <c r="BA793" s="1207"/>
      <c r="BB793" s="1207"/>
      <c r="BC793" s="1207"/>
      <c r="BD793" s="1207"/>
      <c r="BE793" s="1207"/>
      <c r="BF793" s="1207"/>
      <c r="BG793" s="1207"/>
      <c r="BH793" s="1207"/>
      <c r="BI793" s="1207"/>
      <c r="BJ793" s="1207"/>
      <c r="BK793" s="1207"/>
      <c r="BL793" s="1207"/>
      <c r="BM793" s="1207"/>
      <c r="BN793" s="1207"/>
      <c r="BO793" s="1207"/>
      <c r="BP793" s="1207"/>
      <c r="BQ793" s="1207"/>
      <c r="BR793" s="1207"/>
      <c r="BS793" s="1207"/>
      <c r="BT793" s="1207"/>
      <c r="BU793" s="1207"/>
      <c r="BV793" s="1207"/>
      <c r="BW793" s="1207"/>
      <c r="BX793" s="1207"/>
      <c r="BY793" s="1207"/>
      <c r="BZ793" s="1207"/>
      <c r="CA793" s="1207"/>
      <c r="CB793" s="1207"/>
      <c r="CC793" s="1207"/>
      <c r="CD793" s="1207"/>
      <c r="CE793" s="1207"/>
      <c r="CF793" s="1207"/>
    </row>
    <row r="794" spans="1:84" ht="105" x14ac:dyDescent="0.2">
      <c r="A794" s="1355">
        <v>2022828</v>
      </c>
      <c r="B794" s="1172">
        <v>7658</v>
      </c>
      <c r="C794" s="1356" t="s">
        <v>681</v>
      </c>
      <c r="D794" s="1190" t="s">
        <v>694</v>
      </c>
      <c r="E794" s="1174">
        <v>77102002</v>
      </c>
      <c r="F794" s="1174" t="s">
        <v>1414</v>
      </c>
      <c r="G794" s="1390">
        <v>44819</v>
      </c>
      <c r="H794" s="1390">
        <v>44849</v>
      </c>
      <c r="I794" s="1176">
        <v>2</v>
      </c>
      <c r="J794" s="1176" t="s">
        <v>701</v>
      </c>
      <c r="K794" s="1177" t="s">
        <v>676</v>
      </c>
      <c r="L794" s="1178" t="s">
        <v>677</v>
      </c>
      <c r="M794" s="1179">
        <v>20000000</v>
      </c>
      <c r="N794" s="1386" t="s">
        <v>770</v>
      </c>
      <c r="O794" s="1174" t="s">
        <v>769</v>
      </c>
      <c r="P794" s="1163" t="s">
        <v>680</v>
      </c>
      <c r="Q794" s="1207"/>
      <c r="R794" s="1357"/>
      <c r="S794" s="1357"/>
      <c r="T794" s="1357">
        <f>+Tabla16[[#This Row],[CDPS A 31 JULIO 2022]]-Tabla16[[#This Row],[CDP]]</f>
        <v>0</v>
      </c>
      <c r="U794" s="1357"/>
      <c r="V794" s="1357"/>
      <c r="W794" s="1357"/>
      <c r="X794" s="1207"/>
      <c r="Y794" s="1207"/>
      <c r="Z794" s="1207"/>
      <c r="AA794" s="1207"/>
      <c r="AB794" s="1207"/>
      <c r="AC794" s="1207"/>
      <c r="AD794" s="1207"/>
      <c r="AE794" s="1207"/>
      <c r="AF794" s="1207"/>
      <c r="AG794" s="1207"/>
      <c r="AH794" s="1207"/>
      <c r="AI794" s="1207"/>
      <c r="AJ794" s="1207"/>
      <c r="AK794" s="1207"/>
      <c r="AL794" s="1207"/>
      <c r="AM794" s="1207"/>
      <c r="AN794" s="1207"/>
      <c r="AO794" s="1207"/>
      <c r="AP794" s="1207"/>
      <c r="AQ794" s="1207"/>
      <c r="AR794" s="1207"/>
      <c r="AS794" s="1207"/>
      <c r="AT794" s="1207"/>
      <c r="AU794" s="1207"/>
      <c r="AV794" s="1207"/>
      <c r="AW794" s="1207"/>
      <c r="AX794" s="1207"/>
      <c r="AY794" s="1207"/>
      <c r="AZ794" s="1207"/>
      <c r="BA794" s="1207"/>
      <c r="BB794" s="1207"/>
      <c r="BC794" s="1207"/>
      <c r="BD794" s="1207"/>
      <c r="BE794" s="1207"/>
      <c r="BF794" s="1207"/>
      <c r="BG794" s="1207"/>
      <c r="BH794" s="1207"/>
      <c r="BI794" s="1207"/>
      <c r="BJ794" s="1207"/>
      <c r="BK794" s="1207"/>
      <c r="BL794" s="1207"/>
      <c r="BM794" s="1207"/>
      <c r="BN794" s="1207"/>
      <c r="BO794" s="1207"/>
      <c r="BP794" s="1207"/>
      <c r="BQ794" s="1207"/>
      <c r="BR794" s="1207"/>
      <c r="BS794" s="1207"/>
      <c r="BT794" s="1207"/>
      <c r="BU794" s="1207"/>
      <c r="BV794" s="1207"/>
      <c r="BW794" s="1207"/>
      <c r="BX794" s="1207"/>
      <c r="BY794" s="1207"/>
      <c r="BZ794" s="1207"/>
      <c r="CA794" s="1207"/>
      <c r="CB794" s="1207"/>
      <c r="CC794" s="1207"/>
      <c r="CD794" s="1207"/>
      <c r="CE794" s="1207"/>
      <c r="CF794" s="1207"/>
    </row>
    <row r="795" spans="1:84" ht="105" x14ac:dyDescent="0.2">
      <c r="A795" s="1355">
        <v>2022830</v>
      </c>
      <c r="B795" s="1172">
        <v>7655</v>
      </c>
      <c r="C795" s="1356" t="s">
        <v>670</v>
      </c>
      <c r="D795" s="1190" t="s">
        <v>697</v>
      </c>
      <c r="E795" s="1174">
        <v>80111600</v>
      </c>
      <c r="F795" s="1174" t="s">
        <v>1415</v>
      </c>
      <c r="G795" s="1390">
        <v>44817</v>
      </c>
      <c r="H795" s="1390">
        <v>44820</v>
      </c>
      <c r="I795" s="1176">
        <v>4</v>
      </c>
      <c r="J795" s="1176" t="s">
        <v>675</v>
      </c>
      <c r="K795" s="1177" t="s">
        <v>676</v>
      </c>
      <c r="L795" s="1178" t="s">
        <v>677</v>
      </c>
      <c r="M795" s="1179">
        <v>12916800</v>
      </c>
      <c r="N795" s="1386" t="s">
        <v>785</v>
      </c>
      <c r="O795" s="1174" t="s">
        <v>780</v>
      </c>
      <c r="P795" s="1163" t="s">
        <v>759</v>
      </c>
      <c r="Q795" s="1207"/>
      <c r="R795" s="1357"/>
      <c r="S795" s="1357"/>
      <c r="T795" s="1357">
        <f>+Tabla16[[#This Row],[CDPS A 31 JULIO 2022]]-Tabla16[[#This Row],[CDP]]</f>
        <v>0</v>
      </c>
      <c r="U795" s="1357"/>
      <c r="V795" s="1357"/>
      <c r="W795" s="1357"/>
      <c r="X795" s="1207"/>
      <c r="Y795" s="1207"/>
      <c r="Z795" s="1207"/>
      <c r="AA795" s="1207"/>
      <c r="AB795" s="1207"/>
      <c r="AC795" s="1207"/>
      <c r="AD795" s="1207"/>
      <c r="AE795" s="1207"/>
      <c r="AF795" s="1207"/>
      <c r="AG795" s="1207"/>
      <c r="AH795" s="1207"/>
      <c r="AI795" s="1207"/>
      <c r="AJ795" s="1207"/>
      <c r="AK795" s="1207"/>
      <c r="AL795" s="1207"/>
      <c r="AM795" s="1207"/>
      <c r="AN795" s="1207"/>
      <c r="AO795" s="1207"/>
      <c r="AP795" s="1207"/>
      <c r="AQ795" s="1207"/>
      <c r="AR795" s="1207"/>
      <c r="AS795" s="1207"/>
      <c r="AT795" s="1207"/>
      <c r="AU795" s="1207"/>
      <c r="AV795" s="1207"/>
      <c r="AW795" s="1207"/>
      <c r="AX795" s="1207"/>
      <c r="AY795" s="1207"/>
      <c r="AZ795" s="1207"/>
      <c r="BA795" s="1207"/>
      <c r="BB795" s="1207"/>
      <c r="BC795" s="1207"/>
      <c r="BD795" s="1207"/>
      <c r="BE795" s="1207"/>
      <c r="BF795" s="1207"/>
      <c r="BG795" s="1207"/>
      <c r="BH795" s="1207"/>
      <c r="BI795" s="1207"/>
      <c r="BJ795" s="1207"/>
      <c r="BK795" s="1207"/>
      <c r="BL795" s="1207"/>
      <c r="BM795" s="1207"/>
      <c r="BN795" s="1207"/>
      <c r="BO795" s="1207"/>
      <c r="BP795" s="1207"/>
      <c r="BQ795" s="1207"/>
      <c r="BR795" s="1207"/>
      <c r="BS795" s="1207"/>
      <c r="BT795" s="1207"/>
      <c r="BU795" s="1207"/>
      <c r="BV795" s="1207"/>
      <c r="BW795" s="1207"/>
      <c r="BX795" s="1207"/>
      <c r="BY795" s="1207"/>
      <c r="BZ795" s="1207"/>
      <c r="CA795" s="1207"/>
      <c r="CB795" s="1207"/>
      <c r="CC795" s="1207"/>
      <c r="CD795" s="1207"/>
      <c r="CE795" s="1207"/>
      <c r="CF795" s="1207"/>
    </row>
    <row r="796" spans="1:84" ht="105" x14ac:dyDescent="0.2">
      <c r="A796" s="1355">
        <v>2022831</v>
      </c>
      <c r="B796" s="1172">
        <v>7655</v>
      </c>
      <c r="C796" s="1356" t="s">
        <v>670</v>
      </c>
      <c r="D796" s="1190" t="s">
        <v>697</v>
      </c>
      <c r="E796" s="1174">
        <v>80111600</v>
      </c>
      <c r="F796" s="1174" t="s">
        <v>1416</v>
      </c>
      <c r="G796" s="1390">
        <v>44817</v>
      </c>
      <c r="H796" s="1390">
        <v>44820</v>
      </c>
      <c r="I796" s="1176">
        <v>3.5</v>
      </c>
      <c r="J796" s="1176" t="s">
        <v>675</v>
      </c>
      <c r="K796" s="1177" t="s">
        <v>676</v>
      </c>
      <c r="L796" s="1178" t="s">
        <v>677</v>
      </c>
      <c r="M796" s="1179">
        <v>14055300</v>
      </c>
      <c r="N796" s="1386" t="s">
        <v>785</v>
      </c>
      <c r="O796" s="1174" t="s">
        <v>780</v>
      </c>
      <c r="P796" s="1163" t="s">
        <v>759</v>
      </c>
      <c r="Q796" s="1207"/>
      <c r="R796" s="1357"/>
      <c r="S796" s="1357"/>
      <c r="T796" s="1357">
        <f>+Tabla16[[#This Row],[CDPS A 31 JULIO 2022]]-Tabla16[[#This Row],[CDP]]</f>
        <v>0</v>
      </c>
      <c r="U796" s="1357"/>
      <c r="V796" s="1357"/>
      <c r="W796" s="1357"/>
      <c r="X796" s="1207"/>
      <c r="Y796" s="1207"/>
      <c r="Z796" s="1207"/>
      <c r="AA796" s="1207"/>
      <c r="AB796" s="1207"/>
      <c r="AC796" s="1207"/>
      <c r="AD796" s="1207"/>
      <c r="AE796" s="1207"/>
      <c r="AF796" s="1207"/>
      <c r="AG796" s="1207"/>
      <c r="AH796" s="1207"/>
      <c r="AI796" s="1207"/>
      <c r="AJ796" s="1207"/>
      <c r="AK796" s="1207"/>
      <c r="AL796" s="1207"/>
      <c r="AM796" s="1207"/>
      <c r="AN796" s="1207"/>
      <c r="AO796" s="1207"/>
      <c r="AP796" s="1207"/>
      <c r="AQ796" s="1207"/>
      <c r="AR796" s="1207"/>
      <c r="AS796" s="1207"/>
      <c r="AT796" s="1207"/>
      <c r="AU796" s="1207"/>
      <c r="AV796" s="1207"/>
      <c r="AW796" s="1207"/>
      <c r="AX796" s="1207"/>
      <c r="AY796" s="1207"/>
      <c r="AZ796" s="1207"/>
      <c r="BA796" s="1207"/>
      <c r="BB796" s="1207"/>
      <c r="BC796" s="1207"/>
      <c r="BD796" s="1207"/>
      <c r="BE796" s="1207"/>
      <c r="BF796" s="1207"/>
      <c r="BG796" s="1207"/>
      <c r="BH796" s="1207"/>
      <c r="BI796" s="1207"/>
      <c r="BJ796" s="1207"/>
      <c r="BK796" s="1207"/>
      <c r="BL796" s="1207"/>
      <c r="BM796" s="1207"/>
      <c r="BN796" s="1207"/>
      <c r="BO796" s="1207"/>
      <c r="BP796" s="1207"/>
      <c r="BQ796" s="1207"/>
      <c r="BR796" s="1207"/>
      <c r="BS796" s="1207"/>
      <c r="BT796" s="1207"/>
      <c r="BU796" s="1207"/>
      <c r="BV796" s="1207"/>
      <c r="BW796" s="1207"/>
      <c r="BX796" s="1207"/>
      <c r="BY796" s="1207"/>
      <c r="BZ796" s="1207"/>
      <c r="CA796" s="1207"/>
      <c r="CB796" s="1207"/>
      <c r="CC796" s="1207"/>
      <c r="CD796" s="1207"/>
      <c r="CE796" s="1207"/>
      <c r="CF796" s="1207"/>
    </row>
    <row r="797" spans="1:84" ht="105" x14ac:dyDescent="0.2">
      <c r="A797" s="1355">
        <v>2022832</v>
      </c>
      <c r="B797" s="1172">
        <v>7655</v>
      </c>
      <c r="C797" s="1356" t="s">
        <v>670</v>
      </c>
      <c r="D797" s="1190" t="s">
        <v>697</v>
      </c>
      <c r="E797" s="1174">
        <v>80111600</v>
      </c>
      <c r="F797" s="1174" t="s">
        <v>1417</v>
      </c>
      <c r="G797" s="1390">
        <v>44817</v>
      </c>
      <c r="H797" s="1390">
        <v>44820</v>
      </c>
      <c r="I797" s="1176">
        <v>4</v>
      </c>
      <c r="J797" s="1176" t="s">
        <v>675</v>
      </c>
      <c r="K797" s="1177" t="s">
        <v>676</v>
      </c>
      <c r="L797" s="1178" t="s">
        <v>677</v>
      </c>
      <c r="M797" s="1179">
        <v>20010000</v>
      </c>
      <c r="N797" s="1386" t="s">
        <v>785</v>
      </c>
      <c r="O797" s="1174" t="s">
        <v>780</v>
      </c>
      <c r="P797" s="1163" t="s">
        <v>759</v>
      </c>
      <c r="Q797" s="1207"/>
      <c r="R797" s="1357"/>
      <c r="S797" s="1357"/>
      <c r="T797" s="1357">
        <f>+Tabla16[[#This Row],[CDPS A 31 JULIO 2022]]-Tabla16[[#This Row],[CDP]]</f>
        <v>0</v>
      </c>
      <c r="U797" s="1357"/>
      <c r="V797" s="1357"/>
      <c r="W797" s="1357"/>
      <c r="X797" s="1207"/>
      <c r="Y797" s="1207"/>
      <c r="Z797" s="1207"/>
      <c r="AA797" s="1207"/>
      <c r="AB797" s="1207"/>
      <c r="AC797" s="1207"/>
      <c r="AD797" s="1207"/>
      <c r="AE797" s="1207"/>
      <c r="AF797" s="1207"/>
      <c r="AG797" s="1207"/>
      <c r="AH797" s="1207"/>
      <c r="AI797" s="1207"/>
      <c r="AJ797" s="1207"/>
      <c r="AK797" s="1207"/>
      <c r="AL797" s="1207"/>
      <c r="AM797" s="1207"/>
      <c r="AN797" s="1207"/>
      <c r="AO797" s="1207"/>
      <c r="AP797" s="1207"/>
      <c r="AQ797" s="1207"/>
      <c r="AR797" s="1207"/>
      <c r="AS797" s="1207"/>
      <c r="AT797" s="1207"/>
      <c r="AU797" s="1207"/>
      <c r="AV797" s="1207"/>
      <c r="AW797" s="1207"/>
      <c r="AX797" s="1207"/>
      <c r="AY797" s="1207"/>
      <c r="AZ797" s="1207"/>
      <c r="BA797" s="1207"/>
      <c r="BB797" s="1207"/>
      <c r="BC797" s="1207"/>
      <c r="BD797" s="1207"/>
      <c r="BE797" s="1207"/>
      <c r="BF797" s="1207"/>
      <c r="BG797" s="1207"/>
      <c r="BH797" s="1207"/>
      <c r="BI797" s="1207"/>
      <c r="BJ797" s="1207"/>
      <c r="BK797" s="1207"/>
      <c r="BL797" s="1207"/>
      <c r="BM797" s="1207"/>
      <c r="BN797" s="1207"/>
      <c r="BO797" s="1207"/>
      <c r="BP797" s="1207"/>
      <c r="BQ797" s="1207"/>
      <c r="BR797" s="1207"/>
      <c r="BS797" s="1207"/>
      <c r="BT797" s="1207"/>
      <c r="BU797" s="1207"/>
      <c r="BV797" s="1207"/>
      <c r="BW797" s="1207"/>
      <c r="BX797" s="1207"/>
      <c r="BY797" s="1207"/>
      <c r="BZ797" s="1207"/>
      <c r="CA797" s="1207"/>
      <c r="CB797" s="1207"/>
      <c r="CC797" s="1207"/>
      <c r="CD797" s="1207"/>
      <c r="CE797" s="1207"/>
      <c r="CF797" s="1207"/>
    </row>
    <row r="798" spans="1:84" ht="105" x14ac:dyDescent="0.2">
      <c r="A798" s="1355">
        <v>2022833</v>
      </c>
      <c r="B798" s="1172">
        <v>7655</v>
      </c>
      <c r="C798" s="1356" t="s">
        <v>670</v>
      </c>
      <c r="D798" s="1190" t="s">
        <v>697</v>
      </c>
      <c r="E798" s="1174">
        <v>80111600</v>
      </c>
      <c r="F798" s="1174" t="s">
        <v>1418</v>
      </c>
      <c r="G798" s="1390">
        <v>44819</v>
      </c>
      <c r="H798" s="1390">
        <v>44823</v>
      </c>
      <c r="I798" s="1176">
        <v>3</v>
      </c>
      <c r="J798" s="1176" t="s">
        <v>675</v>
      </c>
      <c r="K798" s="1177" t="s">
        <v>676</v>
      </c>
      <c r="L798" s="1178" t="s">
        <v>677</v>
      </c>
      <c r="M798" s="1179">
        <v>15007500</v>
      </c>
      <c r="N798" s="1386" t="s">
        <v>785</v>
      </c>
      <c r="O798" s="1174" t="s">
        <v>780</v>
      </c>
      <c r="P798" s="1163" t="s">
        <v>759</v>
      </c>
      <c r="Q798" s="1207"/>
      <c r="R798" s="1357"/>
      <c r="S798" s="1357"/>
      <c r="T798" s="1357">
        <f>+Tabla16[[#This Row],[CDPS A 31 JULIO 2022]]-Tabla16[[#This Row],[CDP]]</f>
        <v>0</v>
      </c>
      <c r="U798" s="1357"/>
      <c r="V798" s="1357"/>
      <c r="W798" s="1357"/>
      <c r="X798" s="1207"/>
      <c r="Y798" s="1207"/>
      <c r="Z798" s="1207"/>
      <c r="AA798" s="1207"/>
      <c r="AB798" s="1207"/>
      <c r="AC798" s="1207"/>
      <c r="AD798" s="1207"/>
      <c r="AE798" s="1207"/>
      <c r="AF798" s="1207"/>
      <c r="AG798" s="1207"/>
      <c r="AH798" s="1207"/>
      <c r="AI798" s="1207"/>
      <c r="AJ798" s="1207"/>
      <c r="AK798" s="1207"/>
      <c r="AL798" s="1207"/>
      <c r="AM798" s="1207"/>
      <c r="AN798" s="1207"/>
      <c r="AO798" s="1207"/>
      <c r="AP798" s="1207"/>
      <c r="AQ798" s="1207"/>
      <c r="AR798" s="1207"/>
      <c r="AS798" s="1207"/>
      <c r="AT798" s="1207"/>
      <c r="AU798" s="1207"/>
      <c r="AV798" s="1207"/>
      <c r="AW798" s="1207"/>
      <c r="AX798" s="1207"/>
      <c r="AY798" s="1207"/>
      <c r="AZ798" s="1207"/>
      <c r="BA798" s="1207"/>
      <c r="BB798" s="1207"/>
      <c r="BC798" s="1207"/>
      <c r="BD798" s="1207"/>
      <c r="BE798" s="1207"/>
      <c r="BF798" s="1207"/>
      <c r="BG798" s="1207"/>
      <c r="BH798" s="1207"/>
      <c r="BI798" s="1207"/>
      <c r="BJ798" s="1207"/>
      <c r="BK798" s="1207"/>
      <c r="BL798" s="1207"/>
      <c r="BM798" s="1207"/>
      <c r="BN798" s="1207"/>
      <c r="BO798" s="1207"/>
      <c r="BP798" s="1207"/>
      <c r="BQ798" s="1207"/>
      <c r="BR798" s="1207"/>
      <c r="BS798" s="1207"/>
      <c r="BT798" s="1207"/>
      <c r="BU798" s="1207"/>
      <c r="BV798" s="1207"/>
      <c r="BW798" s="1207"/>
      <c r="BX798" s="1207"/>
      <c r="BY798" s="1207"/>
      <c r="BZ798" s="1207"/>
      <c r="CA798" s="1207"/>
      <c r="CB798" s="1207"/>
      <c r="CC798" s="1207"/>
      <c r="CD798" s="1207"/>
      <c r="CE798" s="1207"/>
      <c r="CF798" s="1207"/>
    </row>
    <row r="799" spans="1:84" s="1317" customFormat="1" ht="105" x14ac:dyDescent="0.2">
      <c r="A799" s="1355">
        <v>2022834</v>
      </c>
      <c r="B799" s="1172">
        <v>7655</v>
      </c>
      <c r="C799" s="1356" t="s">
        <v>670</v>
      </c>
      <c r="D799" s="1190" t="s">
        <v>697</v>
      </c>
      <c r="E799" s="1174">
        <v>80111600</v>
      </c>
      <c r="F799" s="1174" t="s">
        <v>1419</v>
      </c>
      <c r="G799" s="1390">
        <v>44824</v>
      </c>
      <c r="H799" s="1390">
        <v>44827</v>
      </c>
      <c r="I799" s="1176">
        <v>3</v>
      </c>
      <c r="J799" s="1176" t="s">
        <v>675</v>
      </c>
      <c r="K799" s="1177" t="s">
        <v>676</v>
      </c>
      <c r="L799" s="1178" t="s">
        <v>677</v>
      </c>
      <c r="M799" s="1179">
        <v>15750633</v>
      </c>
      <c r="N799" s="1386" t="s">
        <v>785</v>
      </c>
      <c r="O799" s="1174" t="s">
        <v>780</v>
      </c>
      <c r="P799" s="1163" t="s">
        <v>759</v>
      </c>
      <c r="Q799" s="1207"/>
      <c r="R799" s="1357"/>
      <c r="S799" s="1357"/>
      <c r="T799" s="1357">
        <f>+Tabla16[[#This Row],[CDPS A 31 JULIO 2022]]-Tabla16[[#This Row],[CDP]]</f>
        <v>0</v>
      </c>
      <c r="U799" s="1357"/>
      <c r="V799" s="1357"/>
      <c r="W799" s="1357"/>
    </row>
    <row r="800" spans="1:84" s="1317" customFormat="1" ht="105" x14ac:dyDescent="0.2">
      <c r="A800" s="1355">
        <v>2022835</v>
      </c>
      <c r="B800" s="1172">
        <v>7655</v>
      </c>
      <c r="C800" s="1356" t="s">
        <v>670</v>
      </c>
      <c r="D800" s="1190" t="s">
        <v>697</v>
      </c>
      <c r="E800" s="1174">
        <v>80111600</v>
      </c>
      <c r="F800" s="1174" t="s">
        <v>1420</v>
      </c>
      <c r="G800" s="1390">
        <v>44824</v>
      </c>
      <c r="H800" s="1390">
        <v>44827</v>
      </c>
      <c r="I800" s="1176">
        <v>3.5</v>
      </c>
      <c r="J800" s="1176" t="s">
        <v>675</v>
      </c>
      <c r="K800" s="1177" t="s">
        <v>676</v>
      </c>
      <c r="L800" s="1178" t="s">
        <v>677</v>
      </c>
      <c r="M800" s="1179">
        <v>14055300</v>
      </c>
      <c r="N800" s="1386" t="s">
        <v>785</v>
      </c>
      <c r="O800" s="1174" t="s">
        <v>780</v>
      </c>
      <c r="P800" s="1163" t="s">
        <v>759</v>
      </c>
      <c r="Q800" s="1207"/>
      <c r="R800" s="1357"/>
      <c r="S800" s="1357"/>
      <c r="T800" s="1357">
        <f>+Tabla16[[#This Row],[CDPS A 31 JULIO 2022]]-Tabla16[[#This Row],[CDP]]</f>
        <v>0</v>
      </c>
      <c r="U800" s="1357"/>
      <c r="V800" s="1357"/>
      <c r="W800" s="1357"/>
    </row>
    <row r="801" spans="1:23" s="1317" customFormat="1" ht="105" x14ac:dyDescent="0.2">
      <c r="A801" s="1355">
        <v>2022836</v>
      </c>
      <c r="B801" s="1172">
        <v>7655</v>
      </c>
      <c r="C801" s="1356" t="s">
        <v>670</v>
      </c>
      <c r="D801" s="1190" t="s">
        <v>697</v>
      </c>
      <c r="E801" s="1174">
        <v>80111600</v>
      </c>
      <c r="F801" s="1174" t="s">
        <v>1421</v>
      </c>
      <c r="G801" s="1390">
        <v>44826</v>
      </c>
      <c r="H801" s="1390">
        <v>44829</v>
      </c>
      <c r="I801" s="1176">
        <v>2</v>
      </c>
      <c r="J801" s="1176" t="s">
        <v>675</v>
      </c>
      <c r="K801" s="1177" t="s">
        <v>676</v>
      </c>
      <c r="L801" s="1178" t="s">
        <v>677</v>
      </c>
      <c r="M801" s="1179">
        <v>7700000</v>
      </c>
      <c r="N801" s="1386" t="s">
        <v>785</v>
      </c>
      <c r="O801" s="1174" t="s">
        <v>780</v>
      </c>
      <c r="P801" s="1163" t="s">
        <v>759</v>
      </c>
      <c r="Q801" s="1207"/>
      <c r="R801" s="1357"/>
      <c r="S801" s="1357"/>
      <c r="T801" s="1357">
        <f>+Tabla16[[#This Row],[CDPS A 31 JULIO 2022]]-Tabla16[[#This Row],[CDP]]</f>
        <v>0</v>
      </c>
      <c r="U801" s="1357"/>
      <c r="V801" s="1357"/>
      <c r="W801" s="1357"/>
    </row>
    <row r="802" spans="1:23" s="1317" customFormat="1" ht="105" x14ac:dyDescent="0.2">
      <c r="A802" s="1355">
        <v>2022837</v>
      </c>
      <c r="B802" s="1172">
        <v>7655</v>
      </c>
      <c r="C802" s="1356" t="s">
        <v>670</v>
      </c>
      <c r="D802" s="1190" t="s">
        <v>697</v>
      </c>
      <c r="E802" s="1174">
        <v>80111600</v>
      </c>
      <c r="F802" s="1174" t="s">
        <v>1422</v>
      </c>
      <c r="G802" s="1390">
        <v>44831</v>
      </c>
      <c r="H802" s="1390">
        <v>44834</v>
      </c>
      <c r="I802" s="1176">
        <v>2.5</v>
      </c>
      <c r="J802" s="1176" t="s">
        <v>675</v>
      </c>
      <c r="K802" s="1177" t="s">
        <v>676</v>
      </c>
      <c r="L802" s="1178" t="s">
        <v>677</v>
      </c>
      <c r="M802" s="1179">
        <v>10867500</v>
      </c>
      <c r="N802" s="1386" t="s">
        <v>785</v>
      </c>
      <c r="O802" s="1174" t="s">
        <v>780</v>
      </c>
      <c r="P802" s="1163" t="s">
        <v>759</v>
      </c>
      <c r="Q802" s="1207"/>
      <c r="R802" s="1357"/>
      <c r="S802" s="1357"/>
      <c r="T802" s="1357">
        <f>+Tabla16[[#This Row],[CDPS A 31 JULIO 2022]]-Tabla16[[#This Row],[CDP]]</f>
        <v>0</v>
      </c>
      <c r="U802" s="1357"/>
      <c r="V802" s="1357"/>
      <c r="W802" s="1357"/>
    </row>
    <row r="803" spans="1:23" s="1317" customFormat="1" ht="105" x14ac:dyDescent="0.2">
      <c r="A803" s="1355">
        <v>2022838</v>
      </c>
      <c r="B803" s="1172">
        <v>7655</v>
      </c>
      <c r="C803" s="1356" t="s">
        <v>670</v>
      </c>
      <c r="D803" s="1190" t="s">
        <v>697</v>
      </c>
      <c r="E803" s="1174">
        <v>80111600</v>
      </c>
      <c r="F803" s="1174" t="s">
        <v>857</v>
      </c>
      <c r="G803" s="1390">
        <v>44814</v>
      </c>
      <c r="H803" s="1390">
        <v>44821</v>
      </c>
      <c r="I803" s="1176">
        <v>1.5</v>
      </c>
      <c r="J803" s="1176" t="s">
        <v>675</v>
      </c>
      <c r="K803" s="1177" t="s">
        <v>676</v>
      </c>
      <c r="L803" s="1178" t="s">
        <v>677</v>
      </c>
      <c r="M803" s="1179">
        <v>6520500</v>
      </c>
      <c r="N803" s="1386" t="s">
        <v>785</v>
      </c>
      <c r="O803" s="1174" t="s">
        <v>780</v>
      </c>
      <c r="P803" s="1163" t="s">
        <v>680</v>
      </c>
      <c r="Q803" s="1207"/>
      <c r="R803" s="1357"/>
      <c r="S803" s="1357"/>
      <c r="T803" s="1357">
        <f>+Tabla16[[#This Row],[CDPS A 31 JULIO 2022]]-Tabla16[[#This Row],[CDP]]</f>
        <v>0</v>
      </c>
      <c r="U803" s="1357"/>
      <c r="V803" s="1357"/>
      <c r="W803" s="1357"/>
    </row>
    <row r="804" spans="1:23" s="1317" customFormat="1" ht="105" x14ac:dyDescent="0.2">
      <c r="A804" s="1355">
        <v>2022839</v>
      </c>
      <c r="B804" s="1172">
        <v>7655</v>
      </c>
      <c r="C804" s="1356" t="s">
        <v>670</v>
      </c>
      <c r="D804" s="1190" t="s">
        <v>697</v>
      </c>
      <c r="E804" s="1174">
        <v>80111600</v>
      </c>
      <c r="F804" s="1174" t="s">
        <v>859</v>
      </c>
      <c r="G804" s="1390">
        <v>44814</v>
      </c>
      <c r="H804" s="1390">
        <v>44821</v>
      </c>
      <c r="I804" s="1176">
        <v>3.5</v>
      </c>
      <c r="J804" s="1176" t="s">
        <v>675</v>
      </c>
      <c r="K804" s="1177" t="s">
        <v>676</v>
      </c>
      <c r="L804" s="1178" t="s">
        <v>677</v>
      </c>
      <c r="M804" s="1179">
        <v>17850000</v>
      </c>
      <c r="N804" s="1386" t="s">
        <v>785</v>
      </c>
      <c r="O804" s="1174" t="s">
        <v>780</v>
      </c>
      <c r="P804" s="1163" t="s">
        <v>680</v>
      </c>
      <c r="Q804" s="1207"/>
      <c r="R804" s="1357"/>
      <c r="S804" s="1357"/>
      <c r="T804" s="1357">
        <f>+Tabla16[[#This Row],[CDPS A 31 JULIO 2022]]-Tabla16[[#This Row],[CDP]]</f>
        <v>0</v>
      </c>
      <c r="U804" s="1357"/>
      <c r="V804" s="1357"/>
      <c r="W804" s="1357"/>
    </row>
    <row r="805" spans="1:23" s="1317" customFormat="1" ht="105" x14ac:dyDescent="0.2">
      <c r="A805" s="1355">
        <v>2022840</v>
      </c>
      <c r="B805" s="1172">
        <v>7655</v>
      </c>
      <c r="C805" s="1356" t="s">
        <v>670</v>
      </c>
      <c r="D805" s="1190" t="s">
        <v>697</v>
      </c>
      <c r="E805" s="1174">
        <v>80111600</v>
      </c>
      <c r="F805" s="1174" t="s">
        <v>862</v>
      </c>
      <c r="G805" s="1390">
        <v>44814</v>
      </c>
      <c r="H805" s="1390">
        <v>44821</v>
      </c>
      <c r="I805" s="1176">
        <v>3</v>
      </c>
      <c r="J805" s="1176" t="s">
        <v>675</v>
      </c>
      <c r="K805" s="1177" t="s">
        <v>676</v>
      </c>
      <c r="L805" s="1178" t="s">
        <v>677</v>
      </c>
      <c r="M805" s="1179">
        <v>16509700</v>
      </c>
      <c r="N805" s="1386" t="s">
        <v>785</v>
      </c>
      <c r="O805" s="1174" t="s">
        <v>780</v>
      </c>
      <c r="P805" s="1163" t="s">
        <v>680</v>
      </c>
      <c r="Q805" s="1207"/>
      <c r="R805" s="1357"/>
      <c r="S805" s="1357"/>
      <c r="T805" s="1357">
        <f>+Tabla16[[#This Row],[CDPS A 31 JULIO 2022]]-Tabla16[[#This Row],[CDP]]</f>
        <v>0</v>
      </c>
      <c r="U805" s="1357"/>
      <c r="V805" s="1357"/>
      <c r="W805" s="1357"/>
    </row>
    <row r="806" spans="1:23" s="1317" customFormat="1" ht="105" x14ac:dyDescent="0.2">
      <c r="A806" s="1355">
        <v>2022841</v>
      </c>
      <c r="B806" s="1172">
        <v>7655</v>
      </c>
      <c r="C806" s="1356" t="s">
        <v>670</v>
      </c>
      <c r="D806" s="1190" t="s">
        <v>697</v>
      </c>
      <c r="E806" s="1174">
        <v>80111600</v>
      </c>
      <c r="F806" s="1174" t="s">
        <v>1423</v>
      </c>
      <c r="G806" s="1390">
        <v>44814</v>
      </c>
      <c r="H806" s="1390">
        <v>44821</v>
      </c>
      <c r="I806" s="1176">
        <v>4</v>
      </c>
      <c r="J806" s="1176" t="s">
        <v>675</v>
      </c>
      <c r="K806" s="1177" t="s">
        <v>676</v>
      </c>
      <c r="L806" s="1178" t="s">
        <v>677</v>
      </c>
      <c r="M806" s="1179">
        <v>13400000</v>
      </c>
      <c r="N806" s="1386" t="s">
        <v>785</v>
      </c>
      <c r="O806" s="1174" t="s">
        <v>780</v>
      </c>
      <c r="P806" s="1163" t="s">
        <v>680</v>
      </c>
      <c r="Q806" s="1207"/>
      <c r="R806" s="1357"/>
      <c r="S806" s="1357"/>
      <c r="T806" s="1357">
        <f>+Tabla16[[#This Row],[CDPS A 31 JULIO 2022]]-Tabla16[[#This Row],[CDP]]</f>
        <v>0</v>
      </c>
      <c r="U806" s="1357"/>
      <c r="V806" s="1357"/>
      <c r="W806" s="1357"/>
    </row>
    <row r="807" spans="1:23" s="1317" customFormat="1" ht="90" x14ac:dyDescent="0.2">
      <c r="A807" s="1355">
        <v>2022842</v>
      </c>
      <c r="B807" s="1172">
        <v>7658</v>
      </c>
      <c r="C807" s="1356" t="s">
        <v>681</v>
      </c>
      <c r="D807" s="1190" t="s">
        <v>697</v>
      </c>
      <c r="E807" s="1174">
        <v>80111600</v>
      </c>
      <c r="F807" s="1174" t="s">
        <v>1424</v>
      </c>
      <c r="G807" s="1390">
        <v>44822</v>
      </c>
      <c r="H807" s="1390">
        <v>44825</v>
      </c>
      <c r="I807" s="1176">
        <v>3</v>
      </c>
      <c r="J807" s="1176" t="s">
        <v>675</v>
      </c>
      <c r="K807" s="1177" t="s">
        <v>676</v>
      </c>
      <c r="L807" s="1178" t="s">
        <v>677</v>
      </c>
      <c r="M807" s="1179">
        <v>7350000</v>
      </c>
      <c r="N807" s="1386" t="s">
        <v>767</v>
      </c>
      <c r="O807" s="1174" t="s">
        <v>766</v>
      </c>
      <c r="P807" s="1163" t="s">
        <v>759</v>
      </c>
      <c r="Q807" s="1207"/>
      <c r="R807" s="1357"/>
      <c r="S807" s="1357"/>
      <c r="T807" s="1357">
        <f>+Tabla16[[#This Row],[CDPS A 31 JULIO 2022]]-Tabla16[[#This Row],[CDP]]</f>
        <v>0</v>
      </c>
      <c r="U807" s="1357"/>
      <c r="V807" s="1357"/>
      <c r="W807" s="1357"/>
    </row>
    <row r="808" spans="1:23" s="1317" customFormat="1" ht="90" x14ac:dyDescent="0.2">
      <c r="A808" s="1355">
        <v>2022843</v>
      </c>
      <c r="B808" s="1172">
        <v>7658</v>
      </c>
      <c r="C808" s="1356" t="s">
        <v>681</v>
      </c>
      <c r="D808" s="1190" t="s">
        <v>697</v>
      </c>
      <c r="E808" s="1174">
        <v>80111600</v>
      </c>
      <c r="F808" s="1174" t="s">
        <v>1425</v>
      </c>
      <c r="G808" s="1390">
        <v>44824</v>
      </c>
      <c r="H808" s="1390">
        <v>44827</v>
      </c>
      <c r="I808" s="1176">
        <v>4</v>
      </c>
      <c r="J808" s="1176" t="s">
        <v>675</v>
      </c>
      <c r="K808" s="1177" t="s">
        <v>676</v>
      </c>
      <c r="L808" s="1178" t="s">
        <v>677</v>
      </c>
      <c r="M808" s="1179">
        <v>15939000</v>
      </c>
      <c r="N808" s="1386" t="s">
        <v>767</v>
      </c>
      <c r="O808" s="1174" t="s">
        <v>766</v>
      </c>
      <c r="P808" s="1163" t="s">
        <v>759</v>
      </c>
      <c r="Q808" s="1207"/>
      <c r="R808" s="1357"/>
      <c r="S808" s="1357"/>
      <c r="T808" s="1357">
        <f>+Tabla16[[#This Row],[CDPS A 31 JULIO 2022]]-Tabla16[[#This Row],[CDP]]</f>
        <v>0</v>
      </c>
      <c r="U808" s="1357"/>
      <c r="V808" s="1357"/>
      <c r="W808" s="1357"/>
    </row>
    <row r="809" spans="1:23" s="1317" customFormat="1" ht="105" x14ac:dyDescent="0.2">
      <c r="A809" s="1355">
        <v>2022845</v>
      </c>
      <c r="B809" s="1172">
        <v>7655</v>
      </c>
      <c r="C809" s="1356" t="s">
        <v>670</v>
      </c>
      <c r="D809" s="1190" t="s">
        <v>691</v>
      </c>
      <c r="E809" s="1174" t="s">
        <v>782</v>
      </c>
      <c r="F809" s="1174" t="s">
        <v>1427</v>
      </c>
      <c r="G809" s="1390">
        <v>44805</v>
      </c>
      <c r="H809" s="1390">
        <v>44814</v>
      </c>
      <c r="I809" s="1176">
        <v>4</v>
      </c>
      <c r="J809" s="1176" t="s">
        <v>675</v>
      </c>
      <c r="K809" s="1177" t="s">
        <v>676</v>
      </c>
      <c r="L809" s="1178" t="s">
        <v>677</v>
      </c>
      <c r="M809" s="1179">
        <v>36000000</v>
      </c>
      <c r="N809" s="1386" t="s">
        <v>785</v>
      </c>
      <c r="O809" s="1174" t="s">
        <v>780</v>
      </c>
      <c r="P809" s="1207" t="s">
        <v>680</v>
      </c>
      <c r="Q809" s="1207"/>
      <c r="R809" s="1357"/>
      <c r="S809" s="1357"/>
      <c r="T809" s="1357">
        <f>+Tabla16[[#This Row],[CDPS A 31 JULIO 2022]]-Tabla16[[#This Row],[CDP]]</f>
        <v>0</v>
      </c>
      <c r="U809" s="1357"/>
      <c r="V809" s="1357"/>
      <c r="W809" s="1357"/>
    </row>
    <row r="810" spans="1:23" s="1317" customFormat="1" x14ac:dyDescent="0.2">
      <c r="A810" s="1322"/>
      <c r="B810" s="1339"/>
      <c r="C810" s="1345"/>
      <c r="D810" s="1334"/>
      <c r="E810" s="1335"/>
      <c r="F810" s="1335"/>
      <c r="G810" s="1327"/>
      <c r="H810" s="1327"/>
      <c r="I810" s="1323"/>
      <c r="J810" s="1323"/>
      <c r="K810" s="1324"/>
      <c r="L810" s="1325"/>
      <c r="M810" s="1336"/>
      <c r="N810" s="1338"/>
      <c r="O810" s="1335"/>
      <c r="P810" s="1316"/>
      <c r="R810" s="1352"/>
      <c r="S810" s="1352"/>
      <c r="T810" s="1352">
        <f>+Tabla16[[#This Row],[CDPS A 31 JULIO 2022]]-Tabla16[[#This Row],[CDP]]</f>
        <v>0</v>
      </c>
      <c r="U810" s="1352"/>
      <c r="V810" s="1352"/>
      <c r="W810" s="1352"/>
    </row>
    <row r="811" spans="1:23" s="1317" customFormat="1" x14ac:dyDescent="0.2">
      <c r="A811" s="1322"/>
      <c r="B811" s="1339"/>
      <c r="C811" s="1345"/>
      <c r="D811" s="1334"/>
      <c r="E811" s="1335"/>
      <c r="F811" s="1335"/>
      <c r="G811" s="1327"/>
      <c r="H811" s="1327"/>
      <c r="I811" s="1323"/>
      <c r="J811" s="1323"/>
      <c r="K811" s="1324"/>
      <c r="L811" s="1325"/>
      <c r="M811" s="1336"/>
      <c r="N811" s="1338"/>
      <c r="O811" s="1335"/>
      <c r="P811" s="1316"/>
      <c r="R811" s="1352"/>
      <c r="S811" s="1352"/>
      <c r="T811" s="1352">
        <f>+Tabla16[[#This Row],[CDPS A 31 JULIO 2022]]-Tabla16[[#This Row],[CDP]]</f>
        <v>0</v>
      </c>
      <c r="U811" s="1352"/>
      <c r="V811" s="1352"/>
      <c r="W811" s="1352"/>
    </row>
    <row r="812" spans="1:23" s="1317" customFormat="1" x14ac:dyDescent="0.2">
      <c r="A812" s="1322"/>
      <c r="B812" s="1339"/>
      <c r="C812" s="1345"/>
      <c r="D812" s="1334"/>
      <c r="E812" s="1335"/>
      <c r="F812" s="1335"/>
      <c r="G812" s="1327"/>
      <c r="H812" s="1327"/>
      <c r="I812" s="1323"/>
      <c r="J812" s="1323"/>
      <c r="K812" s="1324"/>
      <c r="L812" s="1325"/>
      <c r="M812" s="1336"/>
      <c r="N812" s="1338"/>
      <c r="O812" s="1335"/>
      <c r="P812" s="1316"/>
      <c r="R812" s="1352"/>
      <c r="S812" s="1352"/>
      <c r="T812" s="1352">
        <f>+Tabla16[[#This Row],[CDPS A 31 JULIO 2022]]-Tabla16[[#This Row],[CDP]]</f>
        <v>0</v>
      </c>
      <c r="U812" s="1352"/>
      <c r="V812" s="1352"/>
      <c r="W812" s="1352"/>
    </row>
    <row r="813" spans="1:23" s="1317" customFormat="1" x14ac:dyDescent="0.2">
      <c r="A813" s="1322"/>
      <c r="B813" s="1339"/>
      <c r="C813" s="1345"/>
      <c r="D813" s="1334"/>
      <c r="E813" s="1335"/>
      <c r="F813" s="1335"/>
      <c r="G813" s="1327"/>
      <c r="H813" s="1327"/>
      <c r="I813" s="1323"/>
      <c r="J813" s="1323"/>
      <c r="K813" s="1324"/>
      <c r="L813" s="1325"/>
      <c r="M813" s="1336"/>
      <c r="N813" s="1338"/>
      <c r="O813" s="1335"/>
      <c r="P813" s="1316"/>
      <c r="R813" s="1352"/>
      <c r="S813" s="1352"/>
      <c r="T813" s="1352">
        <f>+Tabla16[[#This Row],[CDPS A 31 JULIO 2022]]-Tabla16[[#This Row],[CDP]]</f>
        <v>0</v>
      </c>
      <c r="U813" s="1352"/>
      <c r="V813" s="1352"/>
      <c r="W813" s="1352"/>
    </row>
    <row r="814" spans="1:23" s="1317" customFormat="1" x14ac:dyDescent="0.2">
      <c r="A814" s="1322"/>
      <c r="B814" s="1339"/>
      <c r="C814" s="1345"/>
      <c r="D814" s="1334"/>
      <c r="E814" s="1335"/>
      <c r="F814" s="1335"/>
      <c r="G814" s="1327"/>
      <c r="H814" s="1327"/>
      <c r="I814" s="1323"/>
      <c r="J814" s="1323"/>
      <c r="K814" s="1324"/>
      <c r="L814" s="1325"/>
      <c r="M814" s="1336"/>
      <c r="N814" s="1338"/>
      <c r="O814" s="1335"/>
      <c r="P814" s="1316"/>
      <c r="R814" s="1352"/>
      <c r="S814" s="1352"/>
      <c r="T814" s="1352">
        <f>+Tabla16[[#This Row],[CDPS A 31 JULIO 2022]]-Tabla16[[#This Row],[CDP]]</f>
        <v>0</v>
      </c>
      <c r="U814" s="1352"/>
      <c r="V814" s="1352"/>
      <c r="W814" s="1352"/>
    </row>
    <row r="815" spans="1:23" s="1317" customFormat="1" x14ac:dyDescent="0.2">
      <c r="A815" s="1322"/>
      <c r="B815" s="1339"/>
      <c r="C815" s="1345"/>
      <c r="D815" s="1334"/>
      <c r="E815" s="1335"/>
      <c r="F815" s="1335"/>
      <c r="G815" s="1327"/>
      <c r="H815" s="1327"/>
      <c r="I815" s="1323"/>
      <c r="J815" s="1323"/>
      <c r="K815" s="1324"/>
      <c r="L815" s="1325"/>
      <c r="M815" s="1336"/>
      <c r="N815" s="1338"/>
      <c r="O815" s="1335"/>
      <c r="P815" s="1316"/>
      <c r="R815" s="1352"/>
      <c r="S815" s="1352"/>
      <c r="T815" s="1352">
        <f>+Tabla16[[#This Row],[CDPS A 31 JULIO 2022]]-Tabla16[[#This Row],[CDP]]</f>
        <v>0</v>
      </c>
      <c r="U815" s="1352"/>
      <c r="V815" s="1352"/>
      <c r="W815" s="1352"/>
    </row>
    <row r="816" spans="1:23" s="1317" customFormat="1" x14ac:dyDescent="0.2">
      <c r="A816" s="1322"/>
      <c r="B816" s="1339"/>
      <c r="C816" s="1345"/>
      <c r="D816" s="1334"/>
      <c r="E816" s="1335"/>
      <c r="F816" s="1335"/>
      <c r="G816" s="1327"/>
      <c r="H816" s="1327"/>
      <c r="I816" s="1323"/>
      <c r="J816" s="1323"/>
      <c r="K816" s="1324"/>
      <c r="L816" s="1325"/>
      <c r="M816" s="1336"/>
      <c r="N816" s="1338"/>
      <c r="O816" s="1335"/>
      <c r="P816" s="1316"/>
      <c r="R816" s="1352"/>
      <c r="S816" s="1352"/>
      <c r="T816" s="1352">
        <f>+Tabla16[[#This Row],[CDPS A 31 JULIO 2022]]-Tabla16[[#This Row],[CDP]]</f>
        <v>0</v>
      </c>
      <c r="U816" s="1352"/>
      <c r="V816" s="1352"/>
      <c r="W816" s="1352"/>
    </row>
    <row r="817" spans="1:23" s="1317" customFormat="1" x14ac:dyDescent="0.2">
      <c r="A817" s="1322"/>
      <c r="B817" s="1339"/>
      <c r="C817" s="1345"/>
      <c r="D817" s="1334"/>
      <c r="E817" s="1335"/>
      <c r="F817" s="1335"/>
      <c r="G817" s="1327"/>
      <c r="H817" s="1327"/>
      <c r="I817" s="1323"/>
      <c r="J817" s="1323"/>
      <c r="K817" s="1324"/>
      <c r="L817" s="1325"/>
      <c r="M817" s="1336"/>
      <c r="N817" s="1338"/>
      <c r="O817" s="1335"/>
      <c r="P817" s="1316"/>
      <c r="R817" s="1352"/>
      <c r="S817" s="1352"/>
      <c r="T817" s="1352">
        <f>+Tabla16[[#This Row],[CDPS A 31 JULIO 2022]]-Tabla16[[#This Row],[CDP]]</f>
        <v>0</v>
      </c>
      <c r="U817" s="1352"/>
      <c r="V817" s="1352"/>
      <c r="W817" s="1352"/>
    </row>
    <row r="818" spans="1:23" s="1317" customFormat="1" x14ac:dyDescent="0.2">
      <c r="A818" s="1322"/>
      <c r="B818" s="1339"/>
      <c r="C818" s="1345"/>
      <c r="D818" s="1334"/>
      <c r="E818" s="1335"/>
      <c r="F818" s="1335"/>
      <c r="G818" s="1327"/>
      <c r="H818" s="1327"/>
      <c r="I818" s="1323"/>
      <c r="J818" s="1323"/>
      <c r="K818" s="1324"/>
      <c r="L818" s="1325"/>
      <c r="M818" s="1336"/>
      <c r="N818" s="1338"/>
      <c r="O818" s="1335"/>
      <c r="P818" s="1316"/>
      <c r="R818" s="1352"/>
      <c r="S818" s="1352"/>
      <c r="T818" s="1352">
        <f>+Tabla16[[#This Row],[CDPS A 31 JULIO 2022]]-Tabla16[[#This Row],[CDP]]</f>
        <v>0</v>
      </c>
      <c r="U818" s="1352"/>
      <c r="V818" s="1352"/>
      <c r="W818" s="1352"/>
    </row>
    <row r="819" spans="1:23" s="1317" customFormat="1" x14ac:dyDescent="0.2">
      <c r="A819" s="1322"/>
      <c r="B819" s="1339"/>
      <c r="C819" s="1345"/>
      <c r="D819" s="1334"/>
      <c r="E819" s="1335"/>
      <c r="F819" s="1335"/>
      <c r="G819" s="1327"/>
      <c r="H819" s="1327"/>
      <c r="I819" s="1323"/>
      <c r="J819" s="1323"/>
      <c r="K819" s="1324"/>
      <c r="L819" s="1325"/>
      <c r="M819" s="1336"/>
      <c r="N819" s="1338"/>
      <c r="O819" s="1335"/>
      <c r="P819" s="1316"/>
      <c r="R819" s="1352"/>
      <c r="S819" s="1352"/>
      <c r="T819" s="1352">
        <f>+Tabla16[[#This Row],[CDPS A 31 JULIO 2022]]-Tabla16[[#This Row],[CDP]]</f>
        <v>0</v>
      </c>
      <c r="U819" s="1352"/>
      <c r="V819" s="1352"/>
      <c r="W819" s="1352"/>
    </row>
    <row r="820" spans="1:23" s="1317" customFormat="1" x14ac:dyDescent="0.2">
      <c r="A820" s="1322"/>
      <c r="B820" s="1339"/>
      <c r="C820" s="1345"/>
      <c r="D820" s="1334"/>
      <c r="E820" s="1335"/>
      <c r="F820" s="1335"/>
      <c r="G820" s="1327"/>
      <c r="H820" s="1327"/>
      <c r="I820" s="1323"/>
      <c r="J820" s="1323"/>
      <c r="K820" s="1324"/>
      <c r="L820" s="1325"/>
      <c r="M820" s="1336"/>
      <c r="N820" s="1338"/>
      <c r="O820" s="1335"/>
      <c r="P820" s="1316"/>
      <c r="R820" s="1352"/>
      <c r="S820" s="1352"/>
      <c r="T820" s="1352">
        <f>+Tabla16[[#This Row],[CDPS A 31 JULIO 2022]]-Tabla16[[#This Row],[CDP]]</f>
        <v>0</v>
      </c>
      <c r="U820" s="1352"/>
      <c r="V820" s="1352"/>
      <c r="W820" s="1352"/>
    </row>
    <row r="821" spans="1:23" s="1317" customFormat="1" x14ac:dyDescent="0.2">
      <c r="A821" s="1322"/>
      <c r="B821" s="1339"/>
      <c r="C821" s="1345"/>
      <c r="D821" s="1334"/>
      <c r="E821" s="1335"/>
      <c r="F821" s="1335"/>
      <c r="G821" s="1327"/>
      <c r="H821" s="1327"/>
      <c r="I821" s="1323"/>
      <c r="J821" s="1323"/>
      <c r="K821" s="1324"/>
      <c r="L821" s="1325"/>
      <c r="M821" s="1336"/>
      <c r="N821" s="1338"/>
      <c r="O821" s="1335"/>
      <c r="P821" s="1316"/>
      <c r="R821" s="1352"/>
      <c r="S821" s="1352"/>
      <c r="T821" s="1352">
        <f>+Tabla16[[#This Row],[CDPS A 31 JULIO 2022]]-Tabla16[[#This Row],[CDP]]</f>
        <v>0</v>
      </c>
      <c r="U821" s="1352"/>
      <c r="V821" s="1352"/>
      <c r="W821" s="1352"/>
    </row>
    <row r="822" spans="1:23" s="1317" customFormat="1" x14ac:dyDescent="0.2">
      <c r="A822" s="1322"/>
      <c r="B822" s="1339"/>
      <c r="C822" s="1345"/>
      <c r="D822" s="1334"/>
      <c r="E822" s="1335"/>
      <c r="F822" s="1335"/>
      <c r="G822" s="1327"/>
      <c r="H822" s="1327"/>
      <c r="I822" s="1323"/>
      <c r="J822" s="1323"/>
      <c r="K822" s="1324"/>
      <c r="L822" s="1325"/>
      <c r="M822" s="1336"/>
      <c r="N822" s="1338"/>
      <c r="O822" s="1335"/>
      <c r="P822" s="1316"/>
      <c r="R822" s="1352"/>
      <c r="S822" s="1352"/>
      <c r="T822" s="1352">
        <f>+Tabla16[[#This Row],[CDPS A 31 JULIO 2022]]-Tabla16[[#This Row],[CDP]]</f>
        <v>0</v>
      </c>
      <c r="U822" s="1352"/>
      <c r="V822" s="1352"/>
      <c r="W822" s="1352"/>
    </row>
    <row r="823" spans="1:23" s="1317" customFormat="1" x14ac:dyDescent="0.2">
      <c r="A823" s="1322"/>
      <c r="B823" s="1339"/>
      <c r="C823" s="1345"/>
      <c r="D823" s="1334"/>
      <c r="E823" s="1335"/>
      <c r="F823" s="1335"/>
      <c r="G823" s="1327"/>
      <c r="H823" s="1327"/>
      <c r="I823" s="1323"/>
      <c r="J823" s="1323"/>
      <c r="K823" s="1324"/>
      <c r="L823" s="1325"/>
      <c r="M823" s="1336"/>
      <c r="N823" s="1338"/>
      <c r="O823" s="1335"/>
      <c r="P823" s="1316"/>
      <c r="R823" s="1352"/>
      <c r="S823" s="1352"/>
      <c r="T823" s="1352">
        <f>+Tabla16[[#This Row],[CDPS A 31 JULIO 2022]]-Tabla16[[#This Row],[CDP]]</f>
        <v>0</v>
      </c>
      <c r="U823" s="1352"/>
      <c r="V823" s="1352"/>
      <c r="W823" s="1352"/>
    </row>
    <row r="824" spans="1:23" s="1317" customFormat="1" x14ac:dyDescent="0.2">
      <c r="A824" s="1322"/>
      <c r="B824" s="1339"/>
      <c r="C824" s="1345"/>
      <c r="D824" s="1334"/>
      <c r="E824" s="1335"/>
      <c r="F824" s="1335"/>
      <c r="G824" s="1327"/>
      <c r="H824" s="1327"/>
      <c r="I824" s="1323"/>
      <c r="J824" s="1323"/>
      <c r="K824" s="1324"/>
      <c r="L824" s="1325"/>
      <c r="M824" s="1336"/>
      <c r="N824" s="1338"/>
      <c r="O824" s="1335"/>
      <c r="P824" s="1316"/>
      <c r="R824" s="1352"/>
      <c r="S824" s="1352"/>
      <c r="T824" s="1352">
        <f>+Tabla16[[#This Row],[CDPS A 31 JULIO 2022]]-Tabla16[[#This Row],[CDP]]</f>
        <v>0</v>
      </c>
      <c r="U824" s="1352"/>
      <c r="V824" s="1352"/>
      <c r="W824" s="1352"/>
    </row>
    <row r="825" spans="1:23" s="1317" customFormat="1" x14ac:dyDescent="0.2">
      <c r="A825" s="1322"/>
      <c r="B825" s="1339"/>
      <c r="C825" s="1345"/>
      <c r="D825" s="1334"/>
      <c r="E825" s="1335"/>
      <c r="F825" s="1335"/>
      <c r="G825" s="1327"/>
      <c r="H825" s="1327"/>
      <c r="I825" s="1323"/>
      <c r="J825" s="1323"/>
      <c r="K825" s="1324"/>
      <c r="L825" s="1325"/>
      <c r="M825" s="1336"/>
      <c r="N825" s="1338"/>
      <c r="O825" s="1335"/>
      <c r="P825" s="1316"/>
      <c r="R825" s="1352"/>
      <c r="S825" s="1352"/>
      <c r="T825" s="1352">
        <f>+Tabla16[[#This Row],[CDPS A 31 JULIO 2022]]-Tabla16[[#This Row],[CDP]]</f>
        <v>0</v>
      </c>
      <c r="U825" s="1352"/>
      <c r="V825" s="1352"/>
      <c r="W825" s="1352"/>
    </row>
    <row r="826" spans="1:23" s="1317" customFormat="1" x14ac:dyDescent="0.2">
      <c r="A826" s="1322"/>
      <c r="B826" s="1339"/>
      <c r="C826" s="1345"/>
      <c r="D826" s="1334"/>
      <c r="E826" s="1335"/>
      <c r="F826" s="1335"/>
      <c r="G826" s="1327"/>
      <c r="H826" s="1327"/>
      <c r="I826" s="1323"/>
      <c r="J826" s="1323"/>
      <c r="K826" s="1324"/>
      <c r="L826" s="1325"/>
      <c r="M826" s="1336"/>
      <c r="N826" s="1338"/>
      <c r="O826" s="1335"/>
      <c r="P826" s="1316"/>
      <c r="R826" s="1352"/>
      <c r="S826" s="1352"/>
      <c r="T826" s="1352">
        <f>+Tabla16[[#This Row],[CDPS A 31 JULIO 2022]]-Tabla16[[#This Row],[CDP]]</f>
        <v>0</v>
      </c>
      <c r="U826" s="1352"/>
      <c r="V826" s="1352"/>
      <c r="W826" s="1352"/>
    </row>
    <row r="827" spans="1:23" s="1317" customFormat="1" x14ac:dyDescent="0.2">
      <c r="A827" s="1322"/>
      <c r="B827" s="1339"/>
      <c r="C827" s="1345"/>
      <c r="D827" s="1334"/>
      <c r="E827" s="1335"/>
      <c r="F827" s="1335"/>
      <c r="G827" s="1327"/>
      <c r="H827" s="1327"/>
      <c r="I827" s="1323"/>
      <c r="J827" s="1323"/>
      <c r="K827" s="1324"/>
      <c r="L827" s="1325"/>
      <c r="M827" s="1336"/>
      <c r="N827" s="1338"/>
      <c r="O827" s="1335"/>
      <c r="P827" s="1316"/>
      <c r="R827" s="1352"/>
      <c r="S827" s="1352"/>
      <c r="T827" s="1352">
        <f>+Tabla16[[#This Row],[CDPS A 31 JULIO 2022]]-Tabla16[[#This Row],[CDP]]</f>
        <v>0</v>
      </c>
      <c r="U827" s="1352"/>
      <c r="V827" s="1352"/>
      <c r="W827" s="1352"/>
    </row>
    <row r="828" spans="1:23" s="1317" customFormat="1" x14ac:dyDescent="0.2">
      <c r="A828" s="1322"/>
      <c r="B828" s="1339"/>
      <c r="C828" s="1345"/>
      <c r="D828" s="1334"/>
      <c r="E828" s="1335"/>
      <c r="F828" s="1335"/>
      <c r="G828" s="1327"/>
      <c r="H828" s="1327"/>
      <c r="I828" s="1323"/>
      <c r="J828" s="1323"/>
      <c r="K828" s="1324"/>
      <c r="L828" s="1325"/>
      <c r="M828" s="1336"/>
      <c r="N828" s="1338"/>
      <c r="O828" s="1335"/>
      <c r="P828" s="1316"/>
      <c r="R828" s="1352"/>
      <c r="S828" s="1352"/>
      <c r="T828" s="1352">
        <f>+Tabla16[[#This Row],[CDPS A 31 JULIO 2022]]-Tabla16[[#This Row],[CDP]]</f>
        <v>0</v>
      </c>
      <c r="U828" s="1352"/>
      <c r="V828" s="1352"/>
      <c r="W828" s="1352"/>
    </row>
    <row r="829" spans="1:23" s="1317" customFormat="1" x14ac:dyDescent="0.2">
      <c r="A829" s="1322"/>
      <c r="B829" s="1339"/>
      <c r="C829" s="1345"/>
      <c r="D829" s="1334"/>
      <c r="E829" s="1335"/>
      <c r="F829" s="1335"/>
      <c r="G829" s="1327"/>
      <c r="H829" s="1327"/>
      <c r="I829" s="1323"/>
      <c r="J829" s="1323"/>
      <c r="K829" s="1324"/>
      <c r="L829" s="1325"/>
      <c r="M829" s="1336"/>
      <c r="N829" s="1338"/>
      <c r="O829" s="1335"/>
      <c r="P829" s="1316"/>
      <c r="R829" s="1352"/>
      <c r="S829" s="1352"/>
      <c r="T829" s="1352">
        <f>+Tabla16[[#This Row],[CDPS A 31 JULIO 2022]]-Tabla16[[#This Row],[CDP]]</f>
        <v>0</v>
      </c>
      <c r="U829" s="1352"/>
      <c r="V829" s="1352"/>
      <c r="W829" s="1352"/>
    </row>
    <row r="830" spans="1:23" s="1317" customFormat="1" x14ac:dyDescent="0.2">
      <c r="A830" s="1322"/>
      <c r="B830" s="1339"/>
      <c r="C830" s="1345"/>
      <c r="D830" s="1334"/>
      <c r="E830" s="1335"/>
      <c r="F830" s="1335"/>
      <c r="G830" s="1327"/>
      <c r="H830" s="1327"/>
      <c r="I830" s="1323"/>
      <c r="J830" s="1323"/>
      <c r="K830" s="1324"/>
      <c r="L830" s="1325"/>
      <c r="M830" s="1336"/>
      <c r="N830" s="1338"/>
      <c r="O830" s="1335"/>
      <c r="P830" s="1316"/>
      <c r="R830" s="1352"/>
      <c r="S830" s="1352"/>
      <c r="T830" s="1352">
        <f>+Tabla16[[#This Row],[CDPS A 31 JULIO 2022]]-Tabla16[[#This Row],[CDP]]</f>
        <v>0</v>
      </c>
      <c r="U830" s="1352"/>
      <c r="V830" s="1352"/>
      <c r="W830" s="1352"/>
    </row>
    <row r="831" spans="1:23" s="1317" customFormat="1" x14ac:dyDescent="0.2">
      <c r="A831" s="1322"/>
      <c r="B831" s="1339"/>
      <c r="C831" s="1345"/>
      <c r="D831" s="1334"/>
      <c r="E831" s="1335"/>
      <c r="F831" s="1335"/>
      <c r="G831" s="1327"/>
      <c r="H831" s="1327"/>
      <c r="I831" s="1323"/>
      <c r="J831" s="1323"/>
      <c r="K831" s="1324"/>
      <c r="L831" s="1325"/>
      <c r="M831" s="1336"/>
      <c r="N831" s="1338"/>
      <c r="O831" s="1335"/>
      <c r="P831" s="1316"/>
      <c r="R831" s="1352"/>
      <c r="S831" s="1352"/>
      <c r="T831" s="1352">
        <f>+Tabla16[[#This Row],[CDPS A 31 JULIO 2022]]-Tabla16[[#This Row],[CDP]]</f>
        <v>0</v>
      </c>
      <c r="U831" s="1352"/>
      <c r="V831" s="1352"/>
      <c r="W831" s="1352"/>
    </row>
    <row r="832" spans="1:23" s="1317" customFormat="1" x14ac:dyDescent="0.2">
      <c r="A832" s="1322"/>
      <c r="B832" s="1339"/>
      <c r="C832" s="1345"/>
      <c r="D832" s="1334"/>
      <c r="E832" s="1335"/>
      <c r="F832" s="1335"/>
      <c r="G832" s="1327"/>
      <c r="H832" s="1327"/>
      <c r="I832" s="1323"/>
      <c r="J832" s="1323"/>
      <c r="K832" s="1324"/>
      <c r="L832" s="1325"/>
      <c r="M832" s="1336"/>
      <c r="N832" s="1338"/>
      <c r="O832" s="1335"/>
      <c r="P832" s="1316"/>
      <c r="R832" s="1352"/>
      <c r="S832" s="1352"/>
      <c r="T832" s="1352">
        <f>+Tabla16[[#This Row],[CDPS A 31 JULIO 2022]]-Tabla16[[#This Row],[CDP]]</f>
        <v>0</v>
      </c>
      <c r="U832" s="1352"/>
      <c r="V832" s="1352"/>
      <c r="W832" s="1352"/>
    </row>
    <row r="833" spans="1:23" s="1317" customFormat="1" x14ac:dyDescent="0.2">
      <c r="A833" s="1322"/>
      <c r="B833" s="1339"/>
      <c r="C833" s="1345"/>
      <c r="D833" s="1334"/>
      <c r="E833" s="1335"/>
      <c r="F833" s="1335"/>
      <c r="G833" s="1327"/>
      <c r="H833" s="1327"/>
      <c r="I833" s="1323"/>
      <c r="J833" s="1323"/>
      <c r="K833" s="1324"/>
      <c r="L833" s="1325"/>
      <c r="M833" s="1336"/>
      <c r="N833" s="1338"/>
      <c r="O833" s="1335"/>
      <c r="P833" s="1316"/>
      <c r="R833" s="1352"/>
      <c r="S833" s="1352"/>
      <c r="T833" s="1352">
        <f>+Tabla16[[#This Row],[CDPS A 31 JULIO 2022]]-Tabla16[[#This Row],[CDP]]</f>
        <v>0</v>
      </c>
      <c r="U833" s="1352"/>
      <c r="V833" s="1352"/>
      <c r="W833" s="1352"/>
    </row>
    <row r="834" spans="1:23" s="1317" customFormat="1" x14ac:dyDescent="0.2">
      <c r="A834" s="1322"/>
      <c r="B834" s="1339"/>
      <c r="C834" s="1345"/>
      <c r="D834" s="1334"/>
      <c r="E834" s="1335"/>
      <c r="F834" s="1335"/>
      <c r="G834" s="1327"/>
      <c r="H834" s="1327"/>
      <c r="I834" s="1323"/>
      <c r="J834" s="1323"/>
      <c r="K834" s="1324"/>
      <c r="L834" s="1325"/>
      <c r="M834" s="1336"/>
      <c r="N834" s="1338"/>
      <c r="O834" s="1335"/>
      <c r="P834" s="1316"/>
      <c r="R834" s="1352"/>
      <c r="S834" s="1352"/>
      <c r="T834" s="1352">
        <f>+Tabla16[[#This Row],[CDPS A 31 JULIO 2022]]-Tabla16[[#This Row],[CDP]]</f>
        <v>0</v>
      </c>
      <c r="U834" s="1352"/>
      <c r="V834" s="1352"/>
      <c r="W834" s="1352"/>
    </row>
    <row r="835" spans="1:23" s="1317" customFormat="1" x14ac:dyDescent="0.2">
      <c r="A835" s="1322"/>
      <c r="B835" s="1339"/>
      <c r="C835" s="1345"/>
      <c r="D835" s="1334"/>
      <c r="E835" s="1335"/>
      <c r="F835" s="1335"/>
      <c r="G835" s="1327"/>
      <c r="H835" s="1327"/>
      <c r="I835" s="1323"/>
      <c r="J835" s="1323"/>
      <c r="K835" s="1324"/>
      <c r="L835" s="1325"/>
      <c r="M835" s="1336"/>
      <c r="N835" s="1338"/>
      <c r="O835" s="1335"/>
      <c r="P835" s="1316"/>
      <c r="R835" s="1352"/>
      <c r="S835" s="1352"/>
      <c r="T835" s="1352">
        <f>+Tabla16[[#This Row],[CDPS A 31 JULIO 2022]]-Tabla16[[#This Row],[CDP]]</f>
        <v>0</v>
      </c>
      <c r="U835" s="1352"/>
      <c r="V835" s="1352"/>
      <c r="W835" s="1352"/>
    </row>
    <row r="836" spans="1:23" s="1317" customFormat="1" x14ac:dyDescent="0.2">
      <c r="A836" s="1322"/>
      <c r="B836" s="1339"/>
      <c r="C836" s="1345"/>
      <c r="D836" s="1334"/>
      <c r="E836" s="1335"/>
      <c r="F836" s="1335"/>
      <c r="G836" s="1327"/>
      <c r="H836" s="1327"/>
      <c r="I836" s="1323"/>
      <c r="J836" s="1323"/>
      <c r="K836" s="1324"/>
      <c r="L836" s="1325"/>
      <c r="M836" s="1336"/>
      <c r="N836" s="1338"/>
      <c r="O836" s="1335"/>
      <c r="P836" s="1316"/>
      <c r="R836" s="1352"/>
      <c r="S836" s="1352"/>
      <c r="T836" s="1352">
        <f>+Tabla16[[#This Row],[CDPS A 31 JULIO 2022]]-Tabla16[[#This Row],[CDP]]</f>
        <v>0</v>
      </c>
      <c r="U836" s="1352"/>
      <c r="V836" s="1352"/>
      <c r="W836" s="1352"/>
    </row>
    <row r="837" spans="1:23" s="1317" customFormat="1" x14ac:dyDescent="0.2">
      <c r="A837" s="1322"/>
      <c r="B837" s="1339"/>
      <c r="C837" s="1345"/>
      <c r="D837" s="1334"/>
      <c r="E837" s="1335"/>
      <c r="F837" s="1335"/>
      <c r="G837" s="1327"/>
      <c r="H837" s="1327"/>
      <c r="I837" s="1323"/>
      <c r="J837" s="1323"/>
      <c r="K837" s="1324"/>
      <c r="L837" s="1325"/>
      <c r="M837" s="1336"/>
      <c r="N837" s="1338"/>
      <c r="O837" s="1335"/>
      <c r="P837" s="1316"/>
      <c r="R837" s="1352"/>
      <c r="S837" s="1352"/>
      <c r="T837" s="1352">
        <f>+Tabla16[[#This Row],[CDPS A 31 JULIO 2022]]-Tabla16[[#This Row],[CDP]]</f>
        <v>0</v>
      </c>
      <c r="U837" s="1352"/>
      <c r="V837" s="1352"/>
      <c r="W837" s="1352"/>
    </row>
    <row r="838" spans="1:23" s="1317" customFormat="1" x14ac:dyDescent="0.2">
      <c r="A838" s="1322"/>
      <c r="B838" s="1339"/>
      <c r="C838" s="1345"/>
      <c r="D838" s="1334"/>
      <c r="E838" s="1335"/>
      <c r="F838" s="1335"/>
      <c r="G838" s="1327"/>
      <c r="H838" s="1327"/>
      <c r="I838" s="1323"/>
      <c r="J838" s="1323"/>
      <c r="K838" s="1324"/>
      <c r="L838" s="1325"/>
      <c r="M838" s="1336"/>
      <c r="N838" s="1338"/>
      <c r="O838" s="1335"/>
      <c r="P838" s="1316"/>
      <c r="R838" s="1352"/>
      <c r="S838" s="1352"/>
      <c r="T838" s="1352">
        <f>+Tabla16[[#This Row],[CDPS A 31 JULIO 2022]]-Tabla16[[#This Row],[CDP]]</f>
        <v>0</v>
      </c>
      <c r="U838" s="1352"/>
      <c r="V838" s="1352"/>
      <c r="W838" s="1352"/>
    </row>
    <row r="839" spans="1:23" s="1317" customFormat="1" x14ac:dyDescent="0.2">
      <c r="A839" s="1322"/>
      <c r="B839" s="1339"/>
      <c r="C839" s="1345"/>
      <c r="D839" s="1334"/>
      <c r="E839" s="1335"/>
      <c r="F839" s="1335"/>
      <c r="G839" s="1327"/>
      <c r="H839" s="1327"/>
      <c r="I839" s="1323"/>
      <c r="J839" s="1323"/>
      <c r="K839" s="1324"/>
      <c r="L839" s="1325"/>
      <c r="M839" s="1336"/>
      <c r="N839" s="1338"/>
      <c r="O839" s="1335"/>
      <c r="P839" s="1316"/>
      <c r="R839" s="1352"/>
      <c r="S839" s="1352"/>
      <c r="T839" s="1352">
        <f>+Tabla16[[#This Row],[CDPS A 31 JULIO 2022]]-Tabla16[[#This Row],[CDP]]</f>
        <v>0</v>
      </c>
      <c r="U839" s="1352"/>
      <c r="V839" s="1352"/>
      <c r="W839" s="1352"/>
    </row>
    <row r="840" spans="1:23" s="1317" customFormat="1" x14ac:dyDescent="0.2">
      <c r="A840" s="1322"/>
      <c r="B840" s="1339"/>
      <c r="C840" s="1345"/>
      <c r="D840" s="1334"/>
      <c r="E840" s="1335"/>
      <c r="F840" s="1335"/>
      <c r="G840" s="1327"/>
      <c r="H840" s="1327"/>
      <c r="I840" s="1323"/>
      <c r="J840" s="1323"/>
      <c r="K840" s="1324"/>
      <c r="L840" s="1325"/>
      <c r="M840" s="1336"/>
      <c r="N840" s="1338"/>
      <c r="O840" s="1335"/>
      <c r="P840" s="1316"/>
      <c r="R840" s="1352"/>
      <c r="S840" s="1352"/>
      <c r="T840" s="1352">
        <f>+Tabla16[[#This Row],[CDPS A 31 JULIO 2022]]-Tabla16[[#This Row],[CDP]]</f>
        <v>0</v>
      </c>
      <c r="U840" s="1352"/>
      <c r="V840" s="1352"/>
      <c r="W840" s="1352"/>
    </row>
    <row r="841" spans="1:23" s="1317" customFormat="1" x14ac:dyDescent="0.2">
      <c r="A841" s="1322"/>
      <c r="B841" s="1339"/>
      <c r="C841" s="1345"/>
      <c r="D841" s="1334"/>
      <c r="E841" s="1335"/>
      <c r="F841" s="1335"/>
      <c r="G841" s="1327"/>
      <c r="H841" s="1327"/>
      <c r="I841" s="1323"/>
      <c r="J841" s="1323"/>
      <c r="K841" s="1324"/>
      <c r="L841" s="1325"/>
      <c r="M841" s="1336"/>
      <c r="N841" s="1338"/>
      <c r="O841" s="1335"/>
      <c r="P841" s="1316"/>
      <c r="R841" s="1352"/>
      <c r="S841" s="1352"/>
      <c r="T841" s="1352">
        <f>+Tabla16[[#This Row],[CDPS A 31 JULIO 2022]]-Tabla16[[#This Row],[CDP]]</f>
        <v>0</v>
      </c>
      <c r="U841" s="1352"/>
      <c r="V841" s="1352"/>
      <c r="W841" s="1352"/>
    </row>
    <row r="842" spans="1:23" s="1317" customFormat="1" x14ac:dyDescent="0.2">
      <c r="A842" s="1322"/>
      <c r="B842" s="1339"/>
      <c r="C842" s="1345"/>
      <c r="D842" s="1334"/>
      <c r="E842" s="1335"/>
      <c r="F842" s="1335"/>
      <c r="G842" s="1327"/>
      <c r="H842" s="1327"/>
      <c r="I842" s="1323"/>
      <c r="J842" s="1323"/>
      <c r="K842" s="1324"/>
      <c r="L842" s="1325"/>
      <c r="M842" s="1336"/>
      <c r="N842" s="1338"/>
      <c r="O842" s="1335"/>
      <c r="P842" s="1316"/>
      <c r="R842" s="1352"/>
      <c r="S842" s="1352"/>
      <c r="T842" s="1352">
        <f>+Tabla16[[#This Row],[CDPS A 31 JULIO 2022]]-Tabla16[[#This Row],[CDP]]</f>
        <v>0</v>
      </c>
      <c r="U842" s="1352"/>
      <c r="V842" s="1352"/>
      <c r="W842" s="1352"/>
    </row>
    <row r="843" spans="1:23" s="1317" customFormat="1" x14ac:dyDescent="0.2">
      <c r="A843" s="1322"/>
      <c r="B843" s="1339"/>
      <c r="C843" s="1345"/>
      <c r="D843" s="1334"/>
      <c r="E843" s="1335"/>
      <c r="F843" s="1335"/>
      <c r="G843" s="1327"/>
      <c r="H843" s="1327"/>
      <c r="I843" s="1323"/>
      <c r="J843" s="1323"/>
      <c r="K843" s="1324"/>
      <c r="L843" s="1325"/>
      <c r="M843" s="1336"/>
      <c r="N843" s="1338"/>
      <c r="O843" s="1335"/>
      <c r="P843" s="1316"/>
      <c r="R843" s="1352"/>
      <c r="S843" s="1352"/>
      <c r="T843" s="1352">
        <f>+Tabla16[[#This Row],[CDPS A 31 JULIO 2022]]-Tabla16[[#This Row],[CDP]]</f>
        <v>0</v>
      </c>
      <c r="U843" s="1352"/>
      <c r="V843" s="1352"/>
      <c r="W843" s="1352"/>
    </row>
    <row r="844" spans="1:23" s="1317" customFormat="1" x14ac:dyDescent="0.2">
      <c r="A844" s="1322"/>
      <c r="B844" s="1339"/>
      <c r="C844" s="1345"/>
      <c r="D844" s="1334"/>
      <c r="E844" s="1335"/>
      <c r="F844" s="1335"/>
      <c r="G844" s="1327"/>
      <c r="H844" s="1327"/>
      <c r="I844" s="1323"/>
      <c r="J844" s="1323"/>
      <c r="K844" s="1324"/>
      <c r="L844" s="1325"/>
      <c r="M844" s="1336"/>
      <c r="N844" s="1338"/>
      <c r="O844" s="1335"/>
      <c r="P844" s="1316"/>
      <c r="R844" s="1352"/>
      <c r="S844" s="1352"/>
      <c r="T844" s="1352">
        <f>+Tabla16[[#This Row],[CDPS A 31 JULIO 2022]]-Tabla16[[#This Row],[CDP]]</f>
        <v>0</v>
      </c>
      <c r="U844" s="1352"/>
      <c r="V844" s="1352"/>
      <c r="W844" s="1352"/>
    </row>
    <row r="845" spans="1:23" s="1317" customFormat="1" x14ac:dyDescent="0.2">
      <c r="A845" s="1322"/>
      <c r="B845" s="1339"/>
      <c r="C845" s="1345"/>
      <c r="D845" s="1334"/>
      <c r="E845" s="1335"/>
      <c r="F845" s="1335"/>
      <c r="G845" s="1327"/>
      <c r="H845" s="1327"/>
      <c r="I845" s="1323"/>
      <c r="J845" s="1323"/>
      <c r="K845" s="1324"/>
      <c r="L845" s="1325"/>
      <c r="M845" s="1336"/>
      <c r="N845" s="1338"/>
      <c r="O845" s="1335"/>
      <c r="P845" s="1316"/>
      <c r="R845" s="1352"/>
      <c r="S845" s="1352"/>
      <c r="T845" s="1352">
        <f>+Tabla16[[#This Row],[CDPS A 31 JULIO 2022]]-Tabla16[[#This Row],[CDP]]</f>
        <v>0</v>
      </c>
      <c r="U845" s="1352"/>
      <c r="V845" s="1352"/>
      <c r="W845" s="1352"/>
    </row>
    <row r="846" spans="1:23" s="1317" customFormat="1" x14ac:dyDescent="0.2">
      <c r="A846" s="1322"/>
      <c r="B846" s="1339"/>
      <c r="C846" s="1345"/>
      <c r="D846" s="1334"/>
      <c r="E846" s="1335"/>
      <c r="F846" s="1335"/>
      <c r="G846" s="1327"/>
      <c r="H846" s="1327"/>
      <c r="I846" s="1323"/>
      <c r="J846" s="1323"/>
      <c r="K846" s="1324"/>
      <c r="L846" s="1325"/>
      <c r="M846" s="1336"/>
      <c r="N846" s="1338"/>
      <c r="O846" s="1335"/>
      <c r="P846" s="1316"/>
      <c r="R846" s="1352"/>
      <c r="S846" s="1352"/>
      <c r="T846" s="1352">
        <f>+Tabla16[[#This Row],[CDPS A 31 JULIO 2022]]-Tabla16[[#This Row],[CDP]]</f>
        <v>0</v>
      </c>
      <c r="U846" s="1352"/>
      <c r="V846" s="1352"/>
      <c r="W846" s="1352"/>
    </row>
    <row r="847" spans="1:23" s="1317" customFormat="1" x14ac:dyDescent="0.2">
      <c r="A847" s="1322"/>
      <c r="B847" s="1339"/>
      <c r="C847" s="1345"/>
      <c r="D847" s="1334"/>
      <c r="E847" s="1335"/>
      <c r="F847" s="1335"/>
      <c r="G847" s="1327"/>
      <c r="H847" s="1327"/>
      <c r="I847" s="1323"/>
      <c r="J847" s="1323"/>
      <c r="K847" s="1324"/>
      <c r="L847" s="1325"/>
      <c r="M847" s="1336"/>
      <c r="N847" s="1338"/>
      <c r="O847" s="1335"/>
      <c r="P847" s="1316"/>
      <c r="R847" s="1352"/>
      <c r="S847" s="1352"/>
      <c r="T847" s="1352">
        <f>+Tabla16[[#This Row],[CDPS A 31 JULIO 2022]]-Tabla16[[#This Row],[CDP]]</f>
        <v>0</v>
      </c>
      <c r="U847" s="1352"/>
      <c r="V847" s="1352"/>
      <c r="W847" s="1352"/>
    </row>
    <row r="848" spans="1:23" s="1317" customFormat="1" x14ac:dyDescent="0.2">
      <c r="A848" s="1322"/>
      <c r="B848" s="1339"/>
      <c r="C848" s="1345"/>
      <c r="D848" s="1334"/>
      <c r="E848" s="1335"/>
      <c r="F848" s="1335"/>
      <c r="G848" s="1327"/>
      <c r="H848" s="1327"/>
      <c r="I848" s="1323"/>
      <c r="J848" s="1323"/>
      <c r="K848" s="1324"/>
      <c r="L848" s="1325"/>
      <c r="M848" s="1336"/>
      <c r="N848" s="1338"/>
      <c r="O848" s="1335"/>
      <c r="P848" s="1316"/>
      <c r="R848" s="1352"/>
      <c r="S848" s="1352"/>
      <c r="T848" s="1352">
        <f>+Tabla16[[#This Row],[CDPS A 31 JULIO 2022]]-Tabla16[[#This Row],[CDP]]</f>
        <v>0</v>
      </c>
      <c r="U848" s="1352"/>
      <c r="V848" s="1352"/>
      <c r="W848" s="1352"/>
    </row>
    <row r="849" spans="1:23" s="1317" customFormat="1" x14ac:dyDescent="0.2">
      <c r="A849" s="1322"/>
      <c r="B849" s="1339"/>
      <c r="C849" s="1345"/>
      <c r="D849" s="1334"/>
      <c r="E849" s="1335"/>
      <c r="F849" s="1335"/>
      <c r="G849" s="1327"/>
      <c r="H849" s="1327"/>
      <c r="I849" s="1323"/>
      <c r="J849" s="1323"/>
      <c r="K849" s="1324"/>
      <c r="L849" s="1325"/>
      <c r="M849" s="1336"/>
      <c r="N849" s="1338"/>
      <c r="O849" s="1335"/>
      <c r="P849" s="1316"/>
      <c r="R849" s="1352"/>
      <c r="S849" s="1352"/>
      <c r="T849" s="1352">
        <f>+Tabla16[[#This Row],[CDPS A 31 JULIO 2022]]-Tabla16[[#This Row],[CDP]]</f>
        <v>0</v>
      </c>
      <c r="U849" s="1352"/>
      <c r="V849" s="1352"/>
      <c r="W849" s="1352"/>
    </row>
    <row r="850" spans="1:23" s="1317" customFormat="1" x14ac:dyDescent="0.2">
      <c r="A850" s="1322"/>
      <c r="B850" s="1339"/>
      <c r="C850" s="1345"/>
      <c r="D850" s="1334"/>
      <c r="E850" s="1335"/>
      <c r="F850" s="1335"/>
      <c r="G850" s="1327"/>
      <c r="H850" s="1327"/>
      <c r="I850" s="1323"/>
      <c r="J850" s="1323"/>
      <c r="K850" s="1324"/>
      <c r="L850" s="1325"/>
      <c r="M850" s="1336"/>
      <c r="N850" s="1338"/>
      <c r="O850" s="1335"/>
      <c r="P850" s="1316"/>
      <c r="R850" s="1352"/>
      <c r="S850" s="1352"/>
      <c r="T850" s="1352">
        <f>+Tabla16[[#This Row],[CDPS A 31 JULIO 2022]]-Tabla16[[#This Row],[CDP]]</f>
        <v>0</v>
      </c>
      <c r="U850" s="1352"/>
      <c r="V850" s="1352"/>
      <c r="W850" s="1352"/>
    </row>
    <row r="851" spans="1:23" s="1317" customFormat="1" x14ac:dyDescent="0.2">
      <c r="A851" s="1322"/>
      <c r="B851" s="1339"/>
      <c r="C851" s="1345"/>
      <c r="D851" s="1334"/>
      <c r="E851" s="1335"/>
      <c r="F851" s="1335"/>
      <c r="G851" s="1327"/>
      <c r="H851" s="1327"/>
      <c r="I851" s="1323"/>
      <c r="J851" s="1323"/>
      <c r="K851" s="1324"/>
      <c r="L851" s="1325"/>
      <c r="M851" s="1336"/>
      <c r="N851" s="1338"/>
      <c r="O851" s="1335"/>
      <c r="P851" s="1316"/>
      <c r="R851" s="1352"/>
      <c r="S851" s="1352"/>
      <c r="T851" s="1352">
        <f>+Tabla16[[#This Row],[CDPS A 31 JULIO 2022]]-Tabla16[[#This Row],[CDP]]</f>
        <v>0</v>
      </c>
      <c r="U851" s="1352"/>
      <c r="V851" s="1352"/>
      <c r="W851" s="1352"/>
    </row>
    <row r="852" spans="1:23" s="1317" customFormat="1" x14ac:dyDescent="0.2">
      <c r="A852" s="1322"/>
      <c r="B852" s="1339"/>
      <c r="C852" s="1345"/>
      <c r="D852" s="1334"/>
      <c r="E852" s="1335"/>
      <c r="F852" s="1335"/>
      <c r="G852" s="1327"/>
      <c r="H852" s="1327"/>
      <c r="I852" s="1323"/>
      <c r="J852" s="1323"/>
      <c r="K852" s="1324"/>
      <c r="L852" s="1325"/>
      <c r="M852" s="1336"/>
      <c r="N852" s="1338"/>
      <c r="O852" s="1335"/>
      <c r="P852" s="1316"/>
      <c r="R852" s="1352"/>
      <c r="S852" s="1352"/>
      <c r="T852" s="1352">
        <f>+Tabla16[[#This Row],[CDPS A 31 JULIO 2022]]-Tabla16[[#This Row],[CDP]]</f>
        <v>0</v>
      </c>
      <c r="U852" s="1352"/>
      <c r="V852" s="1352"/>
      <c r="W852" s="1352"/>
    </row>
    <row r="853" spans="1:23" s="1317" customFormat="1" x14ac:dyDescent="0.2">
      <c r="A853" s="1322"/>
      <c r="B853" s="1339"/>
      <c r="C853" s="1345"/>
      <c r="D853" s="1334"/>
      <c r="E853" s="1335"/>
      <c r="F853" s="1335"/>
      <c r="G853" s="1327"/>
      <c r="H853" s="1327"/>
      <c r="I853" s="1323"/>
      <c r="J853" s="1323"/>
      <c r="K853" s="1324"/>
      <c r="L853" s="1325"/>
      <c r="M853" s="1336"/>
      <c r="N853" s="1338"/>
      <c r="O853" s="1335"/>
      <c r="P853" s="1316"/>
      <c r="R853" s="1352"/>
      <c r="S853" s="1352"/>
      <c r="T853" s="1352">
        <f>+Tabla16[[#This Row],[CDPS A 31 JULIO 2022]]-Tabla16[[#This Row],[CDP]]</f>
        <v>0</v>
      </c>
      <c r="U853" s="1352"/>
      <c r="V853" s="1352"/>
      <c r="W853" s="1352"/>
    </row>
    <row r="854" spans="1:23" s="1317" customFormat="1" x14ac:dyDescent="0.2">
      <c r="A854" s="1322"/>
      <c r="B854" s="1339"/>
      <c r="C854" s="1345"/>
      <c r="D854" s="1334"/>
      <c r="E854" s="1335"/>
      <c r="F854" s="1335"/>
      <c r="G854" s="1327"/>
      <c r="H854" s="1327"/>
      <c r="I854" s="1323"/>
      <c r="J854" s="1323"/>
      <c r="K854" s="1324"/>
      <c r="L854" s="1325"/>
      <c r="M854" s="1336"/>
      <c r="N854" s="1338"/>
      <c r="O854" s="1335"/>
      <c r="P854" s="1316"/>
      <c r="R854" s="1352"/>
      <c r="S854" s="1352"/>
      <c r="T854" s="1352">
        <f>+Tabla16[[#This Row],[CDPS A 31 JULIO 2022]]-Tabla16[[#This Row],[CDP]]</f>
        <v>0</v>
      </c>
      <c r="U854" s="1352"/>
      <c r="V854" s="1352"/>
      <c r="W854" s="1352"/>
    </row>
    <row r="855" spans="1:23" s="1317" customFormat="1" x14ac:dyDescent="0.2">
      <c r="A855" s="1322"/>
      <c r="B855" s="1339"/>
      <c r="C855" s="1345"/>
      <c r="D855" s="1334"/>
      <c r="E855" s="1335"/>
      <c r="F855" s="1335"/>
      <c r="G855" s="1327"/>
      <c r="H855" s="1327"/>
      <c r="I855" s="1323"/>
      <c r="J855" s="1323"/>
      <c r="K855" s="1324"/>
      <c r="L855" s="1325"/>
      <c r="M855" s="1336"/>
      <c r="N855" s="1338"/>
      <c r="O855" s="1335"/>
      <c r="P855" s="1316"/>
      <c r="R855" s="1352"/>
      <c r="S855" s="1352"/>
      <c r="T855" s="1352">
        <f>+Tabla16[[#This Row],[CDPS A 31 JULIO 2022]]-Tabla16[[#This Row],[CDP]]</f>
        <v>0</v>
      </c>
      <c r="U855" s="1352"/>
      <c r="V855" s="1352"/>
      <c r="W855" s="1352"/>
    </row>
    <row r="856" spans="1:23" s="1317" customFormat="1" x14ac:dyDescent="0.2">
      <c r="A856" s="1322"/>
      <c r="B856" s="1339"/>
      <c r="C856" s="1345"/>
      <c r="D856" s="1334"/>
      <c r="E856" s="1335"/>
      <c r="F856" s="1335"/>
      <c r="G856" s="1327"/>
      <c r="H856" s="1327"/>
      <c r="I856" s="1323"/>
      <c r="J856" s="1323"/>
      <c r="K856" s="1324"/>
      <c r="L856" s="1325"/>
      <c r="M856" s="1336"/>
      <c r="N856" s="1338"/>
      <c r="O856" s="1335"/>
      <c r="P856" s="1316"/>
      <c r="R856" s="1352"/>
      <c r="S856" s="1352"/>
      <c r="T856" s="1352">
        <f>+Tabla16[[#This Row],[CDPS A 31 JULIO 2022]]-Tabla16[[#This Row],[CDP]]</f>
        <v>0</v>
      </c>
      <c r="U856" s="1352"/>
      <c r="V856" s="1352"/>
      <c r="W856" s="1352"/>
    </row>
    <row r="857" spans="1:23" s="1317" customFormat="1" x14ac:dyDescent="0.2">
      <c r="A857" s="1322"/>
      <c r="B857" s="1339"/>
      <c r="C857" s="1345"/>
      <c r="D857" s="1334"/>
      <c r="E857" s="1335"/>
      <c r="F857" s="1335"/>
      <c r="G857" s="1327"/>
      <c r="H857" s="1327"/>
      <c r="I857" s="1323"/>
      <c r="J857" s="1323"/>
      <c r="K857" s="1324"/>
      <c r="L857" s="1325"/>
      <c r="M857" s="1336"/>
      <c r="N857" s="1338"/>
      <c r="O857" s="1335"/>
      <c r="P857" s="1316"/>
      <c r="R857" s="1352"/>
      <c r="S857" s="1352"/>
      <c r="T857" s="1352">
        <f>+Tabla16[[#This Row],[CDPS A 31 JULIO 2022]]-Tabla16[[#This Row],[CDP]]</f>
        <v>0</v>
      </c>
      <c r="U857" s="1352"/>
      <c r="V857" s="1352"/>
      <c r="W857" s="1352"/>
    </row>
    <row r="858" spans="1:23" s="1317" customFormat="1" x14ac:dyDescent="0.2">
      <c r="A858" s="1322"/>
      <c r="B858" s="1339"/>
      <c r="C858" s="1345"/>
      <c r="D858" s="1334"/>
      <c r="E858" s="1335"/>
      <c r="F858" s="1335"/>
      <c r="G858" s="1327"/>
      <c r="H858" s="1327"/>
      <c r="I858" s="1323"/>
      <c r="J858" s="1323"/>
      <c r="K858" s="1324"/>
      <c r="L858" s="1325"/>
      <c r="M858" s="1336"/>
      <c r="N858" s="1338"/>
      <c r="O858" s="1335"/>
      <c r="P858" s="1316"/>
      <c r="R858" s="1352"/>
      <c r="S858" s="1352"/>
      <c r="T858" s="1352">
        <f>+Tabla16[[#This Row],[CDPS A 31 JULIO 2022]]-Tabla16[[#This Row],[CDP]]</f>
        <v>0</v>
      </c>
      <c r="U858" s="1352"/>
      <c r="V858" s="1352"/>
      <c r="W858" s="1352"/>
    </row>
    <row r="859" spans="1:23" s="1317" customFormat="1" x14ac:dyDescent="0.2">
      <c r="A859" s="1322"/>
      <c r="B859" s="1339"/>
      <c r="C859" s="1345"/>
      <c r="D859" s="1334"/>
      <c r="E859" s="1335"/>
      <c r="F859" s="1335"/>
      <c r="G859" s="1327"/>
      <c r="H859" s="1327"/>
      <c r="I859" s="1323"/>
      <c r="J859" s="1323"/>
      <c r="K859" s="1324"/>
      <c r="L859" s="1325"/>
      <c r="M859" s="1336"/>
      <c r="N859" s="1338"/>
      <c r="O859" s="1335"/>
      <c r="P859" s="1316"/>
      <c r="R859" s="1352"/>
      <c r="S859" s="1352"/>
      <c r="T859" s="1352">
        <f>+Tabla16[[#This Row],[CDPS A 31 JULIO 2022]]-Tabla16[[#This Row],[CDP]]</f>
        <v>0</v>
      </c>
      <c r="U859" s="1352"/>
      <c r="V859" s="1352"/>
      <c r="W859" s="1352"/>
    </row>
    <row r="860" spans="1:23" s="1317" customFormat="1" x14ac:dyDescent="0.2">
      <c r="A860" s="1322"/>
      <c r="B860" s="1339"/>
      <c r="C860" s="1345"/>
      <c r="D860" s="1334"/>
      <c r="E860" s="1335"/>
      <c r="F860" s="1335"/>
      <c r="G860" s="1327"/>
      <c r="H860" s="1327"/>
      <c r="I860" s="1323"/>
      <c r="J860" s="1323"/>
      <c r="K860" s="1324"/>
      <c r="L860" s="1325"/>
      <c r="M860" s="1336"/>
      <c r="N860" s="1338"/>
      <c r="O860" s="1335"/>
      <c r="P860" s="1316"/>
      <c r="R860" s="1352"/>
      <c r="S860" s="1352"/>
      <c r="T860" s="1352">
        <f>+Tabla16[[#This Row],[CDPS A 31 JULIO 2022]]-Tabla16[[#This Row],[CDP]]</f>
        <v>0</v>
      </c>
      <c r="U860" s="1352"/>
      <c r="V860" s="1352"/>
      <c r="W860" s="1352"/>
    </row>
    <row r="861" spans="1:23" s="1317" customFormat="1" x14ac:dyDescent="0.2">
      <c r="A861" s="1322"/>
      <c r="B861" s="1339"/>
      <c r="C861" s="1345"/>
      <c r="D861" s="1334"/>
      <c r="E861" s="1335"/>
      <c r="F861" s="1335"/>
      <c r="G861" s="1327"/>
      <c r="H861" s="1327"/>
      <c r="I861" s="1323"/>
      <c r="J861" s="1323"/>
      <c r="K861" s="1324"/>
      <c r="L861" s="1325"/>
      <c r="M861" s="1336"/>
      <c r="N861" s="1338"/>
      <c r="O861" s="1335"/>
      <c r="P861" s="1316"/>
      <c r="R861" s="1352"/>
      <c r="S861" s="1352"/>
      <c r="T861" s="1352">
        <f>+Tabla16[[#This Row],[CDPS A 31 JULIO 2022]]-Tabla16[[#This Row],[CDP]]</f>
        <v>0</v>
      </c>
      <c r="U861" s="1352"/>
      <c r="V861" s="1352"/>
      <c r="W861" s="1352"/>
    </row>
    <row r="862" spans="1:23" s="1317" customFormat="1" x14ac:dyDescent="0.2">
      <c r="A862" s="1322"/>
      <c r="B862" s="1339"/>
      <c r="C862" s="1345"/>
      <c r="D862" s="1334"/>
      <c r="E862" s="1335"/>
      <c r="F862" s="1335"/>
      <c r="G862" s="1327"/>
      <c r="H862" s="1327"/>
      <c r="I862" s="1323"/>
      <c r="J862" s="1323"/>
      <c r="K862" s="1324"/>
      <c r="L862" s="1325"/>
      <c r="M862" s="1336"/>
      <c r="N862" s="1338"/>
      <c r="O862" s="1335"/>
      <c r="P862" s="1316"/>
      <c r="R862" s="1352"/>
      <c r="S862" s="1352"/>
      <c r="T862" s="1352">
        <f>+Tabla16[[#This Row],[CDPS A 31 JULIO 2022]]-Tabla16[[#This Row],[CDP]]</f>
        <v>0</v>
      </c>
      <c r="U862" s="1352"/>
      <c r="V862" s="1352"/>
      <c r="W862" s="1352"/>
    </row>
    <row r="863" spans="1:23" s="1317" customFormat="1" x14ac:dyDescent="0.2">
      <c r="A863" s="1322"/>
      <c r="B863" s="1339"/>
      <c r="C863" s="1345"/>
      <c r="D863" s="1334"/>
      <c r="E863" s="1335"/>
      <c r="F863" s="1335"/>
      <c r="G863" s="1327"/>
      <c r="H863" s="1327"/>
      <c r="I863" s="1323"/>
      <c r="J863" s="1323"/>
      <c r="K863" s="1324"/>
      <c r="L863" s="1325"/>
      <c r="M863" s="1336"/>
      <c r="N863" s="1338"/>
      <c r="O863" s="1335"/>
      <c r="P863" s="1316"/>
      <c r="R863" s="1352"/>
      <c r="S863" s="1352"/>
      <c r="T863" s="1352">
        <f>+Tabla16[[#This Row],[CDPS A 31 JULIO 2022]]-Tabla16[[#This Row],[CDP]]</f>
        <v>0</v>
      </c>
      <c r="U863" s="1352"/>
      <c r="V863" s="1352"/>
      <c r="W863" s="1352"/>
    </row>
    <row r="864" spans="1:23" s="1317" customFormat="1" x14ac:dyDescent="0.2">
      <c r="A864" s="1322"/>
      <c r="B864" s="1339"/>
      <c r="C864" s="1345"/>
      <c r="D864" s="1334"/>
      <c r="E864" s="1335"/>
      <c r="F864" s="1335"/>
      <c r="G864" s="1327"/>
      <c r="H864" s="1327"/>
      <c r="I864" s="1323"/>
      <c r="J864" s="1323"/>
      <c r="K864" s="1324"/>
      <c r="L864" s="1325"/>
      <c r="M864" s="1336"/>
      <c r="N864" s="1338"/>
      <c r="O864" s="1335"/>
      <c r="P864" s="1316"/>
      <c r="R864" s="1352"/>
      <c r="S864" s="1352"/>
      <c r="T864" s="1352">
        <f>+Tabla16[[#This Row],[CDPS A 31 JULIO 2022]]-Tabla16[[#This Row],[CDP]]</f>
        <v>0</v>
      </c>
      <c r="U864" s="1352"/>
      <c r="V864" s="1352"/>
      <c r="W864" s="1352"/>
    </row>
    <row r="865" spans="1:23" s="1317" customFormat="1" x14ac:dyDescent="0.2">
      <c r="A865" s="1322"/>
      <c r="B865" s="1339"/>
      <c r="C865" s="1345"/>
      <c r="D865" s="1334"/>
      <c r="E865" s="1335"/>
      <c r="F865" s="1335"/>
      <c r="G865" s="1327"/>
      <c r="H865" s="1327"/>
      <c r="I865" s="1323"/>
      <c r="J865" s="1323"/>
      <c r="K865" s="1324"/>
      <c r="L865" s="1325"/>
      <c r="M865" s="1336"/>
      <c r="N865" s="1338"/>
      <c r="O865" s="1335"/>
      <c r="P865" s="1316"/>
      <c r="R865" s="1352"/>
      <c r="S865" s="1352"/>
      <c r="T865" s="1352">
        <f>+Tabla16[[#This Row],[CDPS A 31 JULIO 2022]]-Tabla16[[#This Row],[CDP]]</f>
        <v>0</v>
      </c>
      <c r="U865" s="1352"/>
      <c r="V865" s="1352"/>
      <c r="W865" s="1352"/>
    </row>
    <row r="866" spans="1:23" s="1317" customFormat="1" x14ac:dyDescent="0.2">
      <c r="A866" s="1322"/>
      <c r="B866" s="1339"/>
      <c r="C866" s="1345"/>
      <c r="D866" s="1334"/>
      <c r="E866" s="1335"/>
      <c r="F866" s="1335"/>
      <c r="G866" s="1327"/>
      <c r="H866" s="1327"/>
      <c r="I866" s="1323"/>
      <c r="J866" s="1323"/>
      <c r="K866" s="1324"/>
      <c r="L866" s="1325"/>
      <c r="M866" s="1336"/>
      <c r="N866" s="1338"/>
      <c r="O866" s="1335"/>
      <c r="P866" s="1316"/>
      <c r="R866" s="1352"/>
      <c r="S866" s="1352"/>
      <c r="T866" s="1352">
        <f>+Tabla16[[#This Row],[CDPS A 31 JULIO 2022]]-Tabla16[[#This Row],[CDP]]</f>
        <v>0</v>
      </c>
      <c r="U866" s="1352"/>
      <c r="V866" s="1352"/>
      <c r="W866" s="1352"/>
    </row>
    <row r="867" spans="1:23" s="1317" customFormat="1" x14ac:dyDescent="0.2">
      <c r="A867" s="1322"/>
      <c r="B867" s="1339"/>
      <c r="C867" s="1345"/>
      <c r="D867" s="1334"/>
      <c r="E867" s="1335"/>
      <c r="F867" s="1335"/>
      <c r="G867" s="1327"/>
      <c r="H867" s="1327"/>
      <c r="I867" s="1323"/>
      <c r="J867" s="1323"/>
      <c r="K867" s="1324"/>
      <c r="L867" s="1325"/>
      <c r="M867" s="1336"/>
      <c r="N867" s="1338"/>
      <c r="O867" s="1335"/>
      <c r="P867" s="1316"/>
      <c r="R867" s="1352"/>
      <c r="S867" s="1352"/>
      <c r="T867" s="1352">
        <f>+Tabla16[[#This Row],[CDPS A 31 JULIO 2022]]-Tabla16[[#This Row],[CDP]]</f>
        <v>0</v>
      </c>
      <c r="U867" s="1352"/>
      <c r="V867" s="1352"/>
      <c r="W867" s="1352"/>
    </row>
    <row r="868" spans="1:23" s="1317" customFormat="1" x14ac:dyDescent="0.2">
      <c r="A868" s="1322"/>
      <c r="B868" s="1339"/>
      <c r="C868" s="1345"/>
      <c r="D868" s="1334"/>
      <c r="E868" s="1335"/>
      <c r="F868" s="1335"/>
      <c r="G868" s="1327"/>
      <c r="H868" s="1327"/>
      <c r="I868" s="1323"/>
      <c r="J868" s="1323"/>
      <c r="K868" s="1324"/>
      <c r="L868" s="1325"/>
      <c r="M868" s="1336"/>
      <c r="N868" s="1338"/>
      <c r="O868" s="1335"/>
      <c r="P868" s="1316"/>
      <c r="R868" s="1352"/>
      <c r="S868" s="1352"/>
      <c r="T868" s="1352">
        <f>+Tabla16[[#This Row],[CDPS A 31 JULIO 2022]]-Tabla16[[#This Row],[CDP]]</f>
        <v>0</v>
      </c>
      <c r="U868" s="1352"/>
      <c r="V868" s="1352"/>
      <c r="W868" s="1352"/>
    </row>
    <row r="869" spans="1:23" s="1317" customFormat="1" x14ac:dyDescent="0.2">
      <c r="A869" s="1322"/>
      <c r="B869" s="1339"/>
      <c r="C869" s="1345"/>
      <c r="D869" s="1334"/>
      <c r="E869" s="1335"/>
      <c r="F869" s="1335"/>
      <c r="G869" s="1327"/>
      <c r="H869" s="1327"/>
      <c r="I869" s="1323"/>
      <c r="J869" s="1323"/>
      <c r="K869" s="1324"/>
      <c r="L869" s="1325"/>
      <c r="M869" s="1336"/>
      <c r="N869" s="1338"/>
      <c r="O869" s="1335"/>
      <c r="P869" s="1316"/>
      <c r="R869" s="1352"/>
      <c r="S869" s="1352"/>
      <c r="T869" s="1352">
        <f>+Tabla16[[#This Row],[CDPS A 31 JULIO 2022]]-Tabla16[[#This Row],[CDP]]</f>
        <v>0</v>
      </c>
      <c r="U869" s="1352"/>
      <c r="V869" s="1352"/>
      <c r="W869" s="1352"/>
    </row>
    <row r="870" spans="1:23" s="1317" customFormat="1" x14ac:dyDescent="0.2">
      <c r="A870" s="1322"/>
      <c r="B870" s="1339"/>
      <c r="C870" s="1345"/>
      <c r="D870" s="1334"/>
      <c r="E870" s="1335"/>
      <c r="F870" s="1335"/>
      <c r="G870" s="1327"/>
      <c r="H870" s="1327"/>
      <c r="I870" s="1323"/>
      <c r="J870" s="1323"/>
      <c r="K870" s="1324"/>
      <c r="L870" s="1325"/>
      <c r="M870" s="1336"/>
      <c r="N870" s="1338"/>
      <c r="O870" s="1335"/>
      <c r="P870" s="1316"/>
      <c r="R870" s="1352"/>
      <c r="S870" s="1352"/>
      <c r="T870" s="1352">
        <f>+Tabla16[[#This Row],[CDPS A 31 JULIO 2022]]-Tabla16[[#This Row],[CDP]]</f>
        <v>0</v>
      </c>
      <c r="U870" s="1352"/>
      <c r="V870" s="1352"/>
      <c r="W870" s="1352"/>
    </row>
    <row r="871" spans="1:23" s="1317" customFormat="1" x14ac:dyDescent="0.2">
      <c r="A871" s="1322"/>
      <c r="B871" s="1339"/>
      <c r="C871" s="1345"/>
      <c r="D871" s="1334"/>
      <c r="E871" s="1335"/>
      <c r="F871" s="1335"/>
      <c r="G871" s="1327"/>
      <c r="H871" s="1327"/>
      <c r="I871" s="1323"/>
      <c r="J871" s="1323"/>
      <c r="K871" s="1324"/>
      <c r="L871" s="1325"/>
      <c r="M871" s="1336"/>
      <c r="N871" s="1338"/>
      <c r="O871" s="1335"/>
      <c r="P871" s="1316"/>
      <c r="R871" s="1352"/>
      <c r="S871" s="1352"/>
      <c r="T871" s="1352">
        <f>+Tabla16[[#This Row],[CDPS A 31 JULIO 2022]]-Tabla16[[#This Row],[CDP]]</f>
        <v>0</v>
      </c>
      <c r="U871" s="1352"/>
      <c r="V871" s="1352"/>
      <c r="W871" s="1352"/>
    </row>
    <row r="872" spans="1:23" s="1317" customFormat="1" x14ac:dyDescent="0.2">
      <c r="A872" s="1322"/>
      <c r="B872" s="1339"/>
      <c r="C872" s="1345"/>
      <c r="D872" s="1334"/>
      <c r="E872" s="1335"/>
      <c r="F872" s="1335"/>
      <c r="G872" s="1327"/>
      <c r="H872" s="1327"/>
      <c r="I872" s="1323"/>
      <c r="J872" s="1323"/>
      <c r="K872" s="1324"/>
      <c r="L872" s="1325"/>
      <c r="M872" s="1336"/>
      <c r="N872" s="1338"/>
      <c r="O872" s="1335"/>
      <c r="P872" s="1316"/>
      <c r="R872" s="1352"/>
      <c r="S872" s="1352"/>
      <c r="T872" s="1352">
        <f>+Tabla16[[#This Row],[CDPS A 31 JULIO 2022]]-Tabla16[[#This Row],[CDP]]</f>
        <v>0</v>
      </c>
      <c r="U872" s="1352"/>
      <c r="V872" s="1352"/>
      <c r="W872" s="1352"/>
    </row>
    <row r="873" spans="1:23" s="1317" customFormat="1" x14ac:dyDescent="0.2">
      <c r="A873" s="1322"/>
      <c r="B873" s="1339"/>
      <c r="C873" s="1345"/>
      <c r="D873" s="1334"/>
      <c r="E873" s="1335"/>
      <c r="F873" s="1335"/>
      <c r="G873" s="1327"/>
      <c r="H873" s="1327"/>
      <c r="I873" s="1323"/>
      <c r="J873" s="1323"/>
      <c r="K873" s="1324"/>
      <c r="L873" s="1325"/>
      <c r="M873" s="1336"/>
      <c r="N873" s="1338"/>
      <c r="O873" s="1335"/>
      <c r="P873" s="1316"/>
      <c r="R873" s="1352"/>
      <c r="S873" s="1352"/>
      <c r="T873" s="1352">
        <f>+Tabla16[[#This Row],[CDPS A 31 JULIO 2022]]-Tabla16[[#This Row],[CDP]]</f>
        <v>0</v>
      </c>
      <c r="U873" s="1352"/>
      <c r="V873" s="1352"/>
      <c r="W873" s="1352"/>
    </row>
    <row r="874" spans="1:23" s="1317" customFormat="1" x14ac:dyDescent="0.2">
      <c r="A874" s="1322"/>
      <c r="B874" s="1339"/>
      <c r="C874" s="1345"/>
      <c r="D874" s="1334"/>
      <c r="E874" s="1335"/>
      <c r="F874" s="1335"/>
      <c r="G874" s="1327"/>
      <c r="H874" s="1327"/>
      <c r="I874" s="1323"/>
      <c r="J874" s="1323"/>
      <c r="K874" s="1324"/>
      <c r="L874" s="1325"/>
      <c r="M874" s="1336"/>
      <c r="N874" s="1338"/>
      <c r="O874" s="1335"/>
      <c r="P874" s="1316"/>
      <c r="R874" s="1352"/>
      <c r="S874" s="1352"/>
      <c r="T874" s="1352">
        <f>+Tabla16[[#This Row],[CDPS A 31 JULIO 2022]]-Tabla16[[#This Row],[CDP]]</f>
        <v>0</v>
      </c>
      <c r="U874" s="1352"/>
      <c r="V874" s="1352"/>
      <c r="W874" s="1352"/>
    </row>
    <row r="875" spans="1:23" s="1317" customFormat="1" x14ac:dyDescent="0.2">
      <c r="A875" s="1322"/>
      <c r="B875" s="1339"/>
      <c r="C875" s="1345"/>
      <c r="D875" s="1334"/>
      <c r="E875" s="1335"/>
      <c r="F875" s="1335"/>
      <c r="G875" s="1327"/>
      <c r="H875" s="1327"/>
      <c r="I875" s="1323"/>
      <c r="J875" s="1323"/>
      <c r="K875" s="1324"/>
      <c r="L875" s="1325"/>
      <c r="M875" s="1336"/>
      <c r="N875" s="1338"/>
      <c r="O875" s="1335"/>
      <c r="P875" s="1316"/>
      <c r="R875" s="1352"/>
      <c r="S875" s="1352"/>
      <c r="T875" s="1352">
        <f>+Tabla16[[#This Row],[CDPS A 31 JULIO 2022]]-Tabla16[[#This Row],[CDP]]</f>
        <v>0</v>
      </c>
      <c r="U875" s="1352"/>
      <c r="V875" s="1352"/>
      <c r="W875" s="1352"/>
    </row>
    <row r="876" spans="1:23" s="1317" customFormat="1" x14ac:dyDescent="0.2">
      <c r="A876" s="1322"/>
      <c r="B876" s="1339"/>
      <c r="C876" s="1345"/>
      <c r="D876" s="1334"/>
      <c r="E876" s="1335"/>
      <c r="F876" s="1335"/>
      <c r="G876" s="1327"/>
      <c r="H876" s="1327"/>
      <c r="I876" s="1323"/>
      <c r="J876" s="1323"/>
      <c r="K876" s="1324"/>
      <c r="L876" s="1325"/>
      <c r="M876" s="1336"/>
      <c r="N876" s="1338"/>
      <c r="O876" s="1335"/>
      <c r="P876" s="1316"/>
      <c r="R876" s="1352"/>
      <c r="S876" s="1352"/>
      <c r="T876" s="1352">
        <f>+Tabla16[[#This Row],[CDPS A 31 JULIO 2022]]-Tabla16[[#This Row],[CDP]]</f>
        <v>0</v>
      </c>
      <c r="U876" s="1352"/>
      <c r="V876" s="1352"/>
      <c r="W876" s="1352"/>
    </row>
    <row r="877" spans="1:23" s="1317" customFormat="1" x14ac:dyDescent="0.2">
      <c r="A877" s="1322"/>
      <c r="B877" s="1339"/>
      <c r="C877" s="1345"/>
      <c r="D877" s="1334"/>
      <c r="E877" s="1335"/>
      <c r="F877" s="1335"/>
      <c r="G877" s="1327"/>
      <c r="H877" s="1327"/>
      <c r="I877" s="1323"/>
      <c r="J877" s="1323"/>
      <c r="K877" s="1324"/>
      <c r="L877" s="1325"/>
      <c r="M877" s="1336"/>
      <c r="N877" s="1338"/>
      <c r="O877" s="1335"/>
      <c r="P877" s="1316"/>
      <c r="R877" s="1352"/>
      <c r="S877" s="1352"/>
      <c r="T877" s="1352">
        <f>+Tabla16[[#This Row],[CDPS A 31 JULIO 2022]]-Tabla16[[#This Row],[CDP]]</f>
        <v>0</v>
      </c>
      <c r="U877" s="1352"/>
      <c r="V877" s="1352"/>
      <c r="W877" s="1352"/>
    </row>
    <row r="878" spans="1:23" s="1317" customFormat="1" x14ac:dyDescent="0.2">
      <c r="A878" s="1322"/>
      <c r="B878" s="1339"/>
      <c r="C878" s="1345"/>
      <c r="D878" s="1334"/>
      <c r="E878" s="1335"/>
      <c r="F878" s="1335"/>
      <c r="G878" s="1327"/>
      <c r="H878" s="1327"/>
      <c r="I878" s="1323"/>
      <c r="J878" s="1323"/>
      <c r="K878" s="1324"/>
      <c r="L878" s="1325"/>
      <c r="M878" s="1336"/>
      <c r="N878" s="1338"/>
      <c r="O878" s="1335"/>
      <c r="P878" s="1316"/>
      <c r="R878" s="1352"/>
      <c r="S878" s="1352"/>
      <c r="T878" s="1352">
        <f>+Tabla16[[#This Row],[CDPS A 31 JULIO 2022]]-Tabla16[[#This Row],[CDP]]</f>
        <v>0</v>
      </c>
      <c r="U878" s="1352"/>
      <c r="V878" s="1352"/>
      <c r="W878" s="1352"/>
    </row>
    <row r="879" spans="1:23" s="1317" customFormat="1" x14ac:dyDescent="0.2">
      <c r="A879" s="1322"/>
      <c r="B879" s="1339"/>
      <c r="C879" s="1345"/>
      <c r="D879" s="1334"/>
      <c r="E879" s="1335"/>
      <c r="F879" s="1335"/>
      <c r="G879" s="1327"/>
      <c r="H879" s="1327"/>
      <c r="I879" s="1323"/>
      <c r="J879" s="1323"/>
      <c r="K879" s="1324"/>
      <c r="L879" s="1325"/>
      <c r="M879" s="1336"/>
      <c r="N879" s="1338"/>
      <c r="O879" s="1335"/>
      <c r="P879" s="1316"/>
      <c r="R879" s="1352"/>
      <c r="S879" s="1352"/>
      <c r="T879" s="1352">
        <f>+Tabla16[[#This Row],[CDPS A 31 JULIO 2022]]-Tabla16[[#This Row],[CDP]]</f>
        <v>0</v>
      </c>
      <c r="U879" s="1352"/>
      <c r="V879" s="1352"/>
      <c r="W879" s="1352"/>
    </row>
    <row r="880" spans="1:23" s="1317" customFormat="1" x14ac:dyDescent="0.2">
      <c r="A880" s="1322"/>
      <c r="B880" s="1339"/>
      <c r="C880" s="1345"/>
      <c r="D880" s="1334"/>
      <c r="E880" s="1335"/>
      <c r="F880" s="1335"/>
      <c r="G880" s="1327"/>
      <c r="H880" s="1327"/>
      <c r="I880" s="1323"/>
      <c r="J880" s="1323"/>
      <c r="K880" s="1324"/>
      <c r="L880" s="1325"/>
      <c r="M880" s="1336"/>
      <c r="N880" s="1338"/>
      <c r="O880" s="1335"/>
      <c r="P880" s="1316"/>
      <c r="R880" s="1352"/>
      <c r="S880" s="1352"/>
      <c r="T880" s="1352">
        <f>+Tabla16[[#This Row],[CDPS A 31 JULIO 2022]]-Tabla16[[#This Row],[CDP]]</f>
        <v>0</v>
      </c>
      <c r="U880" s="1352"/>
      <c r="V880" s="1352"/>
      <c r="W880" s="1352"/>
    </row>
    <row r="881" spans="1:23" s="1317" customFormat="1" x14ac:dyDescent="0.2">
      <c r="A881" s="1322"/>
      <c r="B881" s="1339"/>
      <c r="C881" s="1345"/>
      <c r="D881" s="1334"/>
      <c r="E881" s="1335"/>
      <c r="F881" s="1335"/>
      <c r="G881" s="1327"/>
      <c r="H881" s="1327"/>
      <c r="I881" s="1323"/>
      <c r="J881" s="1323"/>
      <c r="K881" s="1324"/>
      <c r="L881" s="1325"/>
      <c r="M881" s="1336"/>
      <c r="N881" s="1338"/>
      <c r="O881" s="1335"/>
      <c r="P881" s="1316"/>
      <c r="R881" s="1352"/>
      <c r="S881" s="1352"/>
      <c r="T881" s="1352">
        <f>+Tabla16[[#This Row],[CDPS A 31 JULIO 2022]]-Tabla16[[#This Row],[CDP]]</f>
        <v>0</v>
      </c>
      <c r="U881" s="1352"/>
      <c r="V881" s="1352"/>
      <c r="W881" s="1352"/>
    </row>
    <row r="882" spans="1:23" s="1317" customFormat="1" x14ac:dyDescent="0.2">
      <c r="A882" s="1322"/>
      <c r="B882" s="1339"/>
      <c r="C882" s="1345"/>
      <c r="D882" s="1334"/>
      <c r="E882" s="1335"/>
      <c r="F882" s="1335"/>
      <c r="G882" s="1327"/>
      <c r="H882" s="1327"/>
      <c r="I882" s="1323"/>
      <c r="J882" s="1323"/>
      <c r="K882" s="1324"/>
      <c r="L882" s="1325"/>
      <c r="M882" s="1336"/>
      <c r="N882" s="1338"/>
      <c r="O882" s="1335"/>
      <c r="P882" s="1316"/>
      <c r="R882" s="1352"/>
      <c r="S882" s="1352"/>
      <c r="T882" s="1352">
        <f>+Tabla16[[#This Row],[CDPS A 31 JULIO 2022]]-Tabla16[[#This Row],[CDP]]</f>
        <v>0</v>
      </c>
      <c r="U882" s="1352"/>
      <c r="V882" s="1352"/>
      <c r="W882" s="1352"/>
    </row>
    <row r="883" spans="1:23" s="1317" customFormat="1" x14ac:dyDescent="0.2">
      <c r="A883" s="1322"/>
      <c r="B883" s="1339"/>
      <c r="C883" s="1345"/>
      <c r="D883" s="1334"/>
      <c r="E883" s="1335"/>
      <c r="F883" s="1335"/>
      <c r="G883" s="1327"/>
      <c r="H883" s="1327"/>
      <c r="I883" s="1323"/>
      <c r="J883" s="1323"/>
      <c r="K883" s="1324"/>
      <c r="L883" s="1325"/>
      <c r="M883" s="1336"/>
      <c r="N883" s="1338"/>
      <c r="O883" s="1335"/>
      <c r="P883" s="1316"/>
      <c r="R883" s="1352"/>
      <c r="S883" s="1352"/>
      <c r="T883" s="1352">
        <f>+Tabla16[[#This Row],[CDPS A 31 JULIO 2022]]-Tabla16[[#This Row],[CDP]]</f>
        <v>0</v>
      </c>
      <c r="U883" s="1352"/>
      <c r="V883" s="1352"/>
      <c r="W883" s="1352"/>
    </row>
    <row r="884" spans="1:23" s="1317" customFormat="1" x14ac:dyDescent="0.2">
      <c r="A884" s="1322"/>
      <c r="B884" s="1339"/>
      <c r="C884" s="1345"/>
      <c r="D884" s="1334"/>
      <c r="E884" s="1335"/>
      <c r="F884" s="1335"/>
      <c r="G884" s="1327"/>
      <c r="H884" s="1327"/>
      <c r="I884" s="1323"/>
      <c r="J884" s="1323"/>
      <c r="K884" s="1324"/>
      <c r="L884" s="1325"/>
      <c r="M884" s="1336"/>
      <c r="N884" s="1338"/>
      <c r="O884" s="1335"/>
      <c r="P884" s="1316"/>
      <c r="R884" s="1352"/>
      <c r="S884" s="1352"/>
      <c r="T884" s="1352">
        <f>+Tabla16[[#This Row],[CDPS A 31 JULIO 2022]]-Tabla16[[#This Row],[CDP]]</f>
        <v>0</v>
      </c>
      <c r="U884" s="1352"/>
      <c r="V884" s="1352"/>
      <c r="W884" s="1352"/>
    </row>
    <row r="885" spans="1:23" s="1317" customFormat="1" x14ac:dyDescent="0.2">
      <c r="A885" s="1322"/>
      <c r="B885" s="1339"/>
      <c r="C885" s="1345"/>
      <c r="D885" s="1334"/>
      <c r="E885" s="1335"/>
      <c r="F885" s="1335"/>
      <c r="G885" s="1327"/>
      <c r="H885" s="1327"/>
      <c r="I885" s="1323"/>
      <c r="J885" s="1323"/>
      <c r="K885" s="1324"/>
      <c r="L885" s="1325"/>
      <c r="M885" s="1336"/>
      <c r="N885" s="1338"/>
      <c r="O885" s="1335"/>
      <c r="P885" s="1316"/>
      <c r="R885" s="1352"/>
      <c r="S885" s="1352"/>
      <c r="T885" s="1352">
        <f>+Tabla16[[#This Row],[CDPS A 31 JULIO 2022]]-Tabla16[[#This Row],[CDP]]</f>
        <v>0</v>
      </c>
      <c r="U885" s="1352"/>
      <c r="V885" s="1352"/>
      <c r="W885" s="1352"/>
    </row>
    <row r="886" spans="1:23" s="1317" customFormat="1" x14ac:dyDescent="0.2">
      <c r="A886" s="1322"/>
      <c r="B886" s="1339"/>
      <c r="C886" s="1345"/>
      <c r="D886" s="1334"/>
      <c r="E886" s="1335"/>
      <c r="F886" s="1335"/>
      <c r="G886" s="1327"/>
      <c r="H886" s="1327"/>
      <c r="I886" s="1323"/>
      <c r="J886" s="1323"/>
      <c r="K886" s="1324"/>
      <c r="L886" s="1325"/>
      <c r="M886" s="1336"/>
      <c r="N886" s="1338"/>
      <c r="O886" s="1335"/>
      <c r="P886" s="1316"/>
      <c r="R886" s="1352"/>
      <c r="S886" s="1352"/>
      <c r="T886" s="1352">
        <f>+Tabla16[[#This Row],[CDPS A 31 JULIO 2022]]-Tabla16[[#This Row],[CDP]]</f>
        <v>0</v>
      </c>
      <c r="U886" s="1352"/>
      <c r="V886" s="1352"/>
      <c r="W886" s="1352"/>
    </row>
    <row r="887" spans="1:23" s="1317" customFormat="1" x14ac:dyDescent="0.2">
      <c r="A887" s="1322"/>
      <c r="B887" s="1339"/>
      <c r="C887" s="1345"/>
      <c r="D887" s="1334"/>
      <c r="E887" s="1335"/>
      <c r="F887" s="1335"/>
      <c r="G887" s="1327"/>
      <c r="H887" s="1327"/>
      <c r="I887" s="1323"/>
      <c r="J887" s="1323"/>
      <c r="K887" s="1324"/>
      <c r="L887" s="1325"/>
      <c r="M887" s="1336"/>
      <c r="N887" s="1338"/>
      <c r="O887" s="1335"/>
      <c r="P887" s="1316"/>
      <c r="R887" s="1352"/>
      <c r="S887" s="1352"/>
      <c r="T887" s="1352">
        <f>+Tabla16[[#This Row],[CDPS A 31 JULIO 2022]]-Tabla16[[#This Row],[CDP]]</f>
        <v>0</v>
      </c>
      <c r="U887" s="1352"/>
      <c r="V887" s="1352"/>
      <c r="W887" s="1352"/>
    </row>
    <row r="888" spans="1:23" s="1317" customFormat="1" x14ac:dyDescent="0.2">
      <c r="A888" s="1322"/>
      <c r="B888" s="1339"/>
      <c r="C888" s="1345"/>
      <c r="D888" s="1334"/>
      <c r="E888" s="1335"/>
      <c r="F888" s="1335"/>
      <c r="G888" s="1327"/>
      <c r="H888" s="1327"/>
      <c r="I888" s="1323"/>
      <c r="J888" s="1323"/>
      <c r="K888" s="1324"/>
      <c r="L888" s="1325"/>
      <c r="M888" s="1336"/>
      <c r="N888" s="1338"/>
      <c r="O888" s="1335"/>
      <c r="P888" s="1316"/>
      <c r="R888" s="1352"/>
      <c r="S888" s="1352"/>
      <c r="T888" s="1352">
        <f>+Tabla16[[#This Row],[CDPS A 31 JULIO 2022]]-Tabla16[[#This Row],[CDP]]</f>
        <v>0</v>
      </c>
      <c r="U888" s="1352"/>
      <c r="V888" s="1352"/>
      <c r="W888" s="1352"/>
    </row>
    <row r="889" spans="1:23" s="1317" customFormat="1" x14ac:dyDescent="0.2">
      <c r="A889" s="1322"/>
      <c r="B889" s="1339"/>
      <c r="C889" s="1345"/>
      <c r="D889" s="1334"/>
      <c r="E889" s="1335"/>
      <c r="F889" s="1335"/>
      <c r="G889" s="1327"/>
      <c r="H889" s="1327"/>
      <c r="I889" s="1323"/>
      <c r="J889" s="1323"/>
      <c r="K889" s="1324"/>
      <c r="L889" s="1325"/>
      <c r="M889" s="1336"/>
      <c r="N889" s="1338"/>
      <c r="O889" s="1335"/>
      <c r="P889" s="1316"/>
      <c r="R889" s="1352"/>
      <c r="S889" s="1352"/>
      <c r="T889" s="1352">
        <f>+Tabla16[[#This Row],[CDPS A 31 JULIO 2022]]-Tabla16[[#This Row],[CDP]]</f>
        <v>0</v>
      </c>
      <c r="U889" s="1352"/>
      <c r="V889" s="1352"/>
      <c r="W889" s="1352"/>
    </row>
    <row r="890" spans="1:23" s="1317" customFormat="1" x14ac:dyDescent="0.2">
      <c r="A890" s="1322"/>
      <c r="B890" s="1339"/>
      <c r="C890" s="1345"/>
      <c r="D890" s="1334"/>
      <c r="E890" s="1335"/>
      <c r="F890" s="1335"/>
      <c r="G890" s="1327"/>
      <c r="H890" s="1327"/>
      <c r="I890" s="1323"/>
      <c r="J890" s="1323"/>
      <c r="K890" s="1324"/>
      <c r="L890" s="1325"/>
      <c r="M890" s="1336"/>
      <c r="N890" s="1338"/>
      <c r="O890" s="1335"/>
      <c r="P890" s="1316"/>
      <c r="R890" s="1352"/>
      <c r="S890" s="1352"/>
      <c r="T890" s="1352">
        <f>+Tabla16[[#This Row],[CDPS A 31 JULIO 2022]]-Tabla16[[#This Row],[CDP]]</f>
        <v>0</v>
      </c>
      <c r="U890" s="1352"/>
      <c r="V890" s="1352"/>
      <c r="W890" s="1352"/>
    </row>
    <row r="891" spans="1:23" s="1317" customFormat="1" x14ac:dyDescent="0.2">
      <c r="A891" s="1322"/>
      <c r="B891" s="1339"/>
      <c r="C891" s="1345"/>
      <c r="D891" s="1334"/>
      <c r="E891" s="1335"/>
      <c r="F891" s="1335"/>
      <c r="G891" s="1327"/>
      <c r="H891" s="1327"/>
      <c r="I891" s="1323"/>
      <c r="J891" s="1323"/>
      <c r="K891" s="1324"/>
      <c r="L891" s="1325"/>
      <c r="M891" s="1336"/>
      <c r="N891" s="1338"/>
      <c r="O891" s="1335"/>
      <c r="P891" s="1316"/>
      <c r="R891" s="1352"/>
      <c r="S891" s="1352"/>
      <c r="T891" s="1352">
        <f>+Tabla16[[#This Row],[CDPS A 31 JULIO 2022]]-Tabla16[[#This Row],[CDP]]</f>
        <v>0</v>
      </c>
      <c r="U891" s="1352"/>
      <c r="V891" s="1352"/>
      <c r="W891" s="1352"/>
    </row>
    <row r="892" spans="1:23" s="1317" customFormat="1" x14ac:dyDescent="0.2">
      <c r="A892" s="1322"/>
      <c r="B892" s="1339"/>
      <c r="C892" s="1345"/>
      <c r="D892" s="1334"/>
      <c r="E892" s="1335"/>
      <c r="F892" s="1335"/>
      <c r="G892" s="1327"/>
      <c r="H892" s="1327"/>
      <c r="I892" s="1323"/>
      <c r="J892" s="1323"/>
      <c r="K892" s="1324"/>
      <c r="L892" s="1325"/>
      <c r="M892" s="1336"/>
      <c r="N892" s="1338"/>
      <c r="O892" s="1335"/>
      <c r="P892" s="1316"/>
      <c r="R892" s="1352"/>
      <c r="S892" s="1352"/>
      <c r="T892" s="1352">
        <f>+Tabla16[[#This Row],[CDPS A 31 JULIO 2022]]-Tabla16[[#This Row],[CDP]]</f>
        <v>0</v>
      </c>
      <c r="U892" s="1352"/>
      <c r="V892" s="1352"/>
      <c r="W892" s="1352"/>
    </row>
    <row r="893" spans="1:23" s="1317" customFormat="1" x14ac:dyDescent="0.2">
      <c r="A893" s="1322"/>
      <c r="B893" s="1339"/>
      <c r="C893" s="1345"/>
      <c r="D893" s="1334"/>
      <c r="E893" s="1335"/>
      <c r="F893" s="1335"/>
      <c r="G893" s="1327"/>
      <c r="H893" s="1327"/>
      <c r="I893" s="1323"/>
      <c r="J893" s="1323"/>
      <c r="K893" s="1324"/>
      <c r="L893" s="1325"/>
      <c r="M893" s="1336"/>
      <c r="N893" s="1338"/>
      <c r="O893" s="1335"/>
      <c r="P893" s="1316"/>
      <c r="R893" s="1352"/>
      <c r="S893" s="1352"/>
      <c r="T893" s="1352">
        <f>+Tabla16[[#This Row],[CDPS A 31 JULIO 2022]]-Tabla16[[#This Row],[CDP]]</f>
        <v>0</v>
      </c>
      <c r="U893" s="1352"/>
      <c r="V893" s="1352"/>
      <c r="W893" s="1352"/>
    </row>
    <row r="894" spans="1:23" s="1317" customFormat="1" x14ac:dyDescent="0.2">
      <c r="A894" s="1322"/>
      <c r="B894" s="1339"/>
      <c r="C894" s="1345"/>
      <c r="D894" s="1334"/>
      <c r="E894" s="1335"/>
      <c r="F894" s="1335"/>
      <c r="G894" s="1327"/>
      <c r="H894" s="1327"/>
      <c r="I894" s="1323"/>
      <c r="J894" s="1323"/>
      <c r="K894" s="1324"/>
      <c r="L894" s="1325"/>
      <c r="M894" s="1336"/>
      <c r="N894" s="1338"/>
      <c r="O894" s="1335"/>
      <c r="P894" s="1316"/>
      <c r="R894" s="1352"/>
      <c r="S894" s="1352"/>
      <c r="T894" s="1352">
        <f>+Tabla16[[#This Row],[CDPS A 31 JULIO 2022]]-Tabla16[[#This Row],[CDP]]</f>
        <v>0</v>
      </c>
      <c r="U894" s="1352"/>
      <c r="V894" s="1352"/>
      <c r="W894" s="1352"/>
    </row>
    <row r="895" spans="1:23" s="1317" customFormat="1" x14ac:dyDescent="0.2">
      <c r="A895" s="1322"/>
      <c r="B895" s="1339"/>
      <c r="C895" s="1345"/>
      <c r="D895" s="1334"/>
      <c r="E895" s="1335"/>
      <c r="F895" s="1335"/>
      <c r="G895" s="1327"/>
      <c r="H895" s="1327"/>
      <c r="I895" s="1323"/>
      <c r="J895" s="1323"/>
      <c r="K895" s="1324"/>
      <c r="L895" s="1325"/>
      <c r="M895" s="1336"/>
      <c r="N895" s="1338"/>
      <c r="O895" s="1335"/>
      <c r="P895" s="1316"/>
      <c r="R895" s="1352"/>
      <c r="S895" s="1352"/>
      <c r="T895" s="1352">
        <f>+Tabla16[[#This Row],[CDPS A 31 JULIO 2022]]-Tabla16[[#This Row],[CDP]]</f>
        <v>0</v>
      </c>
      <c r="U895" s="1352"/>
      <c r="V895" s="1352"/>
      <c r="W895" s="1352"/>
    </row>
    <row r="896" spans="1:23" s="1317" customFormat="1" x14ac:dyDescent="0.2">
      <c r="A896" s="1322"/>
      <c r="B896" s="1339"/>
      <c r="C896" s="1345"/>
      <c r="D896" s="1334"/>
      <c r="E896" s="1335"/>
      <c r="F896" s="1335"/>
      <c r="G896" s="1327"/>
      <c r="H896" s="1327"/>
      <c r="I896" s="1323"/>
      <c r="J896" s="1323"/>
      <c r="K896" s="1324"/>
      <c r="L896" s="1325"/>
      <c r="M896" s="1336"/>
      <c r="N896" s="1338"/>
      <c r="O896" s="1335"/>
      <c r="P896" s="1316"/>
      <c r="R896" s="1352"/>
      <c r="S896" s="1352"/>
      <c r="T896" s="1352">
        <f>+Tabla16[[#This Row],[CDPS A 31 JULIO 2022]]-Tabla16[[#This Row],[CDP]]</f>
        <v>0</v>
      </c>
      <c r="U896" s="1352"/>
      <c r="V896" s="1352"/>
      <c r="W896" s="1352"/>
    </row>
    <row r="897" spans="1:23" s="1317" customFormat="1" x14ac:dyDescent="0.2">
      <c r="A897" s="1322"/>
      <c r="B897" s="1339"/>
      <c r="C897" s="1345"/>
      <c r="D897" s="1334"/>
      <c r="E897" s="1335"/>
      <c r="F897" s="1335"/>
      <c r="G897" s="1327"/>
      <c r="H897" s="1327"/>
      <c r="I897" s="1323"/>
      <c r="J897" s="1323"/>
      <c r="K897" s="1324"/>
      <c r="L897" s="1325"/>
      <c r="M897" s="1336"/>
      <c r="N897" s="1338"/>
      <c r="O897" s="1335"/>
      <c r="P897" s="1316"/>
      <c r="R897" s="1352"/>
      <c r="S897" s="1352"/>
      <c r="T897" s="1352">
        <f>+Tabla16[[#This Row],[CDPS A 31 JULIO 2022]]-Tabla16[[#This Row],[CDP]]</f>
        <v>0</v>
      </c>
      <c r="U897" s="1352"/>
      <c r="V897" s="1352"/>
      <c r="W897" s="1352"/>
    </row>
    <row r="898" spans="1:23" s="1317" customFormat="1" x14ac:dyDescent="0.2">
      <c r="A898" s="1322"/>
      <c r="B898" s="1339"/>
      <c r="C898" s="1345"/>
      <c r="D898" s="1334"/>
      <c r="E898" s="1335"/>
      <c r="F898" s="1335"/>
      <c r="G898" s="1327"/>
      <c r="H898" s="1327"/>
      <c r="I898" s="1323"/>
      <c r="J898" s="1323"/>
      <c r="K898" s="1324"/>
      <c r="L898" s="1325"/>
      <c r="M898" s="1336"/>
      <c r="N898" s="1338"/>
      <c r="O898" s="1335"/>
      <c r="P898" s="1316"/>
      <c r="R898" s="1352"/>
      <c r="S898" s="1352"/>
      <c r="T898" s="1352">
        <f>+Tabla16[[#This Row],[CDPS A 31 JULIO 2022]]-Tabla16[[#This Row],[CDP]]</f>
        <v>0</v>
      </c>
      <c r="U898" s="1352"/>
      <c r="V898" s="1352"/>
      <c r="W898" s="1352"/>
    </row>
    <row r="899" spans="1:23" s="1317" customFormat="1" x14ac:dyDescent="0.2">
      <c r="A899" s="1322"/>
      <c r="B899" s="1339"/>
      <c r="C899" s="1345"/>
      <c r="D899" s="1334"/>
      <c r="E899" s="1335"/>
      <c r="F899" s="1335"/>
      <c r="G899" s="1327"/>
      <c r="H899" s="1327"/>
      <c r="I899" s="1323"/>
      <c r="J899" s="1323"/>
      <c r="K899" s="1324"/>
      <c r="L899" s="1325"/>
      <c r="M899" s="1336"/>
      <c r="N899" s="1338"/>
      <c r="O899" s="1335"/>
      <c r="P899" s="1316"/>
      <c r="R899" s="1352"/>
      <c r="S899" s="1352"/>
      <c r="T899" s="1352">
        <f>+Tabla16[[#This Row],[CDPS A 31 JULIO 2022]]-Tabla16[[#This Row],[CDP]]</f>
        <v>0</v>
      </c>
      <c r="U899" s="1352"/>
      <c r="V899" s="1352"/>
      <c r="W899" s="1352"/>
    </row>
    <row r="900" spans="1:23" s="1317" customFormat="1" x14ac:dyDescent="0.2">
      <c r="A900" s="1322"/>
      <c r="B900" s="1339"/>
      <c r="C900" s="1345"/>
      <c r="D900" s="1334"/>
      <c r="E900" s="1335"/>
      <c r="F900" s="1335"/>
      <c r="G900" s="1327"/>
      <c r="H900" s="1327"/>
      <c r="I900" s="1323"/>
      <c r="J900" s="1323"/>
      <c r="K900" s="1324"/>
      <c r="L900" s="1325"/>
      <c r="M900" s="1336"/>
      <c r="N900" s="1338"/>
      <c r="O900" s="1335"/>
      <c r="P900" s="1316"/>
      <c r="R900" s="1352"/>
      <c r="S900" s="1352"/>
      <c r="T900" s="1352">
        <f>+Tabla16[[#This Row],[CDPS A 31 JULIO 2022]]-Tabla16[[#This Row],[CDP]]</f>
        <v>0</v>
      </c>
      <c r="U900" s="1352"/>
      <c r="V900" s="1352"/>
      <c r="W900" s="1352"/>
    </row>
    <row r="901" spans="1:23" s="1317" customFormat="1" x14ac:dyDescent="0.2">
      <c r="A901" s="1322"/>
      <c r="B901" s="1339"/>
      <c r="C901" s="1345"/>
      <c r="D901" s="1334"/>
      <c r="E901" s="1335"/>
      <c r="F901" s="1335"/>
      <c r="G901" s="1327"/>
      <c r="H901" s="1327"/>
      <c r="I901" s="1323"/>
      <c r="J901" s="1323"/>
      <c r="K901" s="1324"/>
      <c r="L901" s="1325"/>
      <c r="M901" s="1336"/>
      <c r="N901" s="1338"/>
      <c r="O901" s="1335"/>
      <c r="P901" s="1316"/>
      <c r="R901" s="1352"/>
      <c r="S901" s="1352"/>
      <c r="T901" s="1352">
        <f>+Tabla16[[#This Row],[CDPS A 31 JULIO 2022]]-Tabla16[[#This Row],[CDP]]</f>
        <v>0</v>
      </c>
      <c r="U901" s="1352"/>
      <c r="V901" s="1352"/>
      <c r="W901" s="1352"/>
    </row>
    <row r="902" spans="1:23" s="1317" customFormat="1" x14ac:dyDescent="0.2">
      <c r="A902" s="1322"/>
      <c r="B902" s="1339"/>
      <c r="C902" s="1345"/>
      <c r="D902" s="1334"/>
      <c r="E902" s="1335"/>
      <c r="F902" s="1335"/>
      <c r="G902" s="1327"/>
      <c r="H902" s="1327"/>
      <c r="I902" s="1323"/>
      <c r="J902" s="1323"/>
      <c r="K902" s="1324"/>
      <c r="L902" s="1325"/>
      <c r="M902" s="1336"/>
      <c r="N902" s="1338"/>
      <c r="O902" s="1335"/>
      <c r="P902" s="1316"/>
      <c r="R902" s="1352"/>
      <c r="S902" s="1352"/>
      <c r="T902" s="1352">
        <f>+Tabla16[[#This Row],[CDPS A 31 JULIO 2022]]-Tabla16[[#This Row],[CDP]]</f>
        <v>0</v>
      </c>
      <c r="U902" s="1352"/>
      <c r="V902" s="1352"/>
      <c r="W902" s="1352"/>
    </row>
    <row r="903" spans="1:23" s="1317" customFormat="1" x14ac:dyDescent="0.2">
      <c r="A903" s="1322"/>
      <c r="B903" s="1339"/>
      <c r="C903" s="1345"/>
      <c r="D903" s="1334"/>
      <c r="E903" s="1335"/>
      <c r="F903" s="1335"/>
      <c r="G903" s="1327"/>
      <c r="H903" s="1327"/>
      <c r="I903" s="1323"/>
      <c r="J903" s="1323"/>
      <c r="K903" s="1324"/>
      <c r="L903" s="1325"/>
      <c r="M903" s="1336"/>
      <c r="N903" s="1338"/>
      <c r="O903" s="1335"/>
      <c r="P903" s="1316"/>
      <c r="R903" s="1352"/>
      <c r="S903" s="1352"/>
      <c r="T903" s="1352">
        <f>+Tabla16[[#This Row],[CDPS A 31 JULIO 2022]]-Tabla16[[#This Row],[CDP]]</f>
        <v>0</v>
      </c>
      <c r="U903" s="1352"/>
      <c r="V903" s="1352"/>
      <c r="W903" s="1352"/>
    </row>
    <row r="904" spans="1:23" s="1317" customFormat="1" x14ac:dyDescent="0.2">
      <c r="A904" s="1322"/>
      <c r="B904" s="1339"/>
      <c r="C904" s="1345"/>
      <c r="D904" s="1334"/>
      <c r="E904" s="1335"/>
      <c r="F904" s="1335"/>
      <c r="G904" s="1327"/>
      <c r="H904" s="1327"/>
      <c r="I904" s="1323"/>
      <c r="J904" s="1323"/>
      <c r="K904" s="1324"/>
      <c r="L904" s="1325"/>
      <c r="M904" s="1336"/>
      <c r="N904" s="1338"/>
      <c r="O904" s="1335"/>
      <c r="P904" s="1316"/>
      <c r="R904" s="1352"/>
      <c r="S904" s="1352"/>
      <c r="T904" s="1352">
        <f>+Tabla16[[#This Row],[CDPS A 31 JULIO 2022]]-Tabla16[[#This Row],[CDP]]</f>
        <v>0</v>
      </c>
      <c r="U904" s="1352"/>
      <c r="V904" s="1352"/>
      <c r="W904" s="1352"/>
    </row>
    <row r="905" spans="1:23" s="1317" customFormat="1" x14ac:dyDescent="0.2">
      <c r="A905" s="1322"/>
      <c r="B905" s="1339"/>
      <c r="C905" s="1345"/>
      <c r="D905" s="1334"/>
      <c r="E905" s="1335"/>
      <c r="F905" s="1335"/>
      <c r="G905" s="1327"/>
      <c r="H905" s="1327"/>
      <c r="I905" s="1323"/>
      <c r="J905" s="1323"/>
      <c r="K905" s="1324"/>
      <c r="L905" s="1325"/>
      <c r="M905" s="1336"/>
      <c r="N905" s="1338"/>
      <c r="O905" s="1335"/>
      <c r="P905" s="1316"/>
      <c r="R905" s="1352"/>
      <c r="S905" s="1352"/>
      <c r="T905" s="1352">
        <f>+Tabla16[[#This Row],[CDPS A 31 JULIO 2022]]-Tabla16[[#This Row],[CDP]]</f>
        <v>0</v>
      </c>
      <c r="U905" s="1352"/>
      <c r="V905" s="1352"/>
      <c r="W905" s="1352"/>
    </row>
    <row r="906" spans="1:23" s="1317" customFormat="1" x14ac:dyDescent="0.2">
      <c r="A906" s="1322"/>
      <c r="B906" s="1339"/>
      <c r="C906" s="1345"/>
      <c r="D906" s="1334"/>
      <c r="E906" s="1335"/>
      <c r="F906" s="1335"/>
      <c r="G906" s="1327"/>
      <c r="H906" s="1327"/>
      <c r="I906" s="1323"/>
      <c r="J906" s="1323"/>
      <c r="K906" s="1324"/>
      <c r="L906" s="1325"/>
      <c r="M906" s="1336"/>
      <c r="N906" s="1338"/>
      <c r="O906" s="1335"/>
      <c r="P906" s="1316"/>
      <c r="R906" s="1352"/>
      <c r="S906" s="1352"/>
      <c r="T906" s="1352">
        <f>+Tabla16[[#This Row],[CDPS A 31 JULIO 2022]]-Tabla16[[#This Row],[CDP]]</f>
        <v>0</v>
      </c>
      <c r="U906" s="1352"/>
      <c r="V906" s="1352"/>
      <c r="W906" s="1352"/>
    </row>
    <row r="907" spans="1:23" s="1317" customFormat="1" x14ac:dyDescent="0.2">
      <c r="A907" s="1322"/>
      <c r="B907" s="1339"/>
      <c r="C907" s="1345"/>
      <c r="D907" s="1334"/>
      <c r="E907" s="1335"/>
      <c r="F907" s="1335"/>
      <c r="G907" s="1327"/>
      <c r="H907" s="1327"/>
      <c r="I907" s="1323"/>
      <c r="J907" s="1323"/>
      <c r="K907" s="1324"/>
      <c r="L907" s="1325"/>
      <c r="M907" s="1336"/>
      <c r="N907" s="1338"/>
      <c r="O907" s="1335"/>
      <c r="P907" s="1316"/>
      <c r="R907" s="1352"/>
      <c r="S907" s="1352"/>
      <c r="T907" s="1352">
        <f>+Tabla16[[#This Row],[CDPS A 31 JULIO 2022]]-Tabla16[[#This Row],[CDP]]</f>
        <v>0</v>
      </c>
      <c r="U907" s="1352"/>
      <c r="V907" s="1352"/>
      <c r="W907" s="1352"/>
    </row>
    <row r="908" spans="1:23" s="1317" customFormat="1" x14ac:dyDescent="0.2">
      <c r="A908" s="1322"/>
      <c r="B908" s="1339"/>
      <c r="C908" s="1345"/>
      <c r="D908" s="1334"/>
      <c r="E908" s="1335"/>
      <c r="F908" s="1335"/>
      <c r="G908" s="1327"/>
      <c r="H908" s="1327"/>
      <c r="I908" s="1323"/>
      <c r="J908" s="1323"/>
      <c r="K908" s="1324"/>
      <c r="L908" s="1325"/>
      <c r="M908" s="1336"/>
      <c r="N908" s="1338"/>
      <c r="O908" s="1335"/>
      <c r="P908" s="1316"/>
      <c r="R908" s="1352"/>
      <c r="S908" s="1352"/>
      <c r="T908" s="1352">
        <f>+Tabla16[[#This Row],[CDPS A 31 JULIO 2022]]-Tabla16[[#This Row],[CDP]]</f>
        <v>0</v>
      </c>
      <c r="U908" s="1352"/>
      <c r="V908" s="1352"/>
      <c r="W908" s="1352"/>
    </row>
    <row r="909" spans="1:23" s="1317" customFormat="1" x14ac:dyDescent="0.2">
      <c r="A909" s="1322"/>
      <c r="B909" s="1339"/>
      <c r="C909" s="1345"/>
      <c r="D909" s="1334"/>
      <c r="E909" s="1335"/>
      <c r="F909" s="1335"/>
      <c r="G909" s="1327"/>
      <c r="H909" s="1327"/>
      <c r="I909" s="1323"/>
      <c r="J909" s="1323"/>
      <c r="K909" s="1324"/>
      <c r="L909" s="1325"/>
      <c r="M909" s="1336"/>
      <c r="N909" s="1338"/>
      <c r="O909" s="1335"/>
      <c r="P909" s="1316"/>
      <c r="R909" s="1352"/>
      <c r="S909" s="1352"/>
      <c r="T909" s="1352">
        <f>+Tabla16[[#This Row],[CDPS A 31 JULIO 2022]]-Tabla16[[#This Row],[CDP]]</f>
        <v>0</v>
      </c>
      <c r="U909" s="1352"/>
      <c r="V909" s="1352"/>
      <c r="W909" s="1352"/>
    </row>
    <row r="910" spans="1:23" s="1317" customFormat="1" x14ac:dyDescent="0.2">
      <c r="A910" s="1322"/>
      <c r="B910" s="1339"/>
      <c r="C910" s="1345"/>
      <c r="D910" s="1334"/>
      <c r="E910" s="1335"/>
      <c r="F910" s="1335"/>
      <c r="G910" s="1327"/>
      <c r="H910" s="1327"/>
      <c r="I910" s="1323"/>
      <c r="J910" s="1323"/>
      <c r="K910" s="1324"/>
      <c r="L910" s="1325"/>
      <c r="M910" s="1336"/>
      <c r="N910" s="1338"/>
      <c r="O910" s="1335"/>
      <c r="P910" s="1316"/>
      <c r="R910" s="1352"/>
      <c r="S910" s="1352"/>
      <c r="T910" s="1352">
        <f>+Tabla16[[#This Row],[CDPS A 31 JULIO 2022]]-Tabla16[[#This Row],[CDP]]</f>
        <v>0</v>
      </c>
      <c r="U910" s="1352"/>
      <c r="V910" s="1352"/>
      <c r="W910" s="1352"/>
    </row>
    <row r="911" spans="1:23" s="1317" customFormat="1" x14ac:dyDescent="0.2">
      <c r="A911" s="1322"/>
      <c r="B911" s="1339"/>
      <c r="C911" s="1345"/>
      <c r="D911" s="1334"/>
      <c r="E911" s="1335"/>
      <c r="F911" s="1335"/>
      <c r="G911" s="1327"/>
      <c r="H911" s="1327"/>
      <c r="I911" s="1323"/>
      <c r="J911" s="1323"/>
      <c r="K911" s="1324"/>
      <c r="L911" s="1325"/>
      <c r="M911" s="1336"/>
      <c r="N911" s="1338"/>
      <c r="O911" s="1335"/>
      <c r="P911" s="1316"/>
      <c r="R911" s="1352"/>
      <c r="S911" s="1352"/>
      <c r="T911" s="1352">
        <f>+Tabla16[[#This Row],[CDPS A 31 JULIO 2022]]-Tabla16[[#This Row],[CDP]]</f>
        <v>0</v>
      </c>
      <c r="U911" s="1352"/>
      <c r="V911" s="1352"/>
      <c r="W911" s="1352"/>
    </row>
    <row r="912" spans="1:23" s="1317" customFormat="1" x14ac:dyDescent="0.2">
      <c r="A912" s="1322"/>
      <c r="B912" s="1339"/>
      <c r="C912" s="1345"/>
      <c r="D912" s="1334"/>
      <c r="E912" s="1335"/>
      <c r="F912" s="1335"/>
      <c r="G912" s="1327"/>
      <c r="H912" s="1327"/>
      <c r="I912" s="1323"/>
      <c r="J912" s="1323"/>
      <c r="K912" s="1324"/>
      <c r="L912" s="1325"/>
      <c r="M912" s="1336"/>
      <c r="N912" s="1338"/>
      <c r="O912" s="1335"/>
      <c r="P912" s="1316"/>
      <c r="R912" s="1352"/>
      <c r="S912" s="1352"/>
      <c r="T912" s="1352">
        <f>+Tabla16[[#This Row],[CDPS A 31 JULIO 2022]]-Tabla16[[#This Row],[CDP]]</f>
        <v>0</v>
      </c>
      <c r="U912" s="1352"/>
      <c r="V912" s="1352"/>
      <c r="W912" s="1352"/>
    </row>
    <row r="913" spans="1:23" s="1317" customFormat="1" x14ac:dyDescent="0.2">
      <c r="A913" s="1322"/>
      <c r="B913" s="1339"/>
      <c r="C913" s="1345"/>
      <c r="D913" s="1334"/>
      <c r="E913" s="1335"/>
      <c r="F913" s="1335"/>
      <c r="G913" s="1327"/>
      <c r="H913" s="1327"/>
      <c r="I913" s="1323"/>
      <c r="J913" s="1323"/>
      <c r="K913" s="1324"/>
      <c r="L913" s="1325"/>
      <c r="M913" s="1336"/>
      <c r="N913" s="1338"/>
      <c r="O913" s="1335"/>
      <c r="P913" s="1316"/>
      <c r="R913" s="1352"/>
      <c r="S913" s="1352"/>
      <c r="T913" s="1352">
        <f>+Tabla16[[#This Row],[CDPS A 31 JULIO 2022]]-Tabla16[[#This Row],[CDP]]</f>
        <v>0</v>
      </c>
      <c r="U913" s="1352"/>
      <c r="V913" s="1352"/>
      <c r="W913" s="1352"/>
    </row>
    <row r="914" spans="1:23" s="1317" customFormat="1" x14ac:dyDescent="0.2">
      <c r="A914" s="1322"/>
      <c r="B914" s="1339"/>
      <c r="C914" s="1345"/>
      <c r="D914" s="1334"/>
      <c r="E914" s="1335"/>
      <c r="F914" s="1335"/>
      <c r="G914" s="1327"/>
      <c r="H914" s="1327"/>
      <c r="I914" s="1323"/>
      <c r="J914" s="1323"/>
      <c r="K914" s="1324"/>
      <c r="L914" s="1325"/>
      <c r="M914" s="1336"/>
      <c r="N914" s="1338"/>
      <c r="O914" s="1335"/>
      <c r="P914" s="1316"/>
      <c r="R914" s="1352"/>
      <c r="S914" s="1352"/>
      <c r="T914" s="1352">
        <f>+Tabla16[[#This Row],[CDPS A 31 JULIO 2022]]-Tabla16[[#This Row],[CDP]]</f>
        <v>0</v>
      </c>
      <c r="U914" s="1352"/>
      <c r="V914" s="1352"/>
      <c r="W914" s="1352"/>
    </row>
    <row r="915" spans="1:23" s="1317" customFormat="1" x14ac:dyDescent="0.2">
      <c r="A915" s="1322"/>
      <c r="B915" s="1339"/>
      <c r="C915" s="1345"/>
      <c r="D915" s="1334"/>
      <c r="E915" s="1335"/>
      <c r="F915" s="1335"/>
      <c r="G915" s="1327"/>
      <c r="H915" s="1327"/>
      <c r="I915" s="1323"/>
      <c r="J915" s="1323"/>
      <c r="K915" s="1324"/>
      <c r="L915" s="1325"/>
      <c r="M915" s="1336"/>
      <c r="N915" s="1338"/>
      <c r="O915" s="1335"/>
      <c r="P915" s="1316"/>
      <c r="R915" s="1352"/>
      <c r="S915" s="1352"/>
      <c r="T915" s="1352">
        <f>+Tabla16[[#This Row],[CDPS A 31 JULIO 2022]]-Tabla16[[#This Row],[CDP]]</f>
        <v>0</v>
      </c>
      <c r="U915" s="1352"/>
      <c r="V915" s="1352"/>
      <c r="W915" s="1352"/>
    </row>
    <row r="916" spans="1:23" s="1317" customFormat="1" x14ac:dyDescent="0.2">
      <c r="A916" s="1322"/>
      <c r="B916" s="1339"/>
      <c r="C916" s="1345"/>
      <c r="D916" s="1334"/>
      <c r="E916" s="1335"/>
      <c r="F916" s="1335"/>
      <c r="G916" s="1327"/>
      <c r="H916" s="1327"/>
      <c r="I916" s="1323"/>
      <c r="J916" s="1323"/>
      <c r="K916" s="1324"/>
      <c r="L916" s="1325"/>
      <c r="M916" s="1336"/>
      <c r="N916" s="1338"/>
      <c r="O916" s="1335"/>
      <c r="P916" s="1316"/>
      <c r="R916" s="1352"/>
      <c r="S916" s="1352"/>
      <c r="T916" s="1352">
        <f>+Tabla16[[#This Row],[CDPS A 31 JULIO 2022]]-Tabla16[[#This Row],[CDP]]</f>
        <v>0</v>
      </c>
      <c r="U916" s="1352"/>
      <c r="V916" s="1352"/>
      <c r="W916" s="1352"/>
    </row>
    <row r="917" spans="1:23" s="1317" customFormat="1" x14ac:dyDescent="0.2">
      <c r="A917" s="1322"/>
      <c r="B917" s="1339"/>
      <c r="C917" s="1345"/>
      <c r="D917" s="1334"/>
      <c r="E917" s="1335"/>
      <c r="F917" s="1335"/>
      <c r="G917" s="1327"/>
      <c r="H917" s="1327"/>
      <c r="I917" s="1323"/>
      <c r="J917" s="1323"/>
      <c r="K917" s="1324"/>
      <c r="L917" s="1325"/>
      <c r="M917" s="1336"/>
      <c r="N917" s="1338"/>
      <c r="O917" s="1335"/>
      <c r="P917" s="1316"/>
      <c r="R917" s="1352"/>
      <c r="S917" s="1352"/>
      <c r="T917" s="1352">
        <f>+Tabla16[[#This Row],[CDPS A 31 JULIO 2022]]-Tabla16[[#This Row],[CDP]]</f>
        <v>0</v>
      </c>
      <c r="U917" s="1352"/>
      <c r="V917" s="1352"/>
      <c r="W917" s="1352"/>
    </row>
    <row r="918" spans="1:23" s="1317" customFormat="1" x14ac:dyDescent="0.2">
      <c r="A918" s="1322"/>
      <c r="B918" s="1339"/>
      <c r="C918" s="1345"/>
      <c r="D918" s="1334"/>
      <c r="E918" s="1335"/>
      <c r="F918" s="1335"/>
      <c r="G918" s="1327"/>
      <c r="H918" s="1327"/>
      <c r="I918" s="1323"/>
      <c r="J918" s="1323"/>
      <c r="K918" s="1324"/>
      <c r="L918" s="1325"/>
      <c r="M918" s="1336"/>
      <c r="N918" s="1338"/>
      <c r="O918" s="1335"/>
      <c r="P918" s="1316"/>
      <c r="R918" s="1352"/>
      <c r="S918" s="1352"/>
      <c r="T918" s="1352">
        <f>+Tabla16[[#This Row],[CDPS A 31 JULIO 2022]]-Tabla16[[#This Row],[CDP]]</f>
        <v>0</v>
      </c>
      <c r="U918" s="1352"/>
      <c r="V918" s="1352"/>
      <c r="W918" s="1352"/>
    </row>
    <row r="919" spans="1:23" s="1317" customFormat="1" x14ac:dyDescent="0.2">
      <c r="A919" s="1322"/>
      <c r="B919" s="1339"/>
      <c r="C919" s="1345"/>
      <c r="D919" s="1334"/>
      <c r="E919" s="1335"/>
      <c r="F919" s="1335"/>
      <c r="G919" s="1327"/>
      <c r="H919" s="1327"/>
      <c r="I919" s="1323"/>
      <c r="J919" s="1323"/>
      <c r="K919" s="1324"/>
      <c r="L919" s="1325"/>
      <c r="M919" s="1336"/>
      <c r="N919" s="1338"/>
      <c r="O919" s="1335"/>
      <c r="P919" s="1316"/>
      <c r="R919" s="1352"/>
      <c r="S919" s="1352"/>
      <c r="T919" s="1352">
        <f>+Tabla16[[#This Row],[CDPS A 31 JULIO 2022]]-Tabla16[[#This Row],[CDP]]</f>
        <v>0</v>
      </c>
      <c r="U919" s="1352"/>
      <c r="V919" s="1352"/>
      <c r="W919" s="1352"/>
    </row>
    <row r="920" spans="1:23" s="1317" customFormat="1" x14ac:dyDescent="0.2">
      <c r="A920" s="1322"/>
      <c r="B920" s="1339"/>
      <c r="C920" s="1345"/>
      <c r="D920" s="1334"/>
      <c r="E920" s="1335"/>
      <c r="F920" s="1335"/>
      <c r="G920" s="1327"/>
      <c r="H920" s="1327"/>
      <c r="I920" s="1323"/>
      <c r="J920" s="1323"/>
      <c r="K920" s="1324"/>
      <c r="L920" s="1325"/>
      <c r="M920" s="1336"/>
      <c r="N920" s="1338"/>
      <c r="O920" s="1335"/>
      <c r="P920" s="1316"/>
      <c r="R920" s="1352"/>
      <c r="S920" s="1352"/>
      <c r="T920" s="1352">
        <f>+Tabla16[[#This Row],[CDPS A 31 JULIO 2022]]-Tabla16[[#This Row],[CDP]]</f>
        <v>0</v>
      </c>
      <c r="U920" s="1352"/>
      <c r="V920" s="1352"/>
      <c r="W920" s="1352"/>
    </row>
    <row r="921" spans="1:23" s="1317" customFormat="1" x14ac:dyDescent="0.2">
      <c r="A921" s="1322"/>
      <c r="B921" s="1339"/>
      <c r="C921" s="1345"/>
      <c r="D921" s="1334"/>
      <c r="E921" s="1335"/>
      <c r="F921" s="1335"/>
      <c r="G921" s="1327"/>
      <c r="H921" s="1327"/>
      <c r="I921" s="1323"/>
      <c r="J921" s="1323"/>
      <c r="K921" s="1324"/>
      <c r="L921" s="1325"/>
      <c r="M921" s="1336"/>
      <c r="N921" s="1338"/>
      <c r="O921" s="1335"/>
      <c r="P921" s="1316"/>
      <c r="R921" s="1352"/>
      <c r="S921" s="1352"/>
      <c r="T921" s="1352">
        <f>+Tabla16[[#This Row],[CDPS A 31 JULIO 2022]]-Tabla16[[#This Row],[CDP]]</f>
        <v>0</v>
      </c>
      <c r="U921" s="1352"/>
      <c r="V921" s="1352"/>
      <c r="W921" s="1352"/>
    </row>
    <row r="922" spans="1:23" s="1317" customFormat="1" x14ac:dyDescent="0.2">
      <c r="A922" s="1322"/>
      <c r="B922" s="1339"/>
      <c r="C922" s="1345"/>
      <c r="D922" s="1334"/>
      <c r="E922" s="1335"/>
      <c r="F922" s="1335"/>
      <c r="G922" s="1327"/>
      <c r="H922" s="1327"/>
      <c r="I922" s="1323"/>
      <c r="J922" s="1323"/>
      <c r="K922" s="1324"/>
      <c r="L922" s="1325"/>
      <c r="M922" s="1336"/>
      <c r="N922" s="1338"/>
      <c r="O922" s="1335"/>
      <c r="P922" s="1316"/>
      <c r="R922" s="1352"/>
      <c r="S922" s="1352"/>
      <c r="T922" s="1352">
        <f>+Tabla16[[#This Row],[CDPS A 31 JULIO 2022]]-Tabla16[[#This Row],[CDP]]</f>
        <v>0</v>
      </c>
      <c r="U922" s="1352"/>
      <c r="V922" s="1352"/>
      <c r="W922" s="1352"/>
    </row>
    <row r="923" spans="1:23" s="1317" customFormat="1" x14ac:dyDescent="0.2">
      <c r="A923" s="1322"/>
      <c r="B923" s="1339"/>
      <c r="C923" s="1345"/>
      <c r="D923" s="1334"/>
      <c r="E923" s="1335"/>
      <c r="F923" s="1335"/>
      <c r="G923" s="1327"/>
      <c r="H923" s="1327"/>
      <c r="I923" s="1323"/>
      <c r="J923" s="1323"/>
      <c r="K923" s="1324"/>
      <c r="L923" s="1325"/>
      <c r="M923" s="1336"/>
      <c r="N923" s="1338"/>
      <c r="O923" s="1335"/>
      <c r="P923" s="1316"/>
      <c r="R923" s="1352"/>
      <c r="S923" s="1352"/>
      <c r="T923" s="1352">
        <f>+Tabla16[[#This Row],[CDPS A 31 JULIO 2022]]-Tabla16[[#This Row],[CDP]]</f>
        <v>0</v>
      </c>
      <c r="U923" s="1352"/>
      <c r="V923" s="1352"/>
      <c r="W923" s="1352"/>
    </row>
    <row r="924" spans="1:23" s="1317" customFormat="1" x14ac:dyDescent="0.2">
      <c r="A924" s="1322"/>
      <c r="B924" s="1339"/>
      <c r="C924" s="1345"/>
      <c r="D924" s="1334"/>
      <c r="E924" s="1335"/>
      <c r="F924" s="1335"/>
      <c r="G924" s="1327"/>
      <c r="H924" s="1327"/>
      <c r="I924" s="1323"/>
      <c r="J924" s="1323"/>
      <c r="K924" s="1324"/>
      <c r="L924" s="1325"/>
      <c r="M924" s="1336"/>
      <c r="N924" s="1338"/>
      <c r="O924" s="1335"/>
      <c r="P924" s="1316"/>
      <c r="R924" s="1352"/>
      <c r="S924" s="1352"/>
      <c r="T924" s="1352">
        <f>+Tabla16[[#This Row],[CDPS A 31 JULIO 2022]]-Tabla16[[#This Row],[CDP]]</f>
        <v>0</v>
      </c>
      <c r="U924" s="1352"/>
      <c r="V924" s="1352"/>
      <c r="W924" s="1352"/>
    </row>
    <row r="925" spans="1:23" s="1317" customFormat="1" x14ac:dyDescent="0.2">
      <c r="A925" s="1322"/>
      <c r="B925" s="1339"/>
      <c r="C925" s="1345"/>
      <c r="D925" s="1334"/>
      <c r="E925" s="1335"/>
      <c r="F925" s="1335"/>
      <c r="G925" s="1327"/>
      <c r="H925" s="1327"/>
      <c r="I925" s="1323"/>
      <c r="J925" s="1323"/>
      <c r="K925" s="1324"/>
      <c r="L925" s="1325"/>
      <c r="M925" s="1336"/>
      <c r="N925" s="1338"/>
      <c r="O925" s="1335"/>
      <c r="P925" s="1316"/>
      <c r="R925" s="1352"/>
      <c r="S925" s="1352"/>
      <c r="T925" s="1352">
        <f>+Tabla16[[#This Row],[CDPS A 31 JULIO 2022]]-Tabla16[[#This Row],[CDP]]</f>
        <v>0</v>
      </c>
      <c r="U925" s="1352"/>
      <c r="V925" s="1352"/>
      <c r="W925" s="1352"/>
    </row>
    <row r="926" spans="1:23" s="1317" customFormat="1" x14ac:dyDescent="0.2">
      <c r="A926" s="1322"/>
      <c r="B926" s="1339"/>
      <c r="C926" s="1345"/>
      <c r="D926" s="1334"/>
      <c r="E926" s="1335"/>
      <c r="F926" s="1335"/>
      <c r="G926" s="1327"/>
      <c r="H926" s="1327"/>
      <c r="I926" s="1323"/>
      <c r="J926" s="1323"/>
      <c r="K926" s="1324"/>
      <c r="L926" s="1325"/>
      <c r="M926" s="1336"/>
      <c r="N926" s="1338"/>
      <c r="O926" s="1335"/>
      <c r="P926" s="1316"/>
      <c r="R926" s="1352"/>
      <c r="S926" s="1352"/>
      <c r="T926" s="1352">
        <f>+Tabla16[[#This Row],[CDPS A 31 JULIO 2022]]-Tabla16[[#This Row],[CDP]]</f>
        <v>0</v>
      </c>
      <c r="U926" s="1352"/>
      <c r="V926" s="1352"/>
      <c r="W926" s="1352"/>
    </row>
    <row r="927" spans="1:23" s="1317" customFormat="1" x14ac:dyDescent="0.2">
      <c r="A927" s="1322"/>
      <c r="B927" s="1339"/>
      <c r="C927" s="1345"/>
      <c r="D927" s="1334"/>
      <c r="E927" s="1335"/>
      <c r="F927" s="1335"/>
      <c r="G927" s="1327"/>
      <c r="H927" s="1327"/>
      <c r="I927" s="1323"/>
      <c r="J927" s="1323"/>
      <c r="K927" s="1324"/>
      <c r="L927" s="1325"/>
      <c r="M927" s="1336"/>
      <c r="N927" s="1338"/>
      <c r="O927" s="1335"/>
      <c r="P927" s="1316"/>
      <c r="R927" s="1352"/>
      <c r="S927" s="1352"/>
      <c r="T927" s="1352">
        <f>+Tabla16[[#This Row],[CDPS A 31 JULIO 2022]]-Tabla16[[#This Row],[CDP]]</f>
        <v>0</v>
      </c>
      <c r="U927" s="1352"/>
      <c r="V927" s="1352"/>
      <c r="W927" s="1352"/>
    </row>
    <row r="928" spans="1:23" s="1317" customFormat="1" x14ac:dyDescent="0.2">
      <c r="A928" s="1322"/>
      <c r="B928" s="1339"/>
      <c r="C928" s="1345"/>
      <c r="D928" s="1334"/>
      <c r="E928" s="1335"/>
      <c r="F928" s="1335"/>
      <c r="G928" s="1327"/>
      <c r="H928" s="1327"/>
      <c r="I928" s="1323"/>
      <c r="J928" s="1323"/>
      <c r="K928" s="1324"/>
      <c r="L928" s="1325"/>
      <c r="M928" s="1336"/>
      <c r="N928" s="1338"/>
      <c r="O928" s="1335"/>
      <c r="P928" s="1316"/>
      <c r="R928" s="1352"/>
      <c r="S928" s="1352"/>
      <c r="T928" s="1352">
        <f>+Tabla16[[#This Row],[CDPS A 31 JULIO 2022]]-Tabla16[[#This Row],[CDP]]</f>
        <v>0</v>
      </c>
      <c r="U928" s="1352"/>
      <c r="V928" s="1352"/>
      <c r="W928" s="1352"/>
    </row>
    <row r="929" spans="1:23" s="1317" customFormat="1" x14ac:dyDescent="0.2">
      <c r="A929" s="1322"/>
      <c r="B929" s="1339"/>
      <c r="C929" s="1345"/>
      <c r="D929" s="1334"/>
      <c r="E929" s="1335"/>
      <c r="F929" s="1335"/>
      <c r="G929" s="1327"/>
      <c r="H929" s="1327"/>
      <c r="I929" s="1323"/>
      <c r="J929" s="1323"/>
      <c r="K929" s="1324"/>
      <c r="L929" s="1325"/>
      <c r="M929" s="1336"/>
      <c r="N929" s="1338"/>
      <c r="O929" s="1335"/>
      <c r="P929" s="1316"/>
      <c r="R929" s="1352"/>
      <c r="S929" s="1352"/>
      <c r="T929" s="1352">
        <f>+Tabla16[[#This Row],[CDPS A 31 JULIO 2022]]-Tabla16[[#This Row],[CDP]]</f>
        <v>0</v>
      </c>
      <c r="U929" s="1352"/>
      <c r="V929" s="1352"/>
      <c r="W929" s="1352"/>
    </row>
    <row r="930" spans="1:23" s="1317" customFormat="1" x14ac:dyDescent="0.2">
      <c r="A930" s="1322"/>
      <c r="B930" s="1339"/>
      <c r="C930" s="1345"/>
      <c r="D930" s="1334"/>
      <c r="E930" s="1335"/>
      <c r="F930" s="1335"/>
      <c r="G930" s="1327"/>
      <c r="H930" s="1327"/>
      <c r="I930" s="1323"/>
      <c r="J930" s="1323"/>
      <c r="K930" s="1324"/>
      <c r="L930" s="1325"/>
      <c r="M930" s="1336"/>
      <c r="N930" s="1338"/>
      <c r="O930" s="1335"/>
      <c r="P930" s="1316"/>
      <c r="R930" s="1352"/>
      <c r="S930" s="1352"/>
      <c r="T930" s="1352">
        <f>+Tabla16[[#This Row],[CDPS A 31 JULIO 2022]]-Tabla16[[#This Row],[CDP]]</f>
        <v>0</v>
      </c>
      <c r="U930" s="1352"/>
      <c r="V930" s="1352"/>
      <c r="W930" s="1352"/>
    </row>
    <row r="931" spans="1:23" s="1317" customFormat="1" x14ac:dyDescent="0.2">
      <c r="A931" s="1322"/>
      <c r="B931" s="1339"/>
      <c r="C931" s="1345"/>
      <c r="D931" s="1334"/>
      <c r="E931" s="1335"/>
      <c r="F931" s="1335"/>
      <c r="G931" s="1327"/>
      <c r="H931" s="1327"/>
      <c r="I931" s="1323"/>
      <c r="J931" s="1323"/>
      <c r="K931" s="1324"/>
      <c r="L931" s="1325"/>
      <c r="M931" s="1336"/>
      <c r="N931" s="1338"/>
      <c r="O931" s="1335"/>
      <c r="P931" s="1316"/>
      <c r="R931" s="1352"/>
      <c r="S931" s="1352"/>
      <c r="T931" s="1352">
        <f>+Tabla16[[#This Row],[CDPS A 31 JULIO 2022]]-Tabla16[[#This Row],[CDP]]</f>
        <v>0</v>
      </c>
      <c r="U931" s="1352"/>
      <c r="V931" s="1352"/>
      <c r="W931" s="1352"/>
    </row>
    <row r="932" spans="1:23" s="1317" customFormat="1" x14ac:dyDescent="0.2">
      <c r="A932" s="1322"/>
      <c r="B932" s="1339"/>
      <c r="C932" s="1345"/>
      <c r="D932" s="1334"/>
      <c r="E932" s="1335"/>
      <c r="F932" s="1335"/>
      <c r="G932" s="1327"/>
      <c r="H932" s="1327"/>
      <c r="I932" s="1323"/>
      <c r="J932" s="1323"/>
      <c r="K932" s="1324"/>
      <c r="L932" s="1325"/>
      <c r="M932" s="1336"/>
      <c r="N932" s="1338"/>
      <c r="O932" s="1335"/>
      <c r="P932" s="1316"/>
      <c r="R932" s="1352"/>
      <c r="S932" s="1352"/>
      <c r="T932" s="1352">
        <f>+Tabla16[[#This Row],[CDPS A 31 JULIO 2022]]-Tabla16[[#This Row],[CDP]]</f>
        <v>0</v>
      </c>
      <c r="U932" s="1352"/>
      <c r="V932" s="1352"/>
      <c r="W932" s="1352"/>
    </row>
    <row r="933" spans="1:23" s="1317" customFormat="1" x14ac:dyDescent="0.2">
      <c r="A933" s="1322"/>
      <c r="B933" s="1339"/>
      <c r="C933" s="1345"/>
      <c r="D933" s="1334"/>
      <c r="E933" s="1335"/>
      <c r="F933" s="1335"/>
      <c r="G933" s="1327"/>
      <c r="H933" s="1327"/>
      <c r="I933" s="1323"/>
      <c r="J933" s="1323"/>
      <c r="K933" s="1324"/>
      <c r="L933" s="1325"/>
      <c r="M933" s="1336"/>
      <c r="N933" s="1338"/>
      <c r="O933" s="1335"/>
      <c r="P933" s="1316"/>
      <c r="R933" s="1352"/>
      <c r="S933" s="1352"/>
      <c r="T933" s="1352">
        <f>+Tabla16[[#This Row],[CDPS A 31 JULIO 2022]]-Tabla16[[#This Row],[CDP]]</f>
        <v>0</v>
      </c>
      <c r="U933" s="1352"/>
      <c r="V933" s="1352"/>
      <c r="W933" s="1352"/>
    </row>
    <row r="934" spans="1:23" s="1317" customFormat="1" x14ac:dyDescent="0.2">
      <c r="A934" s="1322"/>
      <c r="B934" s="1339"/>
      <c r="C934" s="1345"/>
      <c r="D934" s="1334"/>
      <c r="E934" s="1335"/>
      <c r="F934" s="1335"/>
      <c r="G934" s="1327"/>
      <c r="H934" s="1327"/>
      <c r="I934" s="1323"/>
      <c r="J934" s="1323"/>
      <c r="K934" s="1324"/>
      <c r="L934" s="1325"/>
      <c r="M934" s="1336"/>
      <c r="N934" s="1338"/>
      <c r="O934" s="1335"/>
      <c r="P934" s="1316"/>
      <c r="R934" s="1352"/>
      <c r="S934" s="1352"/>
      <c r="T934" s="1352">
        <f>+Tabla16[[#This Row],[CDPS A 31 JULIO 2022]]-Tabla16[[#This Row],[CDP]]</f>
        <v>0</v>
      </c>
      <c r="U934" s="1352"/>
      <c r="V934" s="1352"/>
      <c r="W934" s="1352"/>
    </row>
    <row r="935" spans="1:23" s="1317" customFormat="1" x14ac:dyDescent="0.2">
      <c r="A935" s="1322"/>
      <c r="B935" s="1339"/>
      <c r="C935" s="1345"/>
      <c r="D935" s="1334"/>
      <c r="E935" s="1335"/>
      <c r="F935" s="1335"/>
      <c r="G935" s="1327"/>
      <c r="H935" s="1327"/>
      <c r="I935" s="1323"/>
      <c r="J935" s="1323"/>
      <c r="K935" s="1324"/>
      <c r="L935" s="1325"/>
      <c r="M935" s="1336"/>
      <c r="N935" s="1338"/>
      <c r="O935" s="1335"/>
      <c r="P935" s="1316"/>
      <c r="R935" s="1352"/>
      <c r="S935" s="1352"/>
      <c r="T935" s="1352">
        <f>+Tabla16[[#This Row],[CDPS A 31 JULIO 2022]]-Tabla16[[#This Row],[CDP]]</f>
        <v>0</v>
      </c>
      <c r="U935" s="1352"/>
      <c r="V935" s="1352"/>
      <c r="W935" s="1352"/>
    </row>
    <row r="936" spans="1:23" s="1317" customFormat="1" x14ac:dyDescent="0.2">
      <c r="A936" s="1322"/>
      <c r="B936" s="1339"/>
      <c r="C936" s="1345"/>
      <c r="D936" s="1334"/>
      <c r="E936" s="1335"/>
      <c r="F936" s="1335"/>
      <c r="G936" s="1327"/>
      <c r="H936" s="1327"/>
      <c r="I936" s="1323"/>
      <c r="J936" s="1323"/>
      <c r="K936" s="1324"/>
      <c r="L936" s="1325"/>
      <c r="M936" s="1336"/>
      <c r="N936" s="1338"/>
      <c r="O936" s="1335"/>
      <c r="P936" s="1316"/>
      <c r="R936" s="1352"/>
      <c r="S936" s="1352"/>
      <c r="T936" s="1352">
        <f>+Tabla16[[#This Row],[CDPS A 31 JULIO 2022]]-Tabla16[[#This Row],[CDP]]</f>
        <v>0</v>
      </c>
      <c r="U936" s="1352"/>
      <c r="V936" s="1352"/>
      <c r="W936" s="1352"/>
    </row>
    <row r="937" spans="1:23" s="1317" customFormat="1" x14ac:dyDescent="0.2">
      <c r="A937" s="1322"/>
      <c r="B937" s="1339"/>
      <c r="C937" s="1345"/>
      <c r="D937" s="1334"/>
      <c r="E937" s="1335"/>
      <c r="F937" s="1335"/>
      <c r="G937" s="1327"/>
      <c r="H937" s="1327"/>
      <c r="I937" s="1323"/>
      <c r="J937" s="1323"/>
      <c r="K937" s="1324"/>
      <c r="L937" s="1325"/>
      <c r="M937" s="1336"/>
      <c r="N937" s="1338"/>
      <c r="O937" s="1335"/>
      <c r="P937" s="1316"/>
      <c r="R937" s="1352"/>
      <c r="S937" s="1352"/>
      <c r="T937" s="1352">
        <f>+Tabla16[[#This Row],[CDPS A 31 JULIO 2022]]-Tabla16[[#This Row],[CDP]]</f>
        <v>0</v>
      </c>
      <c r="U937" s="1352"/>
      <c r="V937" s="1352"/>
      <c r="W937" s="1352"/>
    </row>
    <row r="938" spans="1:23" s="1317" customFormat="1" x14ac:dyDescent="0.2">
      <c r="A938" s="1322"/>
      <c r="B938" s="1339"/>
      <c r="C938" s="1345"/>
      <c r="D938" s="1334"/>
      <c r="E938" s="1335"/>
      <c r="F938" s="1335"/>
      <c r="G938" s="1327"/>
      <c r="H938" s="1327"/>
      <c r="I938" s="1323"/>
      <c r="J938" s="1323"/>
      <c r="K938" s="1324"/>
      <c r="L938" s="1325"/>
      <c r="M938" s="1336"/>
      <c r="N938" s="1338"/>
      <c r="O938" s="1335"/>
      <c r="P938" s="1316"/>
      <c r="R938" s="1352"/>
      <c r="S938" s="1352"/>
      <c r="T938" s="1352">
        <f>+Tabla16[[#This Row],[CDPS A 31 JULIO 2022]]-Tabla16[[#This Row],[CDP]]</f>
        <v>0</v>
      </c>
      <c r="U938" s="1352"/>
      <c r="V938" s="1352"/>
      <c r="W938" s="1352"/>
    </row>
    <row r="939" spans="1:23" s="1317" customFormat="1" x14ac:dyDescent="0.2">
      <c r="A939" s="1322"/>
      <c r="B939" s="1339"/>
      <c r="C939" s="1345"/>
      <c r="D939" s="1334"/>
      <c r="E939" s="1335"/>
      <c r="F939" s="1335"/>
      <c r="G939" s="1327"/>
      <c r="H939" s="1327"/>
      <c r="I939" s="1323"/>
      <c r="J939" s="1323"/>
      <c r="K939" s="1324"/>
      <c r="L939" s="1325"/>
      <c r="M939" s="1336"/>
      <c r="N939" s="1338"/>
      <c r="O939" s="1335"/>
      <c r="P939" s="1316"/>
      <c r="R939" s="1352"/>
      <c r="S939" s="1352"/>
      <c r="T939" s="1352">
        <f>+Tabla16[[#This Row],[CDPS A 31 JULIO 2022]]-Tabla16[[#This Row],[CDP]]</f>
        <v>0</v>
      </c>
      <c r="U939" s="1352"/>
      <c r="V939" s="1352"/>
      <c r="W939" s="1352"/>
    </row>
    <row r="940" spans="1:23" s="1317" customFormat="1" x14ac:dyDescent="0.2">
      <c r="A940" s="1322"/>
      <c r="B940" s="1339"/>
      <c r="C940" s="1345"/>
      <c r="D940" s="1334"/>
      <c r="E940" s="1335"/>
      <c r="F940" s="1335"/>
      <c r="G940" s="1327"/>
      <c r="H940" s="1327"/>
      <c r="I940" s="1323"/>
      <c r="J940" s="1323"/>
      <c r="K940" s="1324"/>
      <c r="L940" s="1325"/>
      <c r="M940" s="1336"/>
      <c r="N940" s="1338"/>
      <c r="O940" s="1335"/>
      <c r="P940" s="1316"/>
      <c r="R940" s="1352"/>
      <c r="S940" s="1352"/>
      <c r="T940" s="1352">
        <f>+Tabla16[[#This Row],[CDPS A 31 JULIO 2022]]-Tabla16[[#This Row],[CDP]]</f>
        <v>0</v>
      </c>
      <c r="U940" s="1352"/>
      <c r="V940" s="1352"/>
      <c r="W940" s="1352"/>
    </row>
    <row r="941" spans="1:23" s="1317" customFormat="1" x14ac:dyDescent="0.2">
      <c r="A941" s="1322"/>
      <c r="B941" s="1339"/>
      <c r="C941" s="1345"/>
      <c r="D941" s="1334"/>
      <c r="E941" s="1335"/>
      <c r="F941" s="1335"/>
      <c r="G941" s="1327"/>
      <c r="H941" s="1327"/>
      <c r="I941" s="1323"/>
      <c r="J941" s="1323"/>
      <c r="K941" s="1324"/>
      <c r="L941" s="1325"/>
      <c r="M941" s="1336"/>
      <c r="N941" s="1338"/>
      <c r="O941" s="1335"/>
      <c r="P941" s="1316"/>
      <c r="R941" s="1352"/>
      <c r="S941" s="1352"/>
      <c r="T941" s="1352">
        <f>+Tabla16[[#This Row],[CDPS A 31 JULIO 2022]]-Tabla16[[#This Row],[CDP]]</f>
        <v>0</v>
      </c>
      <c r="U941" s="1352"/>
      <c r="V941" s="1352"/>
      <c r="W941" s="1352"/>
    </row>
    <row r="942" spans="1:23" s="1317" customFormat="1" x14ac:dyDescent="0.2">
      <c r="A942" s="1322"/>
      <c r="B942" s="1339"/>
      <c r="C942" s="1345"/>
      <c r="D942" s="1334"/>
      <c r="E942" s="1335"/>
      <c r="F942" s="1335"/>
      <c r="G942" s="1327"/>
      <c r="H942" s="1327"/>
      <c r="I942" s="1323"/>
      <c r="J942" s="1323"/>
      <c r="K942" s="1324"/>
      <c r="L942" s="1325"/>
      <c r="M942" s="1336"/>
      <c r="N942" s="1338"/>
      <c r="O942" s="1335"/>
      <c r="P942" s="1316"/>
      <c r="R942" s="1352"/>
      <c r="S942" s="1352"/>
      <c r="T942" s="1352">
        <f>+Tabla16[[#This Row],[CDPS A 31 JULIO 2022]]-Tabla16[[#This Row],[CDP]]</f>
        <v>0</v>
      </c>
      <c r="U942" s="1352"/>
      <c r="V942" s="1352"/>
      <c r="W942" s="1352"/>
    </row>
    <row r="943" spans="1:23" s="1317" customFormat="1" x14ac:dyDescent="0.2">
      <c r="A943" s="1322"/>
      <c r="B943" s="1339"/>
      <c r="C943" s="1345"/>
      <c r="D943" s="1334"/>
      <c r="E943" s="1335"/>
      <c r="F943" s="1335"/>
      <c r="G943" s="1327"/>
      <c r="H943" s="1327"/>
      <c r="I943" s="1323"/>
      <c r="J943" s="1323"/>
      <c r="K943" s="1324"/>
      <c r="L943" s="1325"/>
      <c r="M943" s="1336"/>
      <c r="N943" s="1338"/>
      <c r="O943" s="1335"/>
      <c r="P943" s="1316"/>
      <c r="R943" s="1352"/>
      <c r="S943" s="1352"/>
      <c r="T943" s="1352">
        <f>+Tabla16[[#This Row],[CDPS A 31 JULIO 2022]]-Tabla16[[#This Row],[CDP]]</f>
        <v>0</v>
      </c>
      <c r="U943" s="1352"/>
      <c r="V943" s="1352"/>
      <c r="W943" s="1352"/>
    </row>
    <row r="944" spans="1:23" s="1317" customFormat="1" x14ac:dyDescent="0.2">
      <c r="A944" s="1322"/>
      <c r="B944" s="1339"/>
      <c r="C944" s="1345"/>
      <c r="D944" s="1334"/>
      <c r="E944" s="1335"/>
      <c r="F944" s="1335"/>
      <c r="G944" s="1327"/>
      <c r="H944" s="1327"/>
      <c r="I944" s="1323"/>
      <c r="J944" s="1323"/>
      <c r="K944" s="1324"/>
      <c r="L944" s="1325"/>
      <c r="M944" s="1336"/>
      <c r="N944" s="1338"/>
      <c r="O944" s="1335"/>
      <c r="P944" s="1316"/>
      <c r="R944" s="1352"/>
      <c r="S944" s="1352"/>
      <c r="T944" s="1352">
        <f>+Tabla16[[#This Row],[CDPS A 31 JULIO 2022]]-Tabla16[[#This Row],[CDP]]</f>
        <v>0</v>
      </c>
      <c r="U944" s="1352"/>
      <c r="V944" s="1352"/>
      <c r="W944" s="1352"/>
    </row>
    <row r="945" spans="1:23" s="1317" customFormat="1" x14ac:dyDescent="0.2">
      <c r="A945" s="1322"/>
      <c r="B945" s="1339"/>
      <c r="C945" s="1345"/>
      <c r="D945" s="1334"/>
      <c r="E945" s="1335"/>
      <c r="F945" s="1335"/>
      <c r="G945" s="1327"/>
      <c r="H945" s="1327"/>
      <c r="I945" s="1323"/>
      <c r="J945" s="1323"/>
      <c r="K945" s="1324"/>
      <c r="L945" s="1325"/>
      <c r="M945" s="1336"/>
      <c r="N945" s="1338"/>
      <c r="O945" s="1335"/>
      <c r="P945" s="1316"/>
      <c r="R945" s="1352"/>
      <c r="S945" s="1352"/>
      <c r="T945" s="1352">
        <f>+Tabla16[[#This Row],[CDPS A 31 JULIO 2022]]-Tabla16[[#This Row],[CDP]]</f>
        <v>0</v>
      </c>
      <c r="U945" s="1352"/>
      <c r="V945" s="1352"/>
      <c r="W945" s="1352"/>
    </row>
    <row r="946" spans="1:23" s="1317" customFormat="1" x14ac:dyDescent="0.2">
      <c r="A946" s="1322"/>
      <c r="B946" s="1339"/>
      <c r="C946" s="1345"/>
      <c r="D946" s="1334"/>
      <c r="E946" s="1335"/>
      <c r="F946" s="1335"/>
      <c r="G946" s="1327"/>
      <c r="H946" s="1327"/>
      <c r="I946" s="1323"/>
      <c r="J946" s="1323"/>
      <c r="K946" s="1324"/>
      <c r="L946" s="1325"/>
      <c r="M946" s="1336"/>
      <c r="N946" s="1338"/>
      <c r="O946" s="1335"/>
      <c r="P946" s="1316"/>
      <c r="R946" s="1352"/>
      <c r="S946" s="1352"/>
      <c r="T946" s="1352">
        <f>+Tabla16[[#This Row],[CDPS A 31 JULIO 2022]]-Tabla16[[#This Row],[CDP]]</f>
        <v>0</v>
      </c>
      <c r="U946" s="1352"/>
      <c r="V946" s="1352"/>
      <c r="W946" s="1352"/>
    </row>
    <row r="947" spans="1:23" s="1317" customFormat="1" x14ac:dyDescent="0.2">
      <c r="A947" s="1322"/>
      <c r="B947" s="1339"/>
      <c r="C947" s="1345"/>
      <c r="D947" s="1334"/>
      <c r="E947" s="1335"/>
      <c r="F947" s="1335"/>
      <c r="G947" s="1327"/>
      <c r="H947" s="1327"/>
      <c r="I947" s="1323"/>
      <c r="J947" s="1323"/>
      <c r="K947" s="1324"/>
      <c r="L947" s="1325"/>
      <c r="M947" s="1336"/>
      <c r="N947" s="1338"/>
      <c r="O947" s="1335"/>
      <c r="P947" s="1316"/>
      <c r="R947" s="1352"/>
      <c r="S947" s="1352"/>
      <c r="T947" s="1352">
        <f>+Tabla16[[#This Row],[CDPS A 31 JULIO 2022]]-Tabla16[[#This Row],[CDP]]</f>
        <v>0</v>
      </c>
      <c r="U947" s="1352"/>
      <c r="V947" s="1352"/>
      <c r="W947" s="1352"/>
    </row>
    <row r="948" spans="1:23" s="1317" customFormat="1" x14ac:dyDescent="0.2">
      <c r="A948" s="1322"/>
      <c r="B948" s="1339"/>
      <c r="C948" s="1345"/>
      <c r="D948" s="1334"/>
      <c r="E948" s="1335"/>
      <c r="F948" s="1335"/>
      <c r="G948" s="1327"/>
      <c r="H948" s="1327"/>
      <c r="I948" s="1323"/>
      <c r="J948" s="1323"/>
      <c r="K948" s="1324"/>
      <c r="L948" s="1325"/>
      <c r="M948" s="1336"/>
      <c r="N948" s="1338"/>
      <c r="O948" s="1335"/>
      <c r="P948" s="1316"/>
      <c r="R948" s="1352"/>
      <c r="S948" s="1352"/>
      <c r="T948" s="1352">
        <f>+Tabla16[[#This Row],[CDPS A 31 JULIO 2022]]-Tabla16[[#This Row],[CDP]]</f>
        <v>0</v>
      </c>
      <c r="U948" s="1352"/>
      <c r="V948" s="1352"/>
      <c r="W948" s="1352"/>
    </row>
    <row r="949" spans="1:23" s="1317" customFormat="1" x14ac:dyDescent="0.2">
      <c r="A949" s="1322"/>
      <c r="B949" s="1339"/>
      <c r="C949" s="1345"/>
      <c r="D949" s="1334"/>
      <c r="E949" s="1335"/>
      <c r="F949" s="1335"/>
      <c r="G949" s="1327"/>
      <c r="H949" s="1327"/>
      <c r="I949" s="1323"/>
      <c r="J949" s="1323"/>
      <c r="K949" s="1324"/>
      <c r="L949" s="1325"/>
      <c r="M949" s="1336"/>
      <c r="N949" s="1338"/>
      <c r="O949" s="1335"/>
      <c r="P949" s="1316"/>
      <c r="R949" s="1352"/>
      <c r="S949" s="1352"/>
      <c r="T949" s="1352">
        <f>+Tabla16[[#This Row],[CDPS A 31 JULIO 2022]]-Tabla16[[#This Row],[CDP]]</f>
        <v>0</v>
      </c>
      <c r="U949" s="1352"/>
      <c r="V949" s="1352"/>
      <c r="W949" s="1352"/>
    </row>
    <row r="950" spans="1:23" s="1317" customFormat="1" x14ac:dyDescent="0.2">
      <c r="A950" s="1322"/>
      <c r="B950" s="1339"/>
      <c r="C950" s="1345"/>
      <c r="D950" s="1334"/>
      <c r="E950" s="1335"/>
      <c r="F950" s="1335"/>
      <c r="G950" s="1327"/>
      <c r="H950" s="1327"/>
      <c r="I950" s="1323"/>
      <c r="J950" s="1323"/>
      <c r="K950" s="1324"/>
      <c r="L950" s="1325"/>
      <c r="M950" s="1336"/>
      <c r="N950" s="1338"/>
      <c r="O950" s="1335"/>
      <c r="P950" s="1316"/>
      <c r="R950" s="1352"/>
      <c r="S950" s="1352"/>
      <c r="T950" s="1352">
        <f>+Tabla16[[#This Row],[CDPS A 31 JULIO 2022]]-Tabla16[[#This Row],[CDP]]</f>
        <v>0</v>
      </c>
      <c r="U950" s="1352"/>
      <c r="V950" s="1352"/>
      <c r="W950" s="1352"/>
    </row>
    <row r="951" spans="1:23" s="1317" customFormat="1" x14ac:dyDescent="0.2">
      <c r="A951" s="1322"/>
      <c r="B951" s="1339"/>
      <c r="C951" s="1345"/>
      <c r="D951" s="1334"/>
      <c r="E951" s="1335"/>
      <c r="F951" s="1335"/>
      <c r="G951" s="1327"/>
      <c r="H951" s="1327"/>
      <c r="I951" s="1323"/>
      <c r="J951" s="1323"/>
      <c r="K951" s="1324"/>
      <c r="L951" s="1325"/>
      <c r="M951" s="1336"/>
      <c r="N951" s="1338"/>
      <c r="O951" s="1335"/>
      <c r="P951" s="1316"/>
      <c r="R951" s="1352"/>
      <c r="S951" s="1352"/>
      <c r="T951" s="1352">
        <f>+Tabla16[[#This Row],[CDPS A 31 JULIO 2022]]-Tabla16[[#This Row],[CDP]]</f>
        <v>0</v>
      </c>
      <c r="U951" s="1352"/>
      <c r="V951" s="1352"/>
      <c r="W951" s="1352"/>
    </row>
    <row r="952" spans="1:23" s="1317" customFormat="1" x14ac:dyDescent="0.2">
      <c r="A952" s="1322"/>
      <c r="B952" s="1339"/>
      <c r="C952" s="1345"/>
      <c r="D952" s="1334"/>
      <c r="E952" s="1335"/>
      <c r="F952" s="1335"/>
      <c r="G952" s="1327"/>
      <c r="H952" s="1327"/>
      <c r="I952" s="1323"/>
      <c r="J952" s="1323"/>
      <c r="K952" s="1324"/>
      <c r="L952" s="1325"/>
      <c r="M952" s="1336"/>
      <c r="N952" s="1338"/>
      <c r="O952" s="1335"/>
      <c r="P952" s="1316"/>
      <c r="R952" s="1352"/>
      <c r="S952" s="1352"/>
      <c r="T952" s="1352">
        <f>+Tabla16[[#This Row],[CDPS A 31 JULIO 2022]]-Tabla16[[#This Row],[CDP]]</f>
        <v>0</v>
      </c>
      <c r="U952" s="1352"/>
      <c r="V952" s="1352"/>
      <c r="W952" s="1352"/>
    </row>
    <row r="953" spans="1:23" s="1317" customFormat="1" x14ac:dyDescent="0.2">
      <c r="A953" s="1322"/>
      <c r="B953" s="1339"/>
      <c r="C953" s="1345"/>
      <c r="D953" s="1334"/>
      <c r="E953" s="1335"/>
      <c r="F953" s="1335"/>
      <c r="G953" s="1327"/>
      <c r="H953" s="1327"/>
      <c r="I953" s="1323"/>
      <c r="J953" s="1323"/>
      <c r="K953" s="1324"/>
      <c r="L953" s="1325"/>
      <c r="M953" s="1336"/>
      <c r="N953" s="1338"/>
      <c r="O953" s="1335"/>
      <c r="P953" s="1316"/>
      <c r="R953" s="1352"/>
      <c r="S953" s="1352"/>
      <c r="T953" s="1352">
        <f>+Tabla16[[#This Row],[CDPS A 31 JULIO 2022]]-Tabla16[[#This Row],[CDP]]</f>
        <v>0</v>
      </c>
      <c r="U953" s="1352"/>
      <c r="V953" s="1352"/>
      <c r="W953" s="1352"/>
    </row>
    <row r="954" spans="1:23" s="1317" customFormat="1" x14ac:dyDescent="0.2">
      <c r="A954" s="1322"/>
      <c r="B954" s="1339"/>
      <c r="C954" s="1345"/>
      <c r="D954" s="1334"/>
      <c r="E954" s="1335"/>
      <c r="F954" s="1335"/>
      <c r="G954" s="1327"/>
      <c r="H954" s="1327"/>
      <c r="I954" s="1323"/>
      <c r="J954" s="1323"/>
      <c r="K954" s="1324"/>
      <c r="L954" s="1325"/>
      <c r="M954" s="1336"/>
      <c r="N954" s="1338"/>
      <c r="O954" s="1335"/>
      <c r="P954" s="1316"/>
      <c r="R954" s="1352"/>
      <c r="S954" s="1352"/>
      <c r="T954" s="1352">
        <f>+Tabla16[[#This Row],[CDPS A 31 JULIO 2022]]-Tabla16[[#This Row],[CDP]]</f>
        <v>0</v>
      </c>
      <c r="U954" s="1352"/>
      <c r="V954" s="1352"/>
      <c r="W954" s="1352"/>
    </row>
    <row r="955" spans="1:23" s="1317" customFormat="1" x14ac:dyDescent="0.2">
      <c r="A955" s="1322"/>
      <c r="B955" s="1339"/>
      <c r="C955" s="1345"/>
      <c r="D955" s="1334"/>
      <c r="E955" s="1335"/>
      <c r="F955" s="1335"/>
      <c r="G955" s="1327"/>
      <c r="H955" s="1327"/>
      <c r="I955" s="1323"/>
      <c r="J955" s="1323"/>
      <c r="K955" s="1324"/>
      <c r="L955" s="1325"/>
      <c r="M955" s="1336"/>
      <c r="N955" s="1338"/>
      <c r="O955" s="1335"/>
      <c r="P955" s="1316"/>
      <c r="R955" s="1352"/>
      <c r="S955" s="1352"/>
      <c r="T955" s="1352">
        <f>+Tabla16[[#This Row],[CDPS A 31 JULIO 2022]]-Tabla16[[#This Row],[CDP]]</f>
        <v>0</v>
      </c>
      <c r="U955" s="1352"/>
      <c r="V955" s="1352"/>
      <c r="W955" s="1352"/>
    </row>
    <row r="956" spans="1:23" s="1317" customFormat="1" x14ac:dyDescent="0.2">
      <c r="A956" s="1322"/>
      <c r="B956" s="1339"/>
      <c r="C956" s="1345"/>
      <c r="D956" s="1334"/>
      <c r="E956" s="1335"/>
      <c r="F956" s="1335"/>
      <c r="G956" s="1327"/>
      <c r="H956" s="1327"/>
      <c r="I956" s="1323"/>
      <c r="J956" s="1323"/>
      <c r="K956" s="1324"/>
      <c r="L956" s="1325"/>
      <c r="M956" s="1336"/>
      <c r="N956" s="1338"/>
      <c r="O956" s="1335"/>
      <c r="P956" s="1316"/>
      <c r="R956" s="1352"/>
      <c r="S956" s="1352"/>
      <c r="T956" s="1352">
        <f>+Tabla16[[#This Row],[CDPS A 31 JULIO 2022]]-Tabla16[[#This Row],[CDP]]</f>
        <v>0</v>
      </c>
      <c r="U956" s="1352"/>
      <c r="V956" s="1352"/>
      <c r="W956" s="1352"/>
    </row>
    <row r="957" spans="1:23" s="1317" customFormat="1" x14ac:dyDescent="0.2">
      <c r="A957" s="1322"/>
      <c r="B957" s="1339"/>
      <c r="C957" s="1345"/>
      <c r="D957" s="1334"/>
      <c r="E957" s="1335"/>
      <c r="F957" s="1335"/>
      <c r="G957" s="1327"/>
      <c r="H957" s="1327"/>
      <c r="I957" s="1323"/>
      <c r="J957" s="1323"/>
      <c r="K957" s="1324"/>
      <c r="L957" s="1325"/>
      <c r="M957" s="1336"/>
      <c r="N957" s="1338"/>
      <c r="O957" s="1335"/>
      <c r="P957" s="1316"/>
      <c r="R957" s="1352"/>
      <c r="S957" s="1352"/>
      <c r="T957" s="1352">
        <f>+Tabla16[[#This Row],[CDPS A 31 JULIO 2022]]-Tabla16[[#This Row],[CDP]]</f>
        <v>0</v>
      </c>
      <c r="U957" s="1352"/>
      <c r="V957" s="1352"/>
      <c r="W957" s="1352"/>
    </row>
    <row r="958" spans="1:23" s="1317" customFormat="1" x14ac:dyDescent="0.2">
      <c r="A958" s="1322"/>
      <c r="B958" s="1339"/>
      <c r="C958" s="1345"/>
      <c r="D958" s="1334"/>
      <c r="E958" s="1335"/>
      <c r="F958" s="1335"/>
      <c r="G958" s="1327"/>
      <c r="H958" s="1327"/>
      <c r="I958" s="1323"/>
      <c r="J958" s="1323"/>
      <c r="K958" s="1324"/>
      <c r="L958" s="1325"/>
      <c r="M958" s="1336"/>
      <c r="N958" s="1338"/>
      <c r="O958" s="1335"/>
      <c r="P958" s="1316"/>
      <c r="R958" s="1352"/>
      <c r="S958" s="1352"/>
      <c r="T958" s="1352">
        <f>+Tabla16[[#This Row],[CDPS A 31 JULIO 2022]]-Tabla16[[#This Row],[CDP]]</f>
        <v>0</v>
      </c>
      <c r="U958" s="1352"/>
      <c r="V958" s="1352"/>
      <c r="W958" s="1352"/>
    </row>
    <row r="959" spans="1:23" s="1317" customFormat="1" x14ac:dyDescent="0.2">
      <c r="A959" s="1322"/>
      <c r="B959" s="1339"/>
      <c r="C959" s="1345"/>
      <c r="D959" s="1334"/>
      <c r="E959" s="1335"/>
      <c r="F959" s="1335"/>
      <c r="G959" s="1327"/>
      <c r="H959" s="1327"/>
      <c r="I959" s="1323"/>
      <c r="J959" s="1323"/>
      <c r="K959" s="1324"/>
      <c r="L959" s="1325"/>
      <c r="M959" s="1336"/>
      <c r="N959" s="1338"/>
      <c r="O959" s="1335"/>
      <c r="P959" s="1316"/>
      <c r="R959" s="1352"/>
      <c r="S959" s="1352"/>
      <c r="T959" s="1352">
        <f>+Tabla16[[#This Row],[CDPS A 31 JULIO 2022]]-Tabla16[[#This Row],[CDP]]</f>
        <v>0</v>
      </c>
      <c r="U959" s="1352"/>
      <c r="V959" s="1352"/>
      <c r="W959" s="1352"/>
    </row>
    <row r="960" spans="1:23" s="1317" customFormat="1" x14ac:dyDescent="0.2">
      <c r="A960" s="1322"/>
      <c r="B960" s="1339"/>
      <c r="C960" s="1345"/>
      <c r="D960" s="1334"/>
      <c r="E960" s="1335"/>
      <c r="F960" s="1335"/>
      <c r="G960" s="1327"/>
      <c r="H960" s="1327"/>
      <c r="I960" s="1323"/>
      <c r="J960" s="1323"/>
      <c r="K960" s="1324"/>
      <c r="L960" s="1325"/>
      <c r="M960" s="1336"/>
      <c r="N960" s="1338"/>
      <c r="O960" s="1335"/>
      <c r="P960" s="1316"/>
      <c r="R960" s="1352"/>
      <c r="S960" s="1352"/>
      <c r="T960" s="1352">
        <f>+Tabla16[[#This Row],[CDPS A 31 JULIO 2022]]-Tabla16[[#This Row],[CDP]]</f>
        <v>0</v>
      </c>
      <c r="U960" s="1352"/>
      <c r="V960" s="1352"/>
      <c r="W960" s="1352"/>
    </row>
    <row r="961" spans="1:23" s="1317" customFormat="1" x14ac:dyDescent="0.2">
      <c r="A961" s="1322"/>
      <c r="B961" s="1339"/>
      <c r="C961" s="1345"/>
      <c r="D961" s="1334"/>
      <c r="E961" s="1335"/>
      <c r="F961" s="1335"/>
      <c r="G961" s="1327"/>
      <c r="H961" s="1327"/>
      <c r="I961" s="1323"/>
      <c r="J961" s="1323"/>
      <c r="K961" s="1324"/>
      <c r="L961" s="1325"/>
      <c r="M961" s="1336"/>
      <c r="N961" s="1338"/>
      <c r="O961" s="1335"/>
      <c r="P961" s="1316"/>
      <c r="R961" s="1352"/>
      <c r="S961" s="1352"/>
      <c r="T961" s="1352">
        <f>+Tabla16[[#This Row],[CDPS A 31 JULIO 2022]]-Tabla16[[#This Row],[CDP]]</f>
        <v>0</v>
      </c>
      <c r="U961" s="1352"/>
      <c r="V961" s="1352"/>
      <c r="W961" s="1352"/>
    </row>
    <row r="962" spans="1:23" s="1317" customFormat="1" x14ac:dyDescent="0.2">
      <c r="A962" s="1322"/>
      <c r="B962" s="1339"/>
      <c r="C962" s="1345"/>
      <c r="D962" s="1334"/>
      <c r="E962" s="1335"/>
      <c r="F962" s="1335"/>
      <c r="G962" s="1327"/>
      <c r="H962" s="1327"/>
      <c r="I962" s="1323"/>
      <c r="J962" s="1323"/>
      <c r="K962" s="1324"/>
      <c r="L962" s="1325"/>
      <c r="M962" s="1336"/>
      <c r="N962" s="1338"/>
      <c r="O962" s="1335"/>
      <c r="P962" s="1316"/>
      <c r="R962" s="1352"/>
      <c r="S962" s="1352"/>
      <c r="T962" s="1352">
        <f>+Tabla16[[#This Row],[CDPS A 31 JULIO 2022]]-Tabla16[[#This Row],[CDP]]</f>
        <v>0</v>
      </c>
      <c r="U962" s="1352"/>
      <c r="V962" s="1352"/>
      <c r="W962" s="1352"/>
    </row>
    <row r="963" spans="1:23" s="1317" customFormat="1" x14ac:dyDescent="0.2">
      <c r="A963" s="1322"/>
      <c r="B963" s="1339"/>
      <c r="C963" s="1345"/>
      <c r="D963" s="1334"/>
      <c r="E963" s="1335"/>
      <c r="F963" s="1335"/>
      <c r="G963" s="1327"/>
      <c r="H963" s="1327"/>
      <c r="I963" s="1323"/>
      <c r="J963" s="1323"/>
      <c r="K963" s="1324"/>
      <c r="L963" s="1325"/>
      <c r="M963" s="1336"/>
      <c r="N963" s="1338"/>
      <c r="O963" s="1335"/>
      <c r="P963" s="1316"/>
      <c r="R963" s="1352"/>
      <c r="S963" s="1352"/>
      <c r="T963" s="1352">
        <f>+Tabla16[[#This Row],[CDPS A 31 JULIO 2022]]-Tabla16[[#This Row],[CDP]]</f>
        <v>0</v>
      </c>
      <c r="U963" s="1352"/>
      <c r="V963" s="1352"/>
      <c r="W963" s="1352"/>
    </row>
    <row r="964" spans="1:23" s="1317" customFormat="1" x14ac:dyDescent="0.2">
      <c r="A964" s="1322"/>
      <c r="B964" s="1339"/>
      <c r="C964" s="1345"/>
      <c r="D964" s="1334"/>
      <c r="E964" s="1335"/>
      <c r="F964" s="1335"/>
      <c r="G964" s="1327"/>
      <c r="H964" s="1327"/>
      <c r="I964" s="1323"/>
      <c r="J964" s="1323"/>
      <c r="K964" s="1324"/>
      <c r="L964" s="1325"/>
      <c r="M964" s="1336"/>
      <c r="N964" s="1338"/>
      <c r="O964" s="1335"/>
      <c r="P964" s="1316"/>
      <c r="R964" s="1352"/>
      <c r="S964" s="1352"/>
      <c r="T964" s="1352">
        <f>+Tabla16[[#This Row],[CDPS A 31 JULIO 2022]]-Tabla16[[#This Row],[CDP]]</f>
        <v>0</v>
      </c>
      <c r="U964" s="1352"/>
      <c r="V964" s="1352"/>
      <c r="W964" s="1352"/>
    </row>
    <row r="965" spans="1:23" s="1317" customFormat="1" x14ac:dyDescent="0.2">
      <c r="A965" s="1322"/>
      <c r="B965" s="1339"/>
      <c r="C965" s="1345"/>
      <c r="D965" s="1334"/>
      <c r="E965" s="1335"/>
      <c r="F965" s="1335"/>
      <c r="G965" s="1327"/>
      <c r="H965" s="1327"/>
      <c r="I965" s="1323"/>
      <c r="J965" s="1323"/>
      <c r="K965" s="1324"/>
      <c r="L965" s="1325"/>
      <c r="M965" s="1336"/>
      <c r="N965" s="1338"/>
      <c r="O965" s="1335"/>
      <c r="P965" s="1316"/>
      <c r="R965" s="1352"/>
      <c r="S965" s="1352"/>
      <c r="T965" s="1352">
        <f>+Tabla16[[#This Row],[CDPS A 31 JULIO 2022]]-Tabla16[[#This Row],[CDP]]</f>
        <v>0</v>
      </c>
      <c r="U965" s="1352"/>
      <c r="V965" s="1352"/>
      <c r="W965" s="1352"/>
    </row>
    <row r="966" spans="1:23" s="1317" customFormat="1" x14ac:dyDescent="0.2">
      <c r="A966" s="1322"/>
      <c r="B966" s="1339"/>
      <c r="C966" s="1345"/>
      <c r="D966" s="1334"/>
      <c r="E966" s="1335"/>
      <c r="F966" s="1335"/>
      <c r="G966" s="1327"/>
      <c r="H966" s="1327"/>
      <c r="I966" s="1323"/>
      <c r="J966" s="1323"/>
      <c r="K966" s="1324"/>
      <c r="L966" s="1325"/>
      <c r="M966" s="1336"/>
      <c r="N966" s="1338"/>
      <c r="O966" s="1335"/>
      <c r="P966" s="1316"/>
      <c r="R966" s="1352"/>
      <c r="S966" s="1352"/>
      <c r="T966" s="1352">
        <f>+Tabla16[[#This Row],[CDPS A 31 JULIO 2022]]-Tabla16[[#This Row],[CDP]]</f>
        <v>0</v>
      </c>
      <c r="U966" s="1352"/>
      <c r="V966" s="1352"/>
      <c r="W966" s="1352"/>
    </row>
    <row r="967" spans="1:23" s="1317" customFormat="1" x14ac:dyDescent="0.2">
      <c r="A967" s="1322"/>
      <c r="B967" s="1339"/>
      <c r="C967" s="1345"/>
      <c r="D967" s="1334"/>
      <c r="E967" s="1335"/>
      <c r="F967" s="1335"/>
      <c r="G967" s="1327"/>
      <c r="H967" s="1327"/>
      <c r="I967" s="1323"/>
      <c r="J967" s="1323"/>
      <c r="K967" s="1324"/>
      <c r="L967" s="1325"/>
      <c r="M967" s="1336"/>
      <c r="N967" s="1338"/>
      <c r="O967" s="1335"/>
      <c r="P967" s="1316"/>
      <c r="R967" s="1352"/>
      <c r="S967" s="1352"/>
      <c r="T967" s="1352">
        <f>+Tabla16[[#This Row],[CDPS A 31 JULIO 2022]]-Tabla16[[#This Row],[CDP]]</f>
        <v>0</v>
      </c>
      <c r="U967" s="1352"/>
      <c r="V967" s="1352"/>
      <c r="W967" s="1352"/>
    </row>
    <row r="968" spans="1:23" s="1317" customFormat="1" x14ac:dyDescent="0.2">
      <c r="A968" s="1322"/>
      <c r="B968" s="1339"/>
      <c r="C968" s="1345"/>
      <c r="D968" s="1334"/>
      <c r="E968" s="1335"/>
      <c r="F968" s="1335"/>
      <c r="G968" s="1327"/>
      <c r="H968" s="1327"/>
      <c r="I968" s="1323"/>
      <c r="J968" s="1323"/>
      <c r="K968" s="1324"/>
      <c r="L968" s="1325"/>
      <c r="M968" s="1336"/>
      <c r="N968" s="1338"/>
      <c r="O968" s="1335"/>
      <c r="P968" s="1316"/>
      <c r="R968" s="1352"/>
      <c r="S968" s="1352"/>
      <c r="T968" s="1352">
        <f>+Tabla16[[#This Row],[CDPS A 31 JULIO 2022]]-Tabla16[[#This Row],[CDP]]</f>
        <v>0</v>
      </c>
      <c r="U968" s="1352"/>
      <c r="V968" s="1352"/>
      <c r="W968" s="1352"/>
    </row>
    <row r="969" spans="1:23" s="1317" customFormat="1" x14ac:dyDescent="0.2">
      <c r="A969" s="1322"/>
      <c r="B969" s="1339"/>
      <c r="C969" s="1345"/>
      <c r="D969" s="1334"/>
      <c r="E969" s="1335"/>
      <c r="F969" s="1335"/>
      <c r="G969" s="1327"/>
      <c r="H969" s="1327"/>
      <c r="I969" s="1323"/>
      <c r="J969" s="1323"/>
      <c r="K969" s="1324"/>
      <c r="L969" s="1325"/>
      <c r="M969" s="1336"/>
      <c r="N969" s="1338"/>
      <c r="O969" s="1335"/>
      <c r="P969" s="1316"/>
      <c r="R969" s="1352"/>
      <c r="S969" s="1352"/>
      <c r="T969" s="1352">
        <f>+Tabla16[[#This Row],[CDPS A 31 JULIO 2022]]-Tabla16[[#This Row],[CDP]]</f>
        <v>0</v>
      </c>
      <c r="U969" s="1352"/>
      <c r="V969" s="1352"/>
      <c r="W969" s="1352"/>
    </row>
    <row r="970" spans="1:23" s="1317" customFormat="1" x14ac:dyDescent="0.2">
      <c r="A970" s="1322"/>
      <c r="B970" s="1339"/>
      <c r="C970" s="1345"/>
      <c r="D970" s="1334"/>
      <c r="E970" s="1335"/>
      <c r="F970" s="1335"/>
      <c r="G970" s="1327"/>
      <c r="H970" s="1327"/>
      <c r="I970" s="1323"/>
      <c r="J970" s="1323"/>
      <c r="K970" s="1324"/>
      <c r="L970" s="1325"/>
      <c r="M970" s="1336"/>
      <c r="N970" s="1338"/>
      <c r="O970" s="1335"/>
      <c r="P970" s="1316"/>
      <c r="R970" s="1352"/>
      <c r="S970" s="1352"/>
      <c r="T970" s="1352">
        <f>+Tabla16[[#This Row],[CDPS A 31 JULIO 2022]]-Tabla16[[#This Row],[CDP]]</f>
        <v>0</v>
      </c>
      <c r="U970" s="1352"/>
      <c r="V970" s="1352"/>
      <c r="W970" s="1352"/>
    </row>
    <row r="971" spans="1:23" s="1317" customFormat="1" x14ac:dyDescent="0.2">
      <c r="A971" s="1322"/>
      <c r="B971" s="1339"/>
      <c r="C971" s="1345"/>
      <c r="D971" s="1334"/>
      <c r="E971" s="1335"/>
      <c r="F971" s="1335"/>
      <c r="G971" s="1327"/>
      <c r="H971" s="1327"/>
      <c r="I971" s="1323"/>
      <c r="J971" s="1323"/>
      <c r="K971" s="1324"/>
      <c r="L971" s="1325"/>
      <c r="M971" s="1336"/>
      <c r="N971" s="1338"/>
      <c r="O971" s="1335"/>
      <c r="P971" s="1316"/>
      <c r="R971" s="1352"/>
      <c r="S971" s="1352"/>
      <c r="T971" s="1352">
        <f>+Tabla16[[#This Row],[CDPS A 31 JULIO 2022]]-Tabla16[[#This Row],[CDP]]</f>
        <v>0</v>
      </c>
      <c r="U971" s="1352"/>
      <c r="V971" s="1352"/>
      <c r="W971" s="1352"/>
    </row>
    <row r="972" spans="1:23" s="1317" customFormat="1" x14ac:dyDescent="0.2">
      <c r="A972" s="1322"/>
      <c r="B972" s="1339"/>
      <c r="C972" s="1345"/>
      <c r="D972" s="1334"/>
      <c r="E972" s="1335"/>
      <c r="F972" s="1335"/>
      <c r="G972" s="1327"/>
      <c r="H972" s="1327"/>
      <c r="I972" s="1323"/>
      <c r="J972" s="1323"/>
      <c r="K972" s="1324"/>
      <c r="L972" s="1325"/>
      <c r="M972" s="1336"/>
      <c r="N972" s="1338"/>
      <c r="O972" s="1335"/>
      <c r="P972" s="1316"/>
      <c r="R972" s="1352"/>
      <c r="S972" s="1352"/>
      <c r="T972" s="1352">
        <f>+Tabla16[[#This Row],[CDPS A 31 JULIO 2022]]-Tabla16[[#This Row],[CDP]]</f>
        <v>0</v>
      </c>
      <c r="U972" s="1352"/>
      <c r="V972" s="1352"/>
      <c r="W972" s="1352"/>
    </row>
    <row r="973" spans="1:23" s="1317" customFormat="1" x14ac:dyDescent="0.2">
      <c r="A973" s="1322"/>
      <c r="B973" s="1339"/>
      <c r="C973" s="1345"/>
      <c r="D973" s="1334"/>
      <c r="E973" s="1335"/>
      <c r="F973" s="1335"/>
      <c r="G973" s="1327"/>
      <c r="H973" s="1327"/>
      <c r="I973" s="1323"/>
      <c r="J973" s="1323"/>
      <c r="K973" s="1324"/>
      <c r="L973" s="1325"/>
      <c r="M973" s="1336"/>
      <c r="N973" s="1338"/>
      <c r="O973" s="1335"/>
      <c r="P973" s="1316"/>
      <c r="R973" s="1352"/>
      <c r="S973" s="1352"/>
      <c r="T973" s="1352">
        <f>+Tabla16[[#This Row],[CDPS A 31 JULIO 2022]]-Tabla16[[#This Row],[CDP]]</f>
        <v>0</v>
      </c>
      <c r="U973" s="1352"/>
      <c r="V973" s="1352"/>
      <c r="W973" s="1352"/>
    </row>
    <row r="974" spans="1:23" s="1317" customFormat="1" x14ac:dyDescent="0.2">
      <c r="A974" s="1322"/>
      <c r="B974" s="1339"/>
      <c r="C974" s="1345"/>
      <c r="D974" s="1334"/>
      <c r="E974" s="1335"/>
      <c r="F974" s="1335"/>
      <c r="G974" s="1327"/>
      <c r="H974" s="1327"/>
      <c r="I974" s="1323"/>
      <c r="J974" s="1323"/>
      <c r="K974" s="1324"/>
      <c r="L974" s="1325"/>
      <c r="M974" s="1336"/>
      <c r="N974" s="1338"/>
      <c r="O974" s="1335"/>
      <c r="P974" s="1316"/>
      <c r="R974" s="1352"/>
      <c r="S974" s="1352"/>
      <c r="T974" s="1352">
        <f>+Tabla16[[#This Row],[CDPS A 31 JULIO 2022]]-Tabla16[[#This Row],[CDP]]</f>
        <v>0</v>
      </c>
      <c r="U974" s="1352"/>
      <c r="V974" s="1352"/>
      <c r="W974" s="1352"/>
    </row>
    <row r="975" spans="1:23" s="1317" customFormat="1" x14ac:dyDescent="0.2">
      <c r="A975" s="1322"/>
      <c r="B975" s="1339"/>
      <c r="C975" s="1345"/>
      <c r="D975" s="1334"/>
      <c r="E975" s="1335"/>
      <c r="F975" s="1335"/>
      <c r="G975" s="1327"/>
      <c r="H975" s="1327"/>
      <c r="I975" s="1323"/>
      <c r="J975" s="1323"/>
      <c r="K975" s="1324"/>
      <c r="L975" s="1325"/>
      <c r="M975" s="1336"/>
      <c r="N975" s="1338"/>
      <c r="O975" s="1335"/>
      <c r="P975" s="1316"/>
      <c r="R975" s="1352"/>
      <c r="S975" s="1352"/>
      <c r="T975" s="1352">
        <f>+Tabla16[[#This Row],[CDPS A 31 JULIO 2022]]-Tabla16[[#This Row],[CDP]]</f>
        <v>0</v>
      </c>
      <c r="U975" s="1352"/>
      <c r="V975" s="1352"/>
      <c r="W975" s="1352"/>
    </row>
    <row r="976" spans="1:23" s="1317" customFormat="1" x14ac:dyDescent="0.2">
      <c r="A976" s="1322"/>
      <c r="B976" s="1339"/>
      <c r="C976" s="1345"/>
      <c r="D976" s="1334"/>
      <c r="E976" s="1335"/>
      <c r="F976" s="1335"/>
      <c r="G976" s="1327"/>
      <c r="H976" s="1327"/>
      <c r="I976" s="1323"/>
      <c r="J976" s="1323"/>
      <c r="K976" s="1324"/>
      <c r="L976" s="1325"/>
      <c r="M976" s="1336"/>
      <c r="N976" s="1338"/>
      <c r="O976" s="1335"/>
      <c r="P976" s="1316"/>
      <c r="R976" s="1352"/>
      <c r="S976" s="1352"/>
      <c r="T976" s="1352">
        <f>+Tabla16[[#This Row],[CDPS A 31 JULIO 2022]]-Tabla16[[#This Row],[CDP]]</f>
        <v>0</v>
      </c>
      <c r="U976" s="1352"/>
      <c r="V976" s="1352"/>
      <c r="W976" s="1352"/>
    </row>
    <row r="977" spans="1:23" s="1317" customFormat="1" x14ac:dyDescent="0.2">
      <c r="A977" s="1322"/>
      <c r="B977" s="1339"/>
      <c r="C977" s="1345"/>
      <c r="D977" s="1334"/>
      <c r="E977" s="1335"/>
      <c r="F977" s="1335"/>
      <c r="G977" s="1327"/>
      <c r="H977" s="1327"/>
      <c r="I977" s="1323"/>
      <c r="J977" s="1323"/>
      <c r="K977" s="1324"/>
      <c r="L977" s="1325"/>
      <c r="M977" s="1336"/>
      <c r="N977" s="1338"/>
      <c r="O977" s="1335"/>
      <c r="P977" s="1316"/>
      <c r="R977" s="1352"/>
      <c r="S977" s="1352"/>
      <c r="T977" s="1352">
        <f>+Tabla16[[#This Row],[CDPS A 31 JULIO 2022]]-Tabla16[[#This Row],[CDP]]</f>
        <v>0</v>
      </c>
      <c r="U977" s="1352"/>
      <c r="V977" s="1352"/>
      <c r="W977" s="1352"/>
    </row>
    <row r="978" spans="1:23" s="1317" customFormat="1" x14ac:dyDescent="0.2">
      <c r="A978" s="1322"/>
      <c r="B978" s="1339"/>
      <c r="C978" s="1345"/>
      <c r="D978" s="1334"/>
      <c r="E978" s="1335"/>
      <c r="F978" s="1335"/>
      <c r="G978" s="1327"/>
      <c r="H978" s="1327"/>
      <c r="I978" s="1323"/>
      <c r="J978" s="1323"/>
      <c r="K978" s="1324"/>
      <c r="L978" s="1325"/>
      <c r="M978" s="1336"/>
      <c r="N978" s="1338"/>
      <c r="O978" s="1335"/>
      <c r="P978" s="1316"/>
      <c r="R978" s="1352"/>
      <c r="S978" s="1352"/>
      <c r="T978" s="1352">
        <f>+Tabla16[[#This Row],[CDPS A 31 JULIO 2022]]-Tabla16[[#This Row],[CDP]]</f>
        <v>0</v>
      </c>
      <c r="U978" s="1352"/>
      <c r="V978" s="1352"/>
      <c r="W978" s="1352"/>
    </row>
    <row r="979" spans="1:23" s="1317" customFormat="1" x14ac:dyDescent="0.2">
      <c r="A979" s="1322"/>
      <c r="B979" s="1339"/>
      <c r="C979" s="1345"/>
      <c r="D979" s="1334"/>
      <c r="E979" s="1335"/>
      <c r="F979" s="1335"/>
      <c r="G979" s="1327"/>
      <c r="H979" s="1327"/>
      <c r="I979" s="1323"/>
      <c r="J979" s="1323"/>
      <c r="K979" s="1324"/>
      <c r="L979" s="1325"/>
      <c r="M979" s="1336"/>
      <c r="N979" s="1338"/>
      <c r="O979" s="1335"/>
      <c r="P979" s="1316"/>
      <c r="R979" s="1352"/>
      <c r="S979" s="1352"/>
      <c r="T979" s="1352">
        <f>+Tabla16[[#This Row],[CDPS A 31 JULIO 2022]]-Tabla16[[#This Row],[CDP]]</f>
        <v>0</v>
      </c>
      <c r="U979" s="1352"/>
      <c r="V979" s="1352"/>
      <c r="W979" s="1352"/>
    </row>
    <row r="980" spans="1:23" s="1317" customFormat="1" x14ac:dyDescent="0.2">
      <c r="A980" s="1322"/>
      <c r="B980" s="1339"/>
      <c r="C980" s="1345"/>
      <c r="D980" s="1334"/>
      <c r="E980" s="1335"/>
      <c r="F980" s="1335"/>
      <c r="G980" s="1327"/>
      <c r="H980" s="1327"/>
      <c r="I980" s="1323"/>
      <c r="J980" s="1323"/>
      <c r="K980" s="1324"/>
      <c r="L980" s="1325"/>
      <c r="M980" s="1336"/>
      <c r="N980" s="1338"/>
      <c r="O980" s="1335"/>
      <c r="P980" s="1316"/>
      <c r="R980" s="1352"/>
      <c r="S980" s="1352"/>
      <c r="T980" s="1352">
        <f>+Tabla16[[#This Row],[CDPS A 31 JULIO 2022]]-Tabla16[[#This Row],[CDP]]</f>
        <v>0</v>
      </c>
      <c r="U980" s="1352"/>
      <c r="V980" s="1352"/>
      <c r="W980" s="1352"/>
    </row>
    <row r="981" spans="1:23" s="1317" customFormat="1" x14ac:dyDescent="0.2">
      <c r="A981" s="1322"/>
      <c r="B981" s="1339"/>
      <c r="C981" s="1345"/>
      <c r="D981" s="1334"/>
      <c r="E981" s="1335"/>
      <c r="F981" s="1335"/>
      <c r="G981" s="1327"/>
      <c r="H981" s="1327"/>
      <c r="I981" s="1323"/>
      <c r="J981" s="1323"/>
      <c r="K981" s="1324"/>
      <c r="L981" s="1325"/>
      <c r="M981" s="1336"/>
      <c r="N981" s="1338"/>
      <c r="O981" s="1335"/>
      <c r="P981" s="1316"/>
      <c r="R981" s="1352"/>
      <c r="S981" s="1352"/>
      <c r="T981" s="1352">
        <f>+Tabla16[[#This Row],[CDPS A 31 JULIO 2022]]-Tabla16[[#This Row],[CDP]]</f>
        <v>0</v>
      </c>
      <c r="U981" s="1352"/>
      <c r="V981" s="1352"/>
      <c r="W981" s="1352"/>
    </row>
    <row r="982" spans="1:23" s="1317" customFormat="1" x14ac:dyDescent="0.2">
      <c r="A982" s="1322"/>
      <c r="B982" s="1339"/>
      <c r="C982" s="1345"/>
      <c r="D982" s="1334"/>
      <c r="E982" s="1335"/>
      <c r="F982" s="1335"/>
      <c r="G982" s="1327"/>
      <c r="H982" s="1327"/>
      <c r="I982" s="1323"/>
      <c r="J982" s="1323"/>
      <c r="K982" s="1324"/>
      <c r="L982" s="1325"/>
      <c r="M982" s="1336"/>
      <c r="N982" s="1338"/>
      <c r="O982" s="1335"/>
      <c r="P982" s="1316"/>
      <c r="R982" s="1352"/>
      <c r="S982" s="1352"/>
      <c r="T982" s="1352">
        <f>+Tabla16[[#This Row],[CDPS A 31 JULIO 2022]]-Tabla16[[#This Row],[CDP]]</f>
        <v>0</v>
      </c>
      <c r="U982" s="1352"/>
      <c r="V982" s="1352"/>
      <c r="W982" s="1352"/>
    </row>
    <row r="983" spans="1:23" s="1317" customFormat="1" x14ac:dyDescent="0.2">
      <c r="A983" s="1322"/>
      <c r="B983" s="1339"/>
      <c r="C983" s="1345"/>
      <c r="D983" s="1334"/>
      <c r="E983" s="1335"/>
      <c r="F983" s="1335"/>
      <c r="G983" s="1327"/>
      <c r="H983" s="1327"/>
      <c r="I983" s="1323"/>
      <c r="J983" s="1323"/>
      <c r="K983" s="1324"/>
      <c r="L983" s="1325"/>
      <c r="M983" s="1336"/>
      <c r="N983" s="1338"/>
      <c r="O983" s="1335"/>
      <c r="P983" s="1316"/>
      <c r="R983" s="1352"/>
      <c r="S983" s="1352"/>
      <c r="T983" s="1352">
        <f>+Tabla16[[#This Row],[CDPS A 31 JULIO 2022]]-Tabla16[[#This Row],[CDP]]</f>
        <v>0</v>
      </c>
      <c r="U983" s="1352"/>
      <c r="V983" s="1352"/>
      <c r="W983" s="1352"/>
    </row>
    <row r="984" spans="1:23" s="1317" customFormat="1" x14ac:dyDescent="0.2">
      <c r="A984" s="1322"/>
      <c r="B984" s="1339"/>
      <c r="C984" s="1345"/>
      <c r="D984" s="1334"/>
      <c r="E984" s="1335"/>
      <c r="F984" s="1335"/>
      <c r="G984" s="1327"/>
      <c r="H984" s="1327"/>
      <c r="I984" s="1323"/>
      <c r="J984" s="1323"/>
      <c r="K984" s="1324"/>
      <c r="L984" s="1325"/>
      <c r="M984" s="1336"/>
      <c r="N984" s="1338"/>
      <c r="O984" s="1335"/>
      <c r="P984" s="1316"/>
      <c r="R984" s="1352"/>
      <c r="S984" s="1352"/>
      <c r="T984" s="1352">
        <f>+Tabla16[[#This Row],[CDPS A 31 JULIO 2022]]-Tabla16[[#This Row],[CDP]]</f>
        <v>0</v>
      </c>
      <c r="U984" s="1352"/>
      <c r="V984" s="1352"/>
      <c r="W984" s="1352"/>
    </row>
    <row r="985" spans="1:23" s="1317" customFormat="1" x14ac:dyDescent="0.2">
      <c r="A985" s="1322"/>
      <c r="B985" s="1339"/>
      <c r="C985" s="1345"/>
      <c r="D985" s="1334"/>
      <c r="E985" s="1335"/>
      <c r="F985" s="1335"/>
      <c r="G985" s="1327"/>
      <c r="H985" s="1327"/>
      <c r="I985" s="1323"/>
      <c r="J985" s="1323"/>
      <c r="K985" s="1324"/>
      <c r="L985" s="1325"/>
      <c r="M985" s="1336"/>
      <c r="N985" s="1338"/>
      <c r="O985" s="1335"/>
      <c r="P985" s="1316"/>
      <c r="R985" s="1352"/>
      <c r="S985" s="1352"/>
      <c r="T985" s="1352">
        <f>+Tabla16[[#This Row],[CDPS A 31 JULIO 2022]]-Tabla16[[#This Row],[CDP]]</f>
        <v>0</v>
      </c>
      <c r="U985" s="1352"/>
      <c r="V985" s="1352"/>
      <c r="W985" s="1352"/>
    </row>
    <row r="986" spans="1:23" s="1317" customFormat="1" x14ac:dyDescent="0.2">
      <c r="A986" s="1322"/>
      <c r="B986" s="1339"/>
      <c r="C986" s="1345"/>
      <c r="D986" s="1334"/>
      <c r="E986" s="1335"/>
      <c r="F986" s="1335"/>
      <c r="G986" s="1327"/>
      <c r="H986" s="1327"/>
      <c r="I986" s="1323"/>
      <c r="J986" s="1323"/>
      <c r="K986" s="1324"/>
      <c r="L986" s="1325"/>
      <c r="M986" s="1336"/>
      <c r="N986" s="1338"/>
      <c r="O986" s="1335"/>
      <c r="P986" s="1316"/>
      <c r="R986" s="1352"/>
      <c r="S986" s="1352"/>
      <c r="T986" s="1352">
        <f>+Tabla16[[#This Row],[CDPS A 31 JULIO 2022]]-Tabla16[[#This Row],[CDP]]</f>
        <v>0</v>
      </c>
      <c r="U986" s="1352"/>
      <c r="V986" s="1352"/>
      <c r="W986" s="1352"/>
    </row>
    <row r="987" spans="1:23" s="1317" customFormat="1" x14ac:dyDescent="0.2">
      <c r="A987" s="1322"/>
      <c r="B987" s="1339"/>
      <c r="C987" s="1345"/>
      <c r="D987" s="1334"/>
      <c r="E987" s="1335"/>
      <c r="F987" s="1335"/>
      <c r="G987" s="1327"/>
      <c r="H987" s="1327"/>
      <c r="I987" s="1323"/>
      <c r="J987" s="1323"/>
      <c r="K987" s="1324"/>
      <c r="L987" s="1325"/>
      <c r="M987" s="1336"/>
      <c r="N987" s="1338"/>
      <c r="O987" s="1335"/>
      <c r="P987" s="1316"/>
      <c r="R987" s="1352"/>
      <c r="S987" s="1352"/>
      <c r="T987" s="1352">
        <f>+Tabla16[[#This Row],[CDPS A 31 JULIO 2022]]-Tabla16[[#This Row],[CDP]]</f>
        <v>0</v>
      </c>
      <c r="U987" s="1352"/>
      <c r="V987" s="1352"/>
      <c r="W987" s="1352"/>
    </row>
    <row r="988" spans="1:23" s="1317" customFormat="1" x14ac:dyDescent="0.2">
      <c r="A988" s="1322"/>
      <c r="B988" s="1339"/>
      <c r="C988" s="1345"/>
      <c r="D988" s="1334"/>
      <c r="E988" s="1335"/>
      <c r="F988" s="1335"/>
      <c r="G988" s="1327"/>
      <c r="H988" s="1327"/>
      <c r="I988" s="1323"/>
      <c r="J988" s="1323"/>
      <c r="K988" s="1324"/>
      <c r="L988" s="1325"/>
      <c r="M988" s="1336"/>
      <c r="N988" s="1338"/>
      <c r="O988" s="1335"/>
      <c r="P988" s="1316"/>
      <c r="R988" s="1352"/>
      <c r="S988" s="1352"/>
      <c r="T988" s="1352">
        <f>+Tabla16[[#This Row],[CDPS A 31 JULIO 2022]]-Tabla16[[#This Row],[CDP]]</f>
        <v>0</v>
      </c>
      <c r="U988" s="1352"/>
      <c r="V988" s="1352"/>
      <c r="W988" s="1352"/>
    </row>
    <row r="989" spans="1:23" s="1317" customFormat="1" x14ac:dyDescent="0.2">
      <c r="A989" s="1322"/>
      <c r="B989" s="1339"/>
      <c r="C989" s="1345"/>
      <c r="D989" s="1334"/>
      <c r="E989" s="1335"/>
      <c r="F989" s="1335"/>
      <c r="G989" s="1327"/>
      <c r="H989" s="1327"/>
      <c r="I989" s="1323"/>
      <c r="J989" s="1323"/>
      <c r="K989" s="1324"/>
      <c r="L989" s="1325"/>
      <c r="M989" s="1336"/>
      <c r="N989" s="1338"/>
      <c r="O989" s="1335"/>
      <c r="P989" s="1316"/>
      <c r="R989" s="1352"/>
      <c r="S989" s="1352"/>
      <c r="T989" s="1352">
        <f>+Tabla16[[#This Row],[CDPS A 31 JULIO 2022]]-Tabla16[[#This Row],[CDP]]</f>
        <v>0</v>
      </c>
      <c r="U989" s="1352"/>
      <c r="V989" s="1352"/>
      <c r="W989" s="1352"/>
    </row>
    <row r="990" spans="1:23" s="1317" customFormat="1" x14ac:dyDescent="0.2">
      <c r="A990" s="1322"/>
      <c r="B990" s="1339"/>
      <c r="C990" s="1345"/>
      <c r="D990" s="1334"/>
      <c r="E990" s="1335"/>
      <c r="F990" s="1335"/>
      <c r="G990" s="1327"/>
      <c r="H990" s="1327"/>
      <c r="I990" s="1323"/>
      <c r="J990" s="1323"/>
      <c r="K990" s="1324"/>
      <c r="L990" s="1325"/>
      <c r="M990" s="1336"/>
      <c r="N990" s="1338"/>
      <c r="O990" s="1335"/>
      <c r="P990" s="1316"/>
      <c r="R990" s="1352"/>
      <c r="S990" s="1352"/>
      <c r="T990" s="1352">
        <f>+Tabla16[[#This Row],[CDPS A 31 JULIO 2022]]-Tabla16[[#This Row],[CDP]]</f>
        <v>0</v>
      </c>
      <c r="U990" s="1352"/>
      <c r="V990" s="1352"/>
      <c r="W990" s="1352"/>
    </row>
    <row r="991" spans="1:23" s="1317" customFormat="1" x14ac:dyDescent="0.2">
      <c r="A991" s="1322"/>
      <c r="B991" s="1339"/>
      <c r="C991" s="1345"/>
      <c r="D991" s="1334"/>
      <c r="E991" s="1335"/>
      <c r="F991" s="1335"/>
      <c r="G991" s="1327"/>
      <c r="H991" s="1327"/>
      <c r="I991" s="1323"/>
      <c r="J991" s="1323"/>
      <c r="K991" s="1324"/>
      <c r="L991" s="1325"/>
      <c r="M991" s="1336"/>
      <c r="N991" s="1338"/>
      <c r="O991" s="1335"/>
      <c r="P991" s="1316"/>
      <c r="R991" s="1352"/>
      <c r="S991" s="1352"/>
      <c r="T991" s="1352">
        <f>+Tabla16[[#This Row],[CDPS A 31 JULIO 2022]]-Tabla16[[#This Row],[CDP]]</f>
        <v>0</v>
      </c>
      <c r="U991" s="1352"/>
      <c r="V991" s="1352"/>
      <c r="W991" s="1352"/>
    </row>
    <row r="992" spans="1:23" s="1317" customFormat="1" x14ac:dyDescent="0.2">
      <c r="A992" s="1322"/>
      <c r="B992" s="1339"/>
      <c r="C992" s="1345"/>
      <c r="D992" s="1334"/>
      <c r="E992" s="1335"/>
      <c r="F992" s="1335"/>
      <c r="G992" s="1327"/>
      <c r="H992" s="1327"/>
      <c r="I992" s="1323"/>
      <c r="J992" s="1323"/>
      <c r="K992" s="1324"/>
      <c r="L992" s="1325"/>
      <c r="M992" s="1336"/>
      <c r="N992" s="1338"/>
      <c r="O992" s="1335"/>
      <c r="P992" s="1316"/>
      <c r="R992" s="1352"/>
      <c r="S992" s="1352"/>
      <c r="T992" s="1352">
        <f>+Tabla16[[#This Row],[CDPS A 31 JULIO 2022]]-Tabla16[[#This Row],[CDP]]</f>
        <v>0</v>
      </c>
      <c r="U992" s="1352"/>
      <c r="V992" s="1352"/>
      <c r="W992" s="1352"/>
    </row>
    <row r="993" spans="1:23" s="1317" customFormat="1" x14ac:dyDescent="0.2">
      <c r="A993" s="1322"/>
      <c r="B993" s="1339"/>
      <c r="C993" s="1345"/>
      <c r="D993" s="1334"/>
      <c r="E993" s="1335"/>
      <c r="F993" s="1335"/>
      <c r="G993" s="1327"/>
      <c r="H993" s="1327"/>
      <c r="I993" s="1323"/>
      <c r="J993" s="1323"/>
      <c r="K993" s="1324"/>
      <c r="L993" s="1325"/>
      <c r="M993" s="1336"/>
      <c r="N993" s="1338"/>
      <c r="O993" s="1335"/>
      <c r="P993" s="1316"/>
      <c r="R993" s="1352"/>
      <c r="S993" s="1352"/>
      <c r="T993" s="1352">
        <f>+Tabla16[[#This Row],[CDPS A 31 JULIO 2022]]-Tabla16[[#This Row],[CDP]]</f>
        <v>0</v>
      </c>
      <c r="U993" s="1352"/>
      <c r="V993" s="1352"/>
      <c r="W993" s="1352"/>
    </row>
    <row r="994" spans="1:23" s="1317" customFormat="1" x14ac:dyDescent="0.2">
      <c r="A994" s="1322"/>
      <c r="B994" s="1339"/>
      <c r="C994" s="1345"/>
      <c r="D994" s="1334"/>
      <c r="E994" s="1335"/>
      <c r="F994" s="1335"/>
      <c r="G994" s="1327"/>
      <c r="H994" s="1327"/>
      <c r="I994" s="1323"/>
      <c r="J994" s="1323"/>
      <c r="K994" s="1324"/>
      <c r="L994" s="1325"/>
      <c r="M994" s="1336"/>
      <c r="N994" s="1338"/>
      <c r="O994" s="1335"/>
      <c r="P994" s="1316"/>
      <c r="R994" s="1352"/>
      <c r="S994" s="1352"/>
      <c r="T994" s="1352">
        <f>+Tabla16[[#This Row],[CDPS A 31 JULIO 2022]]-Tabla16[[#This Row],[CDP]]</f>
        <v>0</v>
      </c>
      <c r="U994" s="1352"/>
      <c r="V994" s="1352"/>
      <c r="W994" s="1352"/>
    </row>
    <row r="995" spans="1:23" s="1317" customFormat="1" x14ac:dyDescent="0.2">
      <c r="A995" s="1322"/>
      <c r="B995" s="1339"/>
      <c r="C995" s="1345"/>
      <c r="D995" s="1334"/>
      <c r="E995" s="1335"/>
      <c r="F995" s="1335"/>
      <c r="G995" s="1327"/>
      <c r="H995" s="1327"/>
      <c r="I995" s="1323"/>
      <c r="J995" s="1323"/>
      <c r="K995" s="1324"/>
      <c r="L995" s="1325"/>
      <c r="M995" s="1336"/>
      <c r="N995" s="1338"/>
      <c r="O995" s="1335"/>
      <c r="P995" s="1316"/>
      <c r="R995" s="1352"/>
      <c r="S995" s="1352"/>
      <c r="T995" s="1352">
        <f>+Tabla16[[#This Row],[CDPS A 31 JULIO 2022]]-Tabla16[[#This Row],[CDP]]</f>
        <v>0</v>
      </c>
      <c r="U995" s="1352"/>
      <c r="V995" s="1352"/>
      <c r="W995" s="1352"/>
    </row>
    <row r="996" spans="1:23" s="1317" customFormat="1" x14ac:dyDescent="0.2">
      <c r="A996" s="1322"/>
      <c r="B996" s="1339"/>
      <c r="C996" s="1345"/>
      <c r="D996" s="1334"/>
      <c r="E996" s="1335"/>
      <c r="F996" s="1335"/>
      <c r="G996" s="1327"/>
      <c r="H996" s="1327"/>
      <c r="I996" s="1323"/>
      <c r="J996" s="1323"/>
      <c r="K996" s="1324"/>
      <c r="L996" s="1325"/>
      <c r="M996" s="1336"/>
      <c r="N996" s="1338"/>
      <c r="O996" s="1335"/>
      <c r="P996" s="1316"/>
      <c r="R996" s="1352"/>
      <c r="S996" s="1352"/>
      <c r="T996" s="1352">
        <f>+Tabla16[[#This Row],[CDPS A 31 JULIO 2022]]-Tabla16[[#This Row],[CDP]]</f>
        <v>0</v>
      </c>
      <c r="U996" s="1352"/>
      <c r="V996" s="1352"/>
      <c r="W996" s="1352"/>
    </row>
    <row r="997" spans="1:23" s="1317" customFormat="1" x14ac:dyDescent="0.2">
      <c r="A997" s="1322"/>
      <c r="B997" s="1339"/>
      <c r="C997" s="1345"/>
      <c r="D997" s="1334"/>
      <c r="E997" s="1335"/>
      <c r="F997" s="1335"/>
      <c r="G997" s="1327"/>
      <c r="H997" s="1327"/>
      <c r="I997" s="1323"/>
      <c r="J997" s="1323"/>
      <c r="K997" s="1324"/>
      <c r="L997" s="1325"/>
      <c r="M997" s="1336"/>
      <c r="N997" s="1338"/>
      <c r="O997" s="1335"/>
      <c r="P997" s="1316"/>
      <c r="R997" s="1352"/>
      <c r="S997" s="1352"/>
      <c r="T997" s="1352">
        <f>+Tabla16[[#This Row],[CDPS A 31 JULIO 2022]]-Tabla16[[#This Row],[CDP]]</f>
        <v>0</v>
      </c>
      <c r="U997" s="1352"/>
      <c r="V997" s="1352"/>
      <c r="W997" s="1352"/>
    </row>
    <row r="998" spans="1:23" s="1317" customFormat="1" x14ac:dyDescent="0.2">
      <c r="A998" s="1322"/>
      <c r="B998" s="1339"/>
      <c r="C998" s="1345"/>
      <c r="D998" s="1334"/>
      <c r="E998" s="1335"/>
      <c r="F998" s="1335"/>
      <c r="G998" s="1327"/>
      <c r="H998" s="1327"/>
      <c r="I998" s="1323"/>
      <c r="J998" s="1323"/>
      <c r="K998" s="1324"/>
      <c r="L998" s="1325"/>
      <c r="M998" s="1336"/>
      <c r="N998" s="1338"/>
      <c r="O998" s="1335"/>
      <c r="P998" s="1316"/>
      <c r="R998" s="1352"/>
      <c r="S998" s="1352"/>
      <c r="T998" s="1352">
        <f>+Tabla16[[#This Row],[CDPS A 31 JULIO 2022]]-Tabla16[[#This Row],[CDP]]</f>
        <v>0</v>
      </c>
      <c r="U998" s="1352"/>
      <c r="V998" s="1352"/>
      <c r="W998" s="1352"/>
    </row>
    <row r="999" spans="1:23" s="1317" customFormat="1" x14ac:dyDescent="0.2">
      <c r="A999" s="1322"/>
      <c r="B999" s="1339"/>
      <c r="C999" s="1345"/>
      <c r="D999" s="1334"/>
      <c r="E999" s="1335"/>
      <c r="F999" s="1335"/>
      <c r="G999" s="1327"/>
      <c r="H999" s="1327"/>
      <c r="I999" s="1323"/>
      <c r="J999" s="1323"/>
      <c r="K999" s="1324"/>
      <c r="L999" s="1325"/>
      <c r="M999" s="1336"/>
      <c r="N999" s="1338"/>
      <c r="O999" s="1335"/>
      <c r="P999" s="1316"/>
      <c r="R999" s="1352"/>
      <c r="S999" s="1352"/>
      <c r="T999" s="1352">
        <f>+Tabla16[[#This Row],[CDPS A 31 JULIO 2022]]-Tabla16[[#This Row],[CDP]]</f>
        <v>0</v>
      </c>
      <c r="U999" s="1352"/>
      <c r="V999" s="1352"/>
      <c r="W999" s="1352"/>
    </row>
    <row r="1000" spans="1:23" s="1317" customFormat="1" x14ac:dyDescent="0.2">
      <c r="A1000" s="1322"/>
      <c r="B1000" s="1339"/>
      <c r="C1000" s="1345"/>
      <c r="D1000" s="1334"/>
      <c r="E1000" s="1335"/>
      <c r="F1000" s="1335"/>
      <c r="G1000" s="1327"/>
      <c r="H1000" s="1327"/>
      <c r="I1000" s="1323"/>
      <c r="J1000" s="1323"/>
      <c r="K1000" s="1324"/>
      <c r="L1000" s="1325"/>
      <c r="M1000" s="1336"/>
      <c r="N1000" s="1338"/>
      <c r="O1000" s="1335"/>
      <c r="P1000" s="1316"/>
      <c r="R1000" s="1352"/>
      <c r="S1000" s="1352"/>
      <c r="T1000" s="1352">
        <f>+Tabla16[[#This Row],[CDPS A 31 JULIO 2022]]-Tabla16[[#This Row],[CDP]]</f>
        <v>0</v>
      </c>
      <c r="U1000" s="1352"/>
      <c r="V1000" s="1352"/>
      <c r="W1000" s="1352"/>
    </row>
    <row r="1001" spans="1:23" s="1317" customFormat="1" x14ac:dyDescent="0.2">
      <c r="A1001" s="1322"/>
      <c r="B1001" s="1339"/>
      <c r="C1001" s="1345"/>
      <c r="D1001" s="1334"/>
      <c r="E1001" s="1335"/>
      <c r="F1001" s="1335"/>
      <c r="G1001" s="1327"/>
      <c r="H1001" s="1327"/>
      <c r="I1001" s="1323"/>
      <c r="J1001" s="1323"/>
      <c r="K1001" s="1324"/>
      <c r="L1001" s="1325"/>
      <c r="M1001" s="1336"/>
      <c r="N1001" s="1338"/>
      <c r="O1001" s="1335"/>
      <c r="P1001" s="1316"/>
      <c r="R1001" s="1352"/>
      <c r="S1001" s="1352"/>
      <c r="T1001" s="1352">
        <f>+Tabla16[[#This Row],[CDPS A 31 JULIO 2022]]-Tabla16[[#This Row],[CDP]]</f>
        <v>0</v>
      </c>
      <c r="U1001" s="1352"/>
      <c r="V1001" s="1352"/>
      <c r="W1001" s="1352"/>
    </row>
    <row r="1002" spans="1:23" s="1317" customFormat="1" x14ac:dyDescent="0.2">
      <c r="A1002" s="1322"/>
      <c r="B1002" s="1339"/>
      <c r="C1002" s="1345"/>
      <c r="D1002" s="1334"/>
      <c r="E1002" s="1335"/>
      <c r="F1002" s="1335"/>
      <c r="G1002" s="1327"/>
      <c r="H1002" s="1327"/>
      <c r="I1002" s="1323"/>
      <c r="J1002" s="1323"/>
      <c r="K1002" s="1324"/>
      <c r="L1002" s="1325"/>
      <c r="M1002" s="1336"/>
      <c r="N1002" s="1338"/>
      <c r="O1002" s="1335"/>
      <c r="P1002" s="1316"/>
      <c r="R1002" s="1352"/>
      <c r="S1002" s="1352"/>
      <c r="T1002" s="1352">
        <f>+Tabla16[[#This Row],[CDPS A 31 JULIO 2022]]-Tabla16[[#This Row],[CDP]]</f>
        <v>0</v>
      </c>
      <c r="U1002" s="1352"/>
      <c r="V1002" s="1352"/>
      <c r="W1002" s="1352"/>
    </row>
    <row r="1003" spans="1:23" s="1317" customFormat="1" x14ac:dyDescent="0.2">
      <c r="A1003" s="1322"/>
      <c r="B1003" s="1339"/>
      <c r="C1003" s="1345"/>
      <c r="D1003" s="1334"/>
      <c r="E1003" s="1335"/>
      <c r="F1003" s="1335"/>
      <c r="G1003" s="1327"/>
      <c r="H1003" s="1327"/>
      <c r="I1003" s="1323"/>
      <c r="J1003" s="1323"/>
      <c r="K1003" s="1324"/>
      <c r="L1003" s="1325"/>
      <c r="M1003" s="1336"/>
      <c r="N1003" s="1338"/>
      <c r="O1003" s="1335"/>
      <c r="P1003" s="1316"/>
      <c r="R1003" s="1352"/>
      <c r="S1003" s="1352"/>
      <c r="T1003" s="1352">
        <f>+Tabla16[[#This Row],[CDPS A 31 JULIO 2022]]-Tabla16[[#This Row],[CDP]]</f>
        <v>0</v>
      </c>
      <c r="U1003" s="1352"/>
      <c r="V1003" s="1352"/>
      <c r="W1003" s="1352"/>
    </row>
    <row r="1004" spans="1:23" s="1317" customFormat="1" x14ac:dyDescent="0.2">
      <c r="A1004" s="1322"/>
      <c r="B1004" s="1339"/>
      <c r="C1004" s="1345"/>
      <c r="D1004" s="1334"/>
      <c r="E1004" s="1335"/>
      <c r="F1004" s="1335"/>
      <c r="G1004" s="1327"/>
      <c r="H1004" s="1327"/>
      <c r="I1004" s="1323"/>
      <c r="J1004" s="1323"/>
      <c r="K1004" s="1324"/>
      <c r="L1004" s="1325"/>
      <c r="M1004" s="1336"/>
      <c r="N1004" s="1338"/>
      <c r="O1004" s="1335"/>
      <c r="P1004" s="1316"/>
      <c r="R1004" s="1352"/>
      <c r="S1004" s="1352"/>
      <c r="T1004" s="1352">
        <f>+Tabla16[[#This Row],[CDPS A 31 JULIO 2022]]-Tabla16[[#This Row],[CDP]]</f>
        <v>0</v>
      </c>
      <c r="U1004" s="1352"/>
      <c r="V1004" s="1352"/>
      <c r="W1004" s="1352"/>
    </row>
    <row r="1005" spans="1:23" s="1317" customFormat="1" x14ac:dyDescent="0.2">
      <c r="A1005" s="1322"/>
      <c r="B1005" s="1339"/>
      <c r="C1005" s="1345"/>
      <c r="D1005" s="1334"/>
      <c r="E1005" s="1335"/>
      <c r="F1005" s="1335"/>
      <c r="G1005" s="1327"/>
      <c r="H1005" s="1327"/>
      <c r="I1005" s="1323"/>
      <c r="J1005" s="1323"/>
      <c r="K1005" s="1324"/>
      <c r="L1005" s="1325"/>
      <c r="M1005" s="1336"/>
      <c r="N1005" s="1338"/>
      <c r="O1005" s="1335"/>
      <c r="P1005" s="1316"/>
      <c r="R1005" s="1352"/>
      <c r="S1005" s="1352"/>
      <c r="T1005" s="1352">
        <f>+Tabla16[[#This Row],[CDPS A 31 JULIO 2022]]-Tabla16[[#This Row],[CDP]]</f>
        <v>0</v>
      </c>
      <c r="U1005" s="1352"/>
      <c r="V1005" s="1352"/>
      <c r="W1005" s="1352"/>
    </row>
    <row r="1006" spans="1:23" s="1317" customFormat="1" x14ac:dyDescent="0.2">
      <c r="A1006" s="1322"/>
      <c r="B1006" s="1339"/>
      <c r="C1006" s="1345"/>
      <c r="D1006" s="1334"/>
      <c r="E1006" s="1335"/>
      <c r="F1006" s="1335"/>
      <c r="G1006" s="1327"/>
      <c r="H1006" s="1327"/>
      <c r="I1006" s="1323"/>
      <c r="J1006" s="1323"/>
      <c r="K1006" s="1324"/>
      <c r="L1006" s="1325"/>
      <c r="M1006" s="1336"/>
      <c r="N1006" s="1338"/>
      <c r="O1006" s="1335"/>
      <c r="P1006" s="1316"/>
      <c r="R1006" s="1352"/>
      <c r="S1006" s="1352"/>
      <c r="T1006" s="1352">
        <f>+Tabla16[[#This Row],[CDPS A 31 JULIO 2022]]-Tabla16[[#This Row],[CDP]]</f>
        <v>0</v>
      </c>
      <c r="U1006" s="1352"/>
      <c r="V1006" s="1352"/>
      <c r="W1006" s="1352"/>
    </row>
    <row r="1007" spans="1:23" s="1317" customFormat="1" x14ac:dyDescent="0.2">
      <c r="A1007" s="1322"/>
      <c r="B1007" s="1339"/>
      <c r="C1007" s="1345"/>
      <c r="D1007" s="1334"/>
      <c r="E1007" s="1335"/>
      <c r="F1007" s="1335"/>
      <c r="G1007" s="1327"/>
      <c r="H1007" s="1327"/>
      <c r="I1007" s="1323"/>
      <c r="J1007" s="1323"/>
      <c r="K1007" s="1324"/>
      <c r="L1007" s="1325"/>
      <c r="M1007" s="1336"/>
      <c r="N1007" s="1338"/>
      <c r="O1007" s="1335"/>
      <c r="P1007" s="1316"/>
      <c r="R1007" s="1352"/>
      <c r="S1007" s="1352"/>
      <c r="T1007" s="1352">
        <f>+Tabla16[[#This Row],[CDPS A 31 JULIO 2022]]-Tabla16[[#This Row],[CDP]]</f>
        <v>0</v>
      </c>
      <c r="U1007" s="1352"/>
      <c r="V1007" s="1352"/>
      <c r="W1007" s="1352"/>
    </row>
    <row r="1008" spans="1:23" s="1317" customFormat="1" x14ac:dyDescent="0.2">
      <c r="A1008" s="1322"/>
      <c r="B1008" s="1339"/>
      <c r="C1008" s="1345"/>
      <c r="D1008" s="1334"/>
      <c r="E1008" s="1335"/>
      <c r="F1008" s="1335"/>
      <c r="G1008" s="1327"/>
      <c r="H1008" s="1327"/>
      <c r="I1008" s="1323"/>
      <c r="J1008" s="1323"/>
      <c r="K1008" s="1324"/>
      <c r="L1008" s="1325"/>
      <c r="M1008" s="1336"/>
      <c r="N1008" s="1338"/>
      <c r="O1008" s="1335"/>
      <c r="P1008" s="1316"/>
      <c r="R1008" s="1352"/>
      <c r="S1008" s="1352"/>
      <c r="T1008" s="1352">
        <f>+Tabla16[[#This Row],[CDPS A 31 JULIO 2022]]-Tabla16[[#This Row],[CDP]]</f>
        <v>0</v>
      </c>
      <c r="U1008" s="1352"/>
      <c r="V1008" s="1352"/>
      <c r="W1008" s="1352"/>
    </row>
    <row r="1009" spans="1:23" s="1317" customFormat="1" x14ac:dyDescent="0.2">
      <c r="A1009" s="1322"/>
      <c r="B1009" s="1339"/>
      <c r="C1009" s="1345"/>
      <c r="D1009" s="1334"/>
      <c r="E1009" s="1335"/>
      <c r="F1009" s="1335"/>
      <c r="G1009" s="1327"/>
      <c r="H1009" s="1327"/>
      <c r="I1009" s="1323"/>
      <c r="J1009" s="1323"/>
      <c r="K1009" s="1324"/>
      <c r="L1009" s="1325"/>
      <c r="M1009" s="1336"/>
      <c r="N1009" s="1338"/>
      <c r="O1009" s="1335"/>
      <c r="P1009" s="1316"/>
      <c r="R1009" s="1352"/>
      <c r="S1009" s="1352"/>
      <c r="T1009" s="1352">
        <f>+Tabla16[[#This Row],[CDPS A 31 JULIO 2022]]-Tabla16[[#This Row],[CDP]]</f>
        <v>0</v>
      </c>
      <c r="U1009" s="1352"/>
      <c r="V1009" s="1352"/>
      <c r="W1009" s="1352"/>
    </row>
    <row r="1010" spans="1:23" s="1317" customFormat="1" x14ac:dyDescent="0.2">
      <c r="A1010" s="1322"/>
      <c r="B1010" s="1339"/>
      <c r="C1010" s="1345"/>
      <c r="D1010" s="1334"/>
      <c r="E1010" s="1335"/>
      <c r="F1010" s="1335"/>
      <c r="G1010" s="1327"/>
      <c r="H1010" s="1327"/>
      <c r="I1010" s="1323"/>
      <c r="J1010" s="1323"/>
      <c r="K1010" s="1324"/>
      <c r="L1010" s="1325"/>
      <c r="M1010" s="1336"/>
      <c r="N1010" s="1338"/>
      <c r="O1010" s="1335"/>
      <c r="P1010" s="1316"/>
      <c r="R1010" s="1352"/>
      <c r="S1010" s="1352"/>
      <c r="T1010" s="1352">
        <f>+Tabla16[[#This Row],[CDPS A 31 JULIO 2022]]-Tabla16[[#This Row],[CDP]]</f>
        <v>0</v>
      </c>
      <c r="U1010" s="1352"/>
      <c r="V1010" s="1352"/>
      <c r="W1010" s="1352"/>
    </row>
    <row r="1011" spans="1:23" s="1317" customFormat="1" x14ac:dyDescent="0.2">
      <c r="A1011" s="1322"/>
      <c r="B1011" s="1339"/>
      <c r="C1011" s="1345"/>
      <c r="D1011" s="1334"/>
      <c r="E1011" s="1335"/>
      <c r="F1011" s="1335"/>
      <c r="G1011" s="1327"/>
      <c r="H1011" s="1327"/>
      <c r="I1011" s="1323"/>
      <c r="J1011" s="1323"/>
      <c r="K1011" s="1324"/>
      <c r="L1011" s="1325"/>
      <c r="M1011" s="1336"/>
      <c r="N1011" s="1338"/>
      <c r="O1011" s="1335"/>
      <c r="P1011" s="1316"/>
      <c r="R1011" s="1352"/>
      <c r="S1011" s="1352"/>
      <c r="T1011" s="1352">
        <f>+Tabla16[[#This Row],[CDPS A 31 JULIO 2022]]-Tabla16[[#This Row],[CDP]]</f>
        <v>0</v>
      </c>
      <c r="U1011" s="1352"/>
      <c r="V1011" s="1352"/>
      <c r="W1011" s="1352"/>
    </row>
    <row r="1012" spans="1:23" s="1317" customFormat="1" x14ac:dyDescent="0.2">
      <c r="A1012" s="1322"/>
      <c r="B1012" s="1339"/>
      <c r="C1012" s="1345"/>
      <c r="D1012" s="1334"/>
      <c r="E1012" s="1335"/>
      <c r="F1012" s="1335"/>
      <c r="G1012" s="1327"/>
      <c r="H1012" s="1327"/>
      <c r="I1012" s="1323"/>
      <c r="J1012" s="1323"/>
      <c r="K1012" s="1324"/>
      <c r="L1012" s="1325"/>
      <c r="M1012" s="1336"/>
      <c r="N1012" s="1338"/>
      <c r="O1012" s="1335"/>
      <c r="P1012" s="1316"/>
      <c r="R1012" s="1352"/>
      <c r="S1012" s="1352"/>
      <c r="T1012" s="1352">
        <f>+Tabla16[[#This Row],[CDPS A 31 JULIO 2022]]-Tabla16[[#This Row],[CDP]]</f>
        <v>0</v>
      </c>
      <c r="U1012" s="1352"/>
      <c r="V1012" s="1352"/>
      <c r="W1012" s="1352"/>
    </row>
    <row r="1013" spans="1:23" s="1317" customFormat="1" x14ac:dyDescent="0.2">
      <c r="A1013" s="1322"/>
      <c r="B1013" s="1339"/>
      <c r="C1013" s="1345"/>
      <c r="D1013" s="1334"/>
      <c r="E1013" s="1335"/>
      <c r="F1013" s="1335"/>
      <c r="G1013" s="1327"/>
      <c r="H1013" s="1327"/>
      <c r="I1013" s="1323"/>
      <c r="J1013" s="1323"/>
      <c r="K1013" s="1324"/>
      <c r="L1013" s="1325"/>
      <c r="M1013" s="1336"/>
      <c r="N1013" s="1338"/>
      <c r="O1013" s="1335"/>
      <c r="P1013" s="1316"/>
      <c r="R1013" s="1352"/>
      <c r="S1013" s="1352"/>
      <c r="T1013" s="1352">
        <f>+Tabla16[[#This Row],[CDPS A 31 JULIO 2022]]-Tabla16[[#This Row],[CDP]]</f>
        <v>0</v>
      </c>
      <c r="U1013" s="1352"/>
      <c r="V1013" s="1352"/>
      <c r="W1013" s="1352"/>
    </row>
    <row r="1014" spans="1:23" s="1317" customFormat="1" x14ac:dyDescent="0.2">
      <c r="A1014" s="1322"/>
      <c r="B1014" s="1339"/>
      <c r="C1014" s="1345"/>
      <c r="D1014" s="1334"/>
      <c r="E1014" s="1335"/>
      <c r="F1014" s="1335"/>
      <c r="G1014" s="1327"/>
      <c r="H1014" s="1327"/>
      <c r="I1014" s="1323"/>
      <c r="J1014" s="1323"/>
      <c r="K1014" s="1324"/>
      <c r="L1014" s="1325"/>
      <c r="M1014" s="1336"/>
      <c r="N1014" s="1338"/>
      <c r="O1014" s="1335"/>
      <c r="P1014" s="1316"/>
      <c r="R1014" s="1352"/>
      <c r="S1014" s="1352"/>
      <c r="T1014" s="1352">
        <f>+Tabla16[[#This Row],[CDPS A 31 JULIO 2022]]-Tabla16[[#This Row],[CDP]]</f>
        <v>0</v>
      </c>
      <c r="U1014" s="1352"/>
      <c r="V1014" s="1352"/>
      <c r="W1014" s="1352"/>
    </row>
    <row r="1015" spans="1:23" s="1317" customFormat="1" x14ac:dyDescent="0.2">
      <c r="A1015" s="1322"/>
      <c r="B1015" s="1339"/>
      <c r="C1015" s="1345"/>
      <c r="D1015" s="1334"/>
      <c r="E1015" s="1335"/>
      <c r="F1015" s="1335"/>
      <c r="G1015" s="1327"/>
      <c r="H1015" s="1327"/>
      <c r="I1015" s="1323"/>
      <c r="J1015" s="1323"/>
      <c r="K1015" s="1324"/>
      <c r="L1015" s="1325"/>
      <c r="M1015" s="1336"/>
      <c r="N1015" s="1338"/>
      <c r="O1015" s="1335"/>
      <c r="P1015" s="1316"/>
      <c r="R1015" s="1352"/>
      <c r="S1015" s="1352"/>
      <c r="T1015" s="1352">
        <f>+Tabla16[[#This Row],[CDPS A 31 JULIO 2022]]-Tabla16[[#This Row],[CDP]]</f>
        <v>0</v>
      </c>
      <c r="U1015" s="1352"/>
      <c r="V1015" s="1352"/>
      <c r="W1015" s="1352"/>
    </row>
    <row r="1016" spans="1:23" s="1317" customFormat="1" x14ac:dyDescent="0.2">
      <c r="A1016" s="1322"/>
      <c r="B1016" s="1339"/>
      <c r="C1016" s="1345"/>
      <c r="D1016" s="1334"/>
      <c r="E1016" s="1335"/>
      <c r="F1016" s="1335"/>
      <c r="G1016" s="1327"/>
      <c r="H1016" s="1327"/>
      <c r="I1016" s="1323"/>
      <c r="J1016" s="1323"/>
      <c r="K1016" s="1324"/>
      <c r="L1016" s="1325"/>
      <c r="M1016" s="1336"/>
      <c r="N1016" s="1338"/>
      <c r="O1016" s="1335"/>
      <c r="P1016" s="1316"/>
      <c r="R1016" s="1352"/>
      <c r="S1016" s="1352"/>
      <c r="T1016" s="1352">
        <f>+Tabla16[[#This Row],[CDPS A 31 JULIO 2022]]-Tabla16[[#This Row],[CDP]]</f>
        <v>0</v>
      </c>
      <c r="U1016" s="1352"/>
      <c r="V1016" s="1352"/>
      <c r="W1016" s="1352"/>
    </row>
    <row r="1017" spans="1:23" s="1317" customFormat="1" x14ac:dyDescent="0.2">
      <c r="A1017" s="1322"/>
      <c r="B1017" s="1339"/>
      <c r="C1017" s="1345"/>
      <c r="D1017" s="1334"/>
      <c r="E1017" s="1335"/>
      <c r="F1017" s="1335"/>
      <c r="G1017" s="1327"/>
      <c r="H1017" s="1327"/>
      <c r="I1017" s="1323"/>
      <c r="J1017" s="1323"/>
      <c r="K1017" s="1324"/>
      <c r="L1017" s="1325"/>
      <c r="M1017" s="1336"/>
      <c r="N1017" s="1338"/>
      <c r="O1017" s="1335"/>
      <c r="P1017" s="1316"/>
      <c r="R1017" s="1352"/>
      <c r="S1017" s="1352"/>
      <c r="T1017" s="1352">
        <f>+Tabla16[[#This Row],[CDPS A 31 JULIO 2022]]-Tabla16[[#This Row],[CDP]]</f>
        <v>0</v>
      </c>
      <c r="U1017" s="1352"/>
      <c r="V1017" s="1352"/>
      <c r="W1017" s="1352"/>
    </row>
    <row r="1018" spans="1:23" s="1317" customFormat="1" x14ac:dyDescent="0.2">
      <c r="A1018" s="1322"/>
      <c r="B1018" s="1339"/>
      <c r="C1018" s="1345"/>
      <c r="D1018" s="1334"/>
      <c r="E1018" s="1335"/>
      <c r="F1018" s="1335"/>
      <c r="G1018" s="1327"/>
      <c r="H1018" s="1327"/>
      <c r="I1018" s="1323"/>
      <c r="J1018" s="1323"/>
      <c r="K1018" s="1324"/>
      <c r="L1018" s="1325"/>
      <c r="M1018" s="1336"/>
      <c r="N1018" s="1338"/>
      <c r="O1018" s="1335"/>
      <c r="P1018" s="1316"/>
      <c r="R1018" s="1352"/>
      <c r="S1018" s="1352"/>
      <c r="T1018" s="1352">
        <f>+Tabla16[[#This Row],[CDPS A 31 JULIO 2022]]-Tabla16[[#This Row],[CDP]]</f>
        <v>0</v>
      </c>
      <c r="U1018" s="1352"/>
      <c r="V1018" s="1352"/>
      <c r="W1018" s="1352"/>
    </row>
    <row r="1019" spans="1:23" s="1317" customFormat="1" x14ac:dyDescent="0.2">
      <c r="A1019" s="1322"/>
      <c r="B1019" s="1339"/>
      <c r="C1019" s="1345"/>
      <c r="D1019" s="1334"/>
      <c r="E1019" s="1335"/>
      <c r="F1019" s="1335"/>
      <c r="G1019" s="1327"/>
      <c r="H1019" s="1327"/>
      <c r="I1019" s="1323"/>
      <c r="J1019" s="1323"/>
      <c r="K1019" s="1324"/>
      <c r="L1019" s="1325"/>
      <c r="M1019" s="1336"/>
      <c r="N1019" s="1338"/>
      <c r="O1019" s="1335"/>
      <c r="P1019" s="1316"/>
      <c r="R1019" s="1352"/>
      <c r="S1019" s="1352"/>
      <c r="T1019" s="1352">
        <f>+Tabla16[[#This Row],[CDPS A 31 JULIO 2022]]-Tabla16[[#This Row],[CDP]]</f>
        <v>0</v>
      </c>
      <c r="U1019" s="1352"/>
      <c r="V1019" s="1352"/>
      <c r="W1019" s="1352"/>
    </row>
    <row r="1020" spans="1:23" s="1317" customFormat="1" x14ac:dyDescent="0.2">
      <c r="A1020" s="1322"/>
      <c r="B1020" s="1339"/>
      <c r="C1020" s="1345"/>
      <c r="D1020" s="1334"/>
      <c r="E1020" s="1335"/>
      <c r="F1020" s="1335"/>
      <c r="G1020" s="1327"/>
      <c r="H1020" s="1327"/>
      <c r="I1020" s="1323"/>
      <c r="J1020" s="1323"/>
      <c r="K1020" s="1324"/>
      <c r="L1020" s="1325"/>
      <c r="M1020" s="1336"/>
      <c r="N1020" s="1338"/>
      <c r="O1020" s="1335"/>
      <c r="P1020" s="1316"/>
      <c r="R1020" s="1352"/>
      <c r="S1020" s="1352"/>
      <c r="T1020" s="1352">
        <f>+Tabla16[[#This Row],[CDPS A 31 JULIO 2022]]-Tabla16[[#This Row],[CDP]]</f>
        <v>0</v>
      </c>
      <c r="U1020" s="1352"/>
      <c r="V1020" s="1352"/>
      <c r="W1020" s="1352"/>
    </row>
    <row r="1021" spans="1:23" s="1317" customFormat="1" x14ac:dyDescent="0.2">
      <c r="A1021" s="1322"/>
      <c r="B1021" s="1339"/>
      <c r="C1021" s="1345"/>
      <c r="D1021" s="1334"/>
      <c r="E1021" s="1335"/>
      <c r="F1021" s="1335"/>
      <c r="G1021" s="1327"/>
      <c r="H1021" s="1327"/>
      <c r="I1021" s="1323"/>
      <c r="J1021" s="1323"/>
      <c r="K1021" s="1324"/>
      <c r="L1021" s="1325"/>
      <c r="M1021" s="1336"/>
      <c r="N1021" s="1338"/>
      <c r="O1021" s="1335"/>
      <c r="P1021" s="1316"/>
      <c r="R1021" s="1352"/>
      <c r="S1021" s="1352"/>
      <c r="T1021" s="1352">
        <f>+Tabla16[[#This Row],[CDPS A 31 JULIO 2022]]-Tabla16[[#This Row],[CDP]]</f>
        <v>0</v>
      </c>
      <c r="U1021" s="1352"/>
      <c r="V1021" s="1352"/>
      <c r="W1021" s="1352"/>
    </row>
    <row r="1022" spans="1:23" s="1317" customFormat="1" x14ac:dyDescent="0.2">
      <c r="A1022" s="1322"/>
      <c r="B1022" s="1339"/>
      <c r="C1022" s="1345"/>
      <c r="D1022" s="1334"/>
      <c r="E1022" s="1335"/>
      <c r="F1022" s="1335"/>
      <c r="G1022" s="1327"/>
      <c r="H1022" s="1327"/>
      <c r="I1022" s="1323"/>
      <c r="J1022" s="1323"/>
      <c r="K1022" s="1324"/>
      <c r="L1022" s="1325"/>
      <c r="M1022" s="1336"/>
      <c r="N1022" s="1338"/>
      <c r="O1022" s="1335"/>
      <c r="P1022" s="1316"/>
      <c r="R1022" s="1352"/>
      <c r="S1022" s="1352"/>
      <c r="T1022" s="1352">
        <f>+Tabla16[[#This Row],[CDPS A 31 JULIO 2022]]-Tabla16[[#This Row],[CDP]]</f>
        <v>0</v>
      </c>
      <c r="U1022" s="1352"/>
      <c r="V1022" s="1352"/>
      <c r="W1022" s="1352"/>
    </row>
    <row r="1023" spans="1:23" s="1317" customFormat="1" x14ac:dyDescent="0.2">
      <c r="A1023" s="1322"/>
      <c r="B1023" s="1339"/>
      <c r="C1023" s="1345"/>
      <c r="D1023" s="1334"/>
      <c r="E1023" s="1335"/>
      <c r="F1023" s="1335"/>
      <c r="G1023" s="1327"/>
      <c r="H1023" s="1327"/>
      <c r="I1023" s="1323"/>
      <c r="J1023" s="1323"/>
      <c r="K1023" s="1324"/>
      <c r="L1023" s="1325"/>
      <c r="M1023" s="1336"/>
      <c r="N1023" s="1338"/>
      <c r="O1023" s="1335"/>
      <c r="P1023" s="1316"/>
      <c r="R1023" s="1352"/>
      <c r="S1023" s="1352"/>
      <c r="T1023" s="1352">
        <f>+Tabla16[[#This Row],[CDPS A 31 JULIO 2022]]-Tabla16[[#This Row],[CDP]]</f>
        <v>0</v>
      </c>
      <c r="U1023" s="1352"/>
      <c r="V1023" s="1352"/>
      <c r="W1023" s="1352"/>
    </row>
    <row r="1024" spans="1:23" s="1317" customFormat="1" x14ac:dyDescent="0.2">
      <c r="A1024" s="1322"/>
      <c r="B1024" s="1339"/>
      <c r="C1024" s="1345"/>
      <c r="D1024" s="1334"/>
      <c r="E1024" s="1335"/>
      <c r="F1024" s="1335"/>
      <c r="G1024" s="1327"/>
      <c r="H1024" s="1327"/>
      <c r="I1024" s="1323"/>
      <c r="J1024" s="1323"/>
      <c r="K1024" s="1324"/>
      <c r="L1024" s="1325"/>
      <c r="M1024" s="1336"/>
      <c r="N1024" s="1338"/>
      <c r="O1024" s="1335"/>
      <c r="P1024" s="1316"/>
      <c r="R1024" s="1352"/>
      <c r="S1024" s="1352"/>
      <c r="T1024" s="1352">
        <f>+Tabla16[[#This Row],[CDPS A 31 JULIO 2022]]-Tabla16[[#This Row],[CDP]]</f>
        <v>0</v>
      </c>
      <c r="U1024" s="1352"/>
      <c r="V1024" s="1352"/>
      <c r="W1024" s="1352"/>
    </row>
    <row r="1025" spans="1:23" s="1317" customFormat="1" x14ac:dyDescent="0.2">
      <c r="A1025" s="1322"/>
      <c r="B1025" s="1339"/>
      <c r="C1025" s="1345"/>
      <c r="D1025" s="1334"/>
      <c r="E1025" s="1335"/>
      <c r="F1025" s="1335"/>
      <c r="G1025" s="1327"/>
      <c r="H1025" s="1327"/>
      <c r="I1025" s="1323"/>
      <c r="J1025" s="1323"/>
      <c r="K1025" s="1324"/>
      <c r="L1025" s="1325"/>
      <c r="M1025" s="1336"/>
      <c r="N1025" s="1338"/>
      <c r="O1025" s="1335"/>
      <c r="P1025" s="1316"/>
      <c r="R1025" s="1352"/>
      <c r="S1025" s="1352"/>
      <c r="T1025" s="1352">
        <f>+Tabla16[[#This Row],[CDPS A 31 JULIO 2022]]-Tabla16[[#This Row],[CDP]]</f>
        <v>0</v>
      </c>
      <c r="U1025" s="1352"/>
      <c r="V1025" s="1352"/>
      <c r="W1025" s="1352"/>
    </row>
    <row r="1026" spans="1:23" s="1317" customFormat="1" x14ac:dyDescent="0.2">
      <c r="A1026" s="1322"/>
      <c r="B1026" s="1339"/>
      <c r="C1026" s="1345"/>
      <c r="D1026" s="1334"/>
      <c r="E1026" s="1335"/>
      <c r="F1026" s="1335"/>
      <c r="G1026" s="1327"/>
      <c r="H1026" s="1327"/>
      <c r="I1026" s="1323"/>
      <c r="J1026" s="1323"/>
      <c r="K1026" s="1324"/>
      <c r="L1026" s="1325"/>
      <c r="M1026" s="1336"/>
      <c r="N1026" s="1338"/>
      <c r="O1026" s="1335"/>
      <c r="P1026" s="1316"/>
      <c r="R1026" s="1352"/>
      <c r="S1026" s="1352"/>
      <c r="T1026" s="1352">
        <f>+Tabla16[[#This Row],[CDPS A 31 JULIO 2022]]-Tabla16[[#This Row],[CDP]]</f>
        <v>0</v>
      </c>
      <c r="U1026" s="1352"/>
      <c r="V1026" s="1352"/>
      <c r="W1026" s="1352"/>
    </row>
    <row r="1027" spans="1:23" s="1317" customFormat="1" x14ac:dyDescent="0.2">
      <c r="A1027" s="1322"/>
      <c r="B1027" s="1339"/>
      <c r="C1027" s="1345"/>
      <c r="D1027" s="1334"/>
      <c r="E1027" s="1335"/>
      <c r="F1027" s="1335"/>
      <c r="G1027" s="1327"/>
      <c r="H1027" s="1327"/>
      <c r="I1027" s="1323"/>
      <c r="J1027" s="1323"/>
      <c r="K1027" s="1324"/>
      <c r="L1027" s="1325"/>
      <c r="M1027" s="1336"/>
      <c r="N1027" s="1338"/>
      <c r="O1027" s="1335"/>
      <c r="P1027" s="1316"/>
      <c r="R1027" s="1352"/>
      <c r="S1027" s="1352"/>
      <c r="T1027" s="1352">
        <f>+Tabla16[[#This Row],[CDPS A 31 JULIO 2022]]-Tabla16[[#This Row],[CDP]]</f>
        <v>0</v>
      </c>
      <c r="U1027" s="1352"/>
      <c r="V1027" s="1352"/>
      <c r="W1027" s="1352"/>
    </row>
    <row r="1028" spans="1:23" s="1317" customFormat="1" x14ac:dyDescent="0.2">
      <c r="A1028" s="1322"/>
      <c r="B1028" s="1339"/>
      <c r="C1028" s="1345"/>
      <c r="D1028" s="1334"/>
      <c r="E1028" s="1335"/>
      <c r="F1028" s="1335"/>
      <c r="G1028" s="1327"/>
      <c r="H1028" s="1327"/>
      <c r="I1028" s="1323"/>
      <c r="J1028" s="1323"/>
      <c r="K1028" s="1324"/>
      <c r="L1028" s="1325"/>
      <c r="M1028" s="1336"/>
      <c r="N1028" s="1338"/>
      <c r="O1028" s="1335"/>
      <c r="P1028" s="1316"/>
      <c r="R1028" s="1352"/>
      <c r="S1028" s="1352"/>
      <c r="T1028" s="1352">
        <f>+Tabla16[[#This Row],[CDPS A 31 JULIO 2022]]-Tabla16[[#This Row],[CDP]]</f>
        <v>0</v>
      </c>
      <c r="U1028" s="1352"/>
      <c r="V1028" s="1352"/>
      <c r="W1028" s="1352"/>
    </row>
    <row r="1029" spans="1:23" s="1317" customFormat="1" x14ac:dyDescent="0.2">
      <c r="A1029" s="1322"/>
      <c r="B1029" s="1339"/>
      <c r="C1029" s="1345"/>
      <c r="D1029" s="1334"/>
      <c r="E1029" s="1335"/>
      <c r="F1029" s="1335"/>
      <c r="G1029" s="1327"/>
      <c r="H1029" s="1327"/>
      <c r="I1029" s="1323"/>
      <c r="J1029" s="1323"/>
      <c r="K1029" s="1324"/>
      <c r="L1029" s="1325"/>
      <c r="M1029" s="1336"/>
      <c r="N1029" s="1338"/>
      <c r="O1029" s="1335"/>
      <c r="P1029" s="1316"/>
      <c r="R1029" s="1352"/>
      <c r="S1029" s="1352"/>
      <c r="T1029" s="1352">
        <f>+Tabla16[[#This Row],[CDPS A 31 JULIO 2022]]-Tabla16[[#This Row],[CDP]]</f>
        <v>0</v>
      </c>
      <c r="U1029" s="1352"/>
      <c r="V1029" s="1352"/>
      <c r="W1029" s="1352"/>
    </row>
    <row r="1030" spans="1:23" s="1317" customFormat="1" x14ac:dyDescent="0.2">
      <c r="A1030" s="1322"/>
      <c r="B1030" s="1339"/>
      <c r="C1030" s="1345"/>
      <c r="D1030" s="1334"/>
      <c r="E1030" s="1335"/>
      <c r="F1030" s="1335"/>
      <c r="G1030" s="1327"/>
      <c r="H1030" s="1327"/>
      <c r="I1030" s="1323"/>
      <c r="J1030" s="1323"/>
      <c r="K1030" s="1324"/>
      <c r="L1030" s="1325"/>
      <c r="M1030" s="1336"/>
      <c r="N1030" s="1338"/>
      <c r="O1030" s="1335"/>
      <c r="P1030" s="1316"/>
      <c r="R1030" s="1352"/>
      <c r="S1030" s="1352"/>
      <c r="T1030" s="1352">
        <f>+Tabla16[[#This Row],[CDPS A 31 JULIO 2022]]-Tabla16[[#This Row],[CDP]]</f>
        <v>0</v>
      </c>
      <c r="U1030" s="1352"/>
      <c r="V1030" s="1352"/>
      <c r="W1030" s="1352"/>
    </row>
    <row r="1031" spans="1:23" s="1317" customFormat="1" x14ac:dyDescent="0.2">
      <c r="A1031" s="1322"/>
      <c r="B1031" s="1339"/>
      <c r="C1031" s="1345"/>
      <c r="D1031" s="1334"/>
      <c r="E1031" s="1335"/>
      <c r="F1031" s="1335"/>
      <c r="G1031" s="1327"/>
      <c r="H1031" s="1327"/>
      <c r="I1031" s="1323"/>
      <c r="J1031" s="1323"/>
      <c r="K1031" s="1324"/>
      <c r="L1031" s="1325"/>
      <c r="M1031" s="1336"/>
      <c r="N1031" s="1338"/>
      <c r="O1031" s="1335"/>
      <c r="P1031" s="1316"/>
      <c r="R1031" s="1352"/>
      <c r="S1031" s="1352"/>
      <c r="T1031" s="1352">
        <f>+Tabla16[[#This Row],[CDPS A 31 JULIO 2022]]-Tabla16[[#This Row],[CDP]]</f>
        <v>0</v>
      </c>
      <c r="U1031" s="1352"/>
      <c r="V1031" s="1352"/>
      <c r="W1031" s="1352"/>
    </row>
    <row r="1032" spans="1:23" s="1317" customFormat="1" x14ac:dyDescent="0.2">
      <c r="A1032" s="1322"/>
      <c r="B1032" s="1339"/>
      <c r="C1032" s="1345"/>
      <c r="D1032" s="1334"/>
      <c r="E1032" s="1335"/>
      <c r="F1032" s="1335"/>
      <c r="G1032" s="1327"/>
      <c r="H1032" s="1327"/>
      <c r="I1032" s="1323"/>
      <c r="J1032" s="1323"/>
      <c r="K1032" s="1324"/>
      <c r="L1032" s="1325"/>
      <c r="M1032" s="1336"/>
      <c r="N1032" s="1338"/>
      <c r="O1032" s="1335"/>
      <c r="P1032" s="1316"/>
      <c r="R1032" s="1352"/>
      <c r="S1032" s="1352"/>
      <c r="T1032" s="1352">
        <f>+Tabla16[[#This Row],[CDPS A 31 JULIO 2022]]-Tabla16[[#This Row],[CDP]]</f>
        <v>0</v>
      </c>
      <c r="U1032" s="1352"/>
      <c r="V1032" s="1352"/>
      <c r="W1032" s="1352"/>
    </row>
    <row r="1033" spans="1:23" s="1317" customFormat="1" x14ac:dyDescent="0.2">
      <c r="A1033" s="1322"/>
      <c r="B1033" s="1339"/>
      <c r="C1033" s="1345"/>
      <c r="D1033" s="1334"/>
      <c r="E1033" s="1335"/>
      <c r="F1033" s="1335"/>
      <c r="G1033" s="1327"/>
      <c r="H1033" s="1327"/>
      <c r="I1033" s="1323"/>
      <c r="J1033" s="1323"/>
      <c r="K1033" s="1324"/>
      <c r="L1033" s="1325"/>
      <c r="M1033" s="1336"/>
      <c r="N1033" s="1338"/>
      <c r="O1033" s="1335"/>
      <c r="P1033" s="1316"/>
      <c r="R1033" s="1352"/>
      <c r="S1033" s="1352"/>
      <c r="T1033" s="1352">
        <f>+Tabla16[[#This Row],[CDPS A 31 JULIO 2022]]-Tabla16[[#This Row],[CDP]]</f>
        <v>0</v>
      </c>
      <c r="U1033" s="1352"/>
      <c r="V1033" s="1352"/>
      <c r="W1033" s="1352"/>
    </row>
    <row r="1034" spans="1:23" s="1317" customFormat="1" x14ac:dyDescent="0.2">
      <c r="A1034" s="1322"/>
      <c r="B1034" s="1339"/>
      <c r="C1034" s="1345"/>
      <c r="D1034" s="1334"/>
      <c r="E1034" s="1335"/>
      <c r="F1034" s="1335"/>
      <c r="G1034" s="1327"/>
      <c r="H1034" s="1327"/>
      <c r="I1034" s="1323"/>
      <c r="J1034" s="1323"/>
      <c r="K1034" s="1324"/>
      <c r="L1034" s="1325"/>
      <c r="M1034" s="1336"/>
      <c r="N1034" s="1338"/>
      <c r="O1034" s="1335"/>
      <c r="P1034" s="1316"/>
      <c r="R1034" s="1352"/>
      <c r="S1034" s="1352"/>
      <c r="T1034" s="1352">
        <f>+Tabla16[[#This Row],[CDPS A 31 JULIO 2022]]-Tabla16[[#This Row],[CDP]]</f>
        <v>0</v>
      </c>
      <c r="U1034" s="1352"/>
      <c r="V1034" s="1352"/>
      <c r="W1034" s="1352"/>
    </row>
    <row r="1035" spans="1:23" s="1317" customFormat="1" x14ac:dyDescent="0.2">
      <c r="A1035" s="1322"/>
      <c r="B1035" s="1339"/>
      <c r="C1035" s="1345"/>
      <c r="D1035" s="1334"/>
      <c r="E1035" s="1335"/>
      <c r="F1035" s="1335"/>
      <c r="G1035" s="1327"/>
      <c r="H1035" s="1327"/>
      <c r="I1035" s="1323"/>
      <c r="J1035" s="1323"/>
      <c r="K1035" s="1324"/>
      <c r="L1035" s="1325"/>
      <c r="M1035" s="1336"/>
      <c r="N1035" s="1338"/>
      <c r="O1035" s="1335"/>
      <c r="P1035" s="1316"/>
      <c r="R1035" s="1352"/>
      <c r="S1035" s="1352"/>
      <c r="T1035" s="1352">
        <f>+Tabla16[[#This Row],[CDPS A 31 JULIO 2022]]-Tabla16[[#This Row],[CDP]]</f>
        <v>0</v>
      </c>
      <c r="U1035" s="1352"/>
      <c r="V1035" s="1352"/>
      <c r="W1035" s="1352"/>
    </row>
    <row r="1036" spans="1:23" s="1317" customFormat="1" x14ac:dyDescent="0.2">
      <c r="A1036" s="1322"/>
      <c r="B1036" s="1339"/>
      <c r="C1036" s="1345"/>
      <c r="D1036" s="1334"/>
      <c r="E1036" s="1335"/>
      <c r="F1036" s="1335"/>
      <c r="G1036" s="1327"/>
      <c r="H1036" s="1327"/>
      <c r="I1036" s="1323"/>
      <c r="J1036" s="1323"/>
      <c r="K1036" s="1324"/>
      <c r="L1036" s="1325"/>
      <c r="M1036" s="1336"/>
      <c r="N1036" s="1338"/>
      <c r="O1036" s="1335"/>
      <c r="P1036" s="1316"/>
      <c r="R1036" s="1352"/>
      <c r="S1036" s="1352"/>
      <c r="T1036" s="1352">
        <f>+Tabla16[[#This Row],[CDPS A 31 JULIO 2022]]-Tabla16[[#This Row],[CDP]]</f>
        <v>0</v>
      </c>
      <c r="U1036" s="1352"/>
      <c r="V1036" s="1352"/>
      <c r="W1036" s="1352"/>
    </row>
    <row r="1037" spans="1:23" s="1317" customFormat="1" x14ac:dyDescent="0.2">
      <c r="A1037" s="1322"/>
      <c r="B1037" s="1339"/>
      <c r="C1037" s="1345"/>
      <c r="D1037" s="1334"/>
      <c r="E1037" s="1335"/>
      <c r="F1037" s="1335"/>
      <c r="G1037" s="1327"/>
      <c r="H1037" s="1327"/>
      <c r="I1037" s="1323"/>
      <c r="J1037" s="1323"/>
      <c r="K1037" s="1324"/>
      <c r="L1037" s="1325"/>
      <c r="M1037" s="1336"/>
      <c r="N1037" s="1338"/>
      <c r="O1037" s="1335"/>
      <c r="P1037" s="1316"/>
      <c r="R1037" s="1352"/>
      <c r="S1037" s="1352"/>
      <c r="T1037" s="1352">
        <f>+Tabla16[[#This Row],[CDPS A 31 JULIO 2022]]-Tabla16[[#This Row],[CDP]]</f>
        <v>0</v>
      </c>
      <c r="U1037" s="1352"/>
      <c r="V1037" s="1352"/>
      <c r="W1037" s="1352"/>
    </row>
    <row r="1038" spans="1:23" s="1317" customFormat="1" x14ac:dyDescent="0.2">
      <c r="A1038" s="1322"/>
      <c r="B1038" s="1339"/>
      <c r="C1038" s="1345"/>
      <c r="D1038" s="1334"/>
      <c r="E1038" s="1335"/>
      <c r="F1038" s="1335"/>
      <c r="G1038" s="1327"/>
      <c r="H1038" s="1327"/>
      <c r="I1038" s="1323"/>
      <c r="J1038" s="1323"/>
      <c r="K1038" s="1324"/>
      <c r="L1038" s="1325"/>
      <c r="M1038" s="1336"/>
      <c r="N1038" s="1338"/>
      <c r="O1038" s="1335"/>
      <c r="P1038" s="1316"/>
      <c r="R1038" s="1352"/>
      <c r="S1038" s="1352"/>
      <c r="T1038" s="1352">
        <f>+Tabla16[[#This Row],[CDPS A 31 JULIO 2022]]-Tabla16[[#This Row],[CDP]]</f>
        <v>0</v>
      </c>
      <c r="U1038" s="1352"/>
      <c r="V1038" s="1352"/>
      <c r="W1038" s="1352"/>
    </row>
    <row r="1039" spans="1:23" s="1317" customFormat="1" x14ac:dyDescent="0.2">
      <c r="A1039" s="1322"/>
      <c r="B1039" s="1339"/>
      <c r="C1039" s="1345"/>
      <c r="D1039" s="1334"/>
      <c r="E1039" s="1335"/>
      <c r="F1039" s="1335"/>
      <c r="G1039" s="1327"/>
      <c r="H1039" s="1327"/>
      <c r="I1039" s="1323"/>
      <c r="J1039" s="1323"/>
      <c r="K1039" s="1324"/>
      <c r="L1039" s="1325"/>
      <c r="M1039" s="1336"/>
      <c r="N1039" s="1338"/>
      <c r="O1039" s="1335"/>
      <c r="P1039" s="1316"/>
      <c r="R1039" s="1352"/>
      <c r="S1039" s="1352"/>
      <c r="T1039" s="1352">
        <f>+Tabla16[[#This Row],[CDPS A 31 JULIO 2022]]-Tabla16[[#This Row],[CDP]]</f>
        <v>0</v>
      </c>
      <c r="U1039" s="1352"/>
      <c r="V1039" s="1352"/>
      <c r="W1039" s="1352"/>
    </row>
    <row r="1040" spans="1:23" s="1317" customFormat="1" x14ac:dyDescent="0.2">
      <c r="A1040" s="1322"/>
      <c r="B1040" s="1339"/>
      <c r="C1040" s="1345"/>
      <c r="D1040" s="1334"/>
      <c r="E1040" s="1335"/>
      <c r="F1040" s="1335"/>
      <c r="G1040" s="1327"/>
      <c r="H1040" s="1327"/>
      <c r="I1040" s="1323"/>
      <c r="J1040" s="1323"/>
      <c r="K1040" s="1324"/>
      <c r="L1040" s="1325"/>
      <c r="M1040" s="1336"/>
      <c r="N1040" s="1338"/>
      <c r="O1040" s="1335"/>
      <c r="P1040" s="1316"/>
      <c r="R1040" s="1352"/>
      <c r="S1040" s="1352"/>
      <c r="T1040" s="1352">
        <f>+Tabla16[[#This Row],[CDPS A 31 JULIO 2022]]-Tabla16[[#This Row],[CDP]]</f>
        <v>0</v>
      </c>
      <c r="U1040" s="1352"/>
      <c r="V1040" s="1352"/>
      <c r="W1040" s="1352"/>
    </row>
    <row r="1041" spans="1:23" s="1317" customFormat="1" x14ac:dyDescent="0.2">
      <c r="A1041" s="1322"/>
      <c r="B1041" s="1339"/>
      <c r="C1041" s="1345"/>
      <c r="D1041" s="1334"/>
      <c r="E1041" s="1335"/>
      <c r="F1041" s="1335"/>
      <c r="G1041" s="1327"/>
      <c r="H1041" s="1327"/>
      <c r="I1041" s="1323"/>
      <c r="J1041" s="1323"/>
      <c r="K1041" s="1324"/>
      <c r="L1041" s="1325"/>
      <c r="M1041" s="1336"/>
      <c r="N1041" s="1338"/>
      <c r="O1041" s="1335"/>
      <c r="P1041" s="1316"/>
      <c r="R1041" s="1352"/>
      <c r="S1041" s="1352"/>
      <c r="T1041" s="1352">
        <f>+Tabla16[[#This Row],[CDPS A 31 JULIO 2022]]-Tabla16[[#This Row],[CDP]]</f>
        <v>0</v>
      </c>
      <c r="U1041" s="1352"/>
      <c r="V1041" s="1352"/>
      <c r="W1041" s="1352"/>
    </row>
    <row r="1042" spans="1:23" s="1317" customFormat="1" x14ac:dyDescent="0.2">
      <c r="A1042" s="1322"/>
      <c r="B1042" s="1339"/>
      <c r="C1042" s="1345"/>
      <c r="D1042" s="1334"/>
      <c r="E1042" s="1335"/>
      <c r="F1042" s="1335"/>
      <c r="G1042" s="1327"/>
      <c r="H1042" s="1327"/>
      <c r="I1042" s="1323"/>
      <c r="J1042" s="1323"/>
      <c r="K1042" s="1324"/>
      <c r="L1042" s="1325"/>
      <c r="M1042" s="1336"/>
      <c r="N1042" s="1338"/>
      <c r="O1042" s="1335"/>
      <c r="P1042" s="1316"/>
      <c r="R1042" s="1352"/>
      <c r="S1042" s="1352"/>
      <c r="T1042" s="1352">
        <f>+Tabla16[[#This Row],[CDPS A 31 JULIO 2022]]-Tabla16[[#This Row],[CDP]]</f>
        <v>0</v>
      </c>
      <c r="U1042" s="1352"/>
      <c r="V1042" s="1352"/>
      <c r="W1042" s="1352"/>
    </row>
    <row r="1043" spans="1:23" s="1317" customFormat="1" x14ac:dyDescent="0.2">
      <c r="A1043" s="1322"/>
      <c r="B1043" s="1339"/>
      <c r="C1043" s="1345"/>
      <c r="D1043" s="1334"/>
      <c r="E1043" s="1335"/>
      <c r="F1043" s="1335"/>
      <c r="G1043" s="1327"/>
      <c r="H1043" s="1327"/>
      <c r="I1043" s="1323"/>
      <c r="J1043" s="1323"/>
      <c r="K1043" s="1324"/>
      <c r="L1043" s="1325"/>
      <c r="M1043" s="1336"/>
      <c r="N1043" s="1338"/>
      <c r="O1043" s="1335"/>
      <c r="P1043" s="1316"/>
      <c r="R1043" s="1352"/>
      <c r="S1043" s="1352"/>
      <c r="T1043" s="1352">
        <f>+Tabla16[[#This Row],[CDPS A 31 JULIO 2022]]-Tabla16[[#This Row],[CDP]]</f>
        <v>0</v>
      </c>
      <c r="U1043" s="1352"/>
      <c r="V1043" s="1352"/>
      <c r="W1043" s="1352"/>
    </row>
    <row r="1044" spans="1:23" s="1317" customFormat="1" x14ac:dyDescent="0.2">
      <c r="A1044" s="1322"/>
      <c r="B1044" s="1339"/>
      <c r="C1044" s="1345"/>
      <c r="D1044" s="1334"/>
      <c r="E1044" s="1335"/>
      <c r="F1044" s="1335"/>
      <c r="G1044" s="1327"/>
      <c r="H1044" s="1327"/>
      <c r="I1044" s="1323"/>
      <c r="J1044" s="1323"/>
      <c r="K1044" s="1324"/>
      <c r="L1044" s="1325"/>
      <c r="M1044" s="1336"/>
      <c r="N1044" s="1338"/>
      <c r="O1044" s="1335"/>
      <c r="P1044" s="1316"/>
      <c r="R1044" s="1352"/>
      <c r="S1044" s="1352"/>
      <c r="T1044" s="1352">
        <f>+Tabla16[[#This Row],[CDPS A 31 JULIO 2022]]-Tabla16[[#This Row],[CDP]]</f>
        <v>0</v>
      </c>
      <c r="U1044" s="1352"/>
      <c r="V1044" s="1352"/>
      <c r="W1044" s="1352"/>
    </row>
    <row r="1045" spans="1:23" s="1317" customFormat="1" x14ac:dyDescent="0.2">
      <c r="A1045" s="1322"/>
      <c r="B1045" s="1339"/>
      <c r="C1045" s="1345"/>
      <c r="D1045" s="1334"/>
      <c r="E1045" s="1335"/>
      <c r="F1045" s="1335"/>
      <c r="G1045" s="1327"/>
      <c r="H1045" s="1327"/>
      <c r="I1045" s="1323"/>
      <c r="J1045" s="1323"/>
      <c r="K1045" s="1324"/>
      <c r="L1045" s="1325"/>
      <c r="M1045" s="1336"/>
      <c r="N1045" s="1338"/>
      <c r="O1045" s="1335"/>
      <c r="P1045" s="1316"/>
      <c r="R1045" s="1352"/>
      <c r="S1045" s="1352"/>
      <c r="T1045" s="1352">
        <f>+Tabla16[[#This Row],[CDPS A 31 JULIO 2022]]-Tabla16[[#This Row],[CDP]]</f>
        <v>0</v>
      </c>
      <c r="U1045" s="1352"/>
      <c r="V1045" s="1352"/>
      <c r="W1045" s="1352"/>
    </row>
    <row r="1046" spans="1:23" s="1317" customFormat="1" x14ac:dyDescent="0.2">
      <c r="A1046" s="1322"/>
      <c r="B1046" s="1339"/>
      <c r="C1046" s="1345"/>
      <c r="D1046" s="1334"/>
      <c r="E1046" s="1335"/>
      <c r="F1046" s="1335"/>
      <c r="G1046" s="1327"/>
      <c r="H1046" s="1327"/>
      <c r="I1046" s="1323"/>
      <c r="J1046" s="1323"/>
      <c r="K1046" s="1324"/>
      <c r="L1046" s="1325"/>
      <c r="M1046" s="1336"/>
      <c r="N1046" s="1338"/>
      <c r="O1046" s="1335"/>
      <c r="P1046" s="1316"/>
      <c r="R1046" s="1352"/>
      <c r="S1046" s="1352"/>
      <c r="T1046" s="1352">
        <f>+Tabla16[[#This Row],[CDPS A 31 JULIO 2022]]-Tabla16[[#This Row],[CDP]]</f>
        <v>0</v>
      </c>
      <c r="U1046" s="1352"/>
      <c r="V1046" s="1352"/>
      <c r="W1046" s="1352"/>
    </row>
    <row r="1047" spans="1:23" s="1317" customFormat="1" x14ac:dyDescent="0.2">
      <c r="A1047" s="1322"/>
      <c r="B1047" s="1339"/>
      <c r="C1047" s="1345"/>
      <c r="D1047" s="1334"/>
      <c r="E1047" s="1335"/>
      <c r="F1047" s="1335"/>
      <c r="G1047" s="1327"/>
      <c r="H1047" s="1327"/>
      <c r="I1047" s="1323"/>
      <c r="J1047" s="1323"/>
      <c r="K1047" s="1324"/>
      <c r="L1047" s="1325"/>
      <c r="M1047" s="1336"/>
      <c r="N1047" s="1338"/>
      <c r="O1047" s="1335"/>
      <c r="P1047" s="1316"/>
      <c r="R1047" s="1352"/>
      <c r="S1047" s="1352"/>
      <c r="T1047" s="1352">
        <f>+Tabla16[[#This Row],[CDPS A 31 JULIO 2022]]-Tabla16[[#This Row],[CDP]]</f>
        <v>0</v>
      </c>
      <c r="U1047" s="1352"/>
      <c r="V1047" s="1352"/>
      <c r="W1047" s="1352"/>
    </row>
    <row r="1048" spans="1:23" s="1317" customFormat="1" x14ac:dyDescent="0.2">
      <c r="A1048" s="1322"/>
      <c r="B1048" s="1339"/>
      <c r="C1048" s="1345"/>
      <c r="D1048" s="1334"/>
      <c r="E1048" s="1335"/>
      <c r="F1048" s="1335"/>
      <c r="G1048" s="1327"/>
      <c r="H1048" s="1327"/>
      <c r="I1048" s="1323"/>
      <c r="J1048" s="1323"/>
      <c r="K1048" s="1324"/>
      <c r="L1048" s="1325"/>
      <c r="M1048" s="1336"/>
      <c r="N1048" s="1338"/>
      <c r="O1048" s="1335"/>
      <c r="P1048" s="1316"/>
      <c r="R1048" s="1352"/>
      <c r="S1048" s="1352"/>
      <c r="T1048" s="1352">
        <f>+Tabla16[[#This Row],[CDPS A 31 JULIO 2022]]-Tabla16[[#This Row],[CDP]]</f>
        <v>0</v>
      </c>
      <c r="U1048" s="1352"/>
      <c r="V1048" s="1352"/>
      <c r="W1048" s="1352"/>
    </row>
    <row r="1049" spans="1:23" s="1317" customFormat="1" x14ac:dyDescent="0.2">
      <c r="A1049" s="1322"/>
      <c r="B1049" s="1339"/>
      <c r="C1049" s="1345"/>
      <c r="D1049" s="1334"/>
      <c r="E1049" s="1335"/>
      <c r="F1049" s="1335"/>
      <c r="G1049" s="1327"/>
      <c r="H1049" s="1327"/>
      <c r="I1049" s="1323"/>
      <c r="J1049" s="1323"/>
      <c r="K1049" s="1324"/>
      <c r="L1049" s="1325"/>
      <c r="M1049" s="1336"/>
      <c r="N1049" s="1338"/>
      <c r="O1049" s="1335"/>
      <c r="P1049" s="1316"/>
      <c r="R1049" s="1352"/>
      <c r="S1049" s="1352"/>
      <c r="T1049" s="1352">
        <f>+Tabla16[[#This Row],[CDPS A 31 JULIO 2022]]-Tabla16[[#This Row],[CDP]]</f>
        <v>0</v>
      </c>
      <c r="U1049" s="1352"/>
      <c r="V1049" s="1352"/>
      <c r="W1049" s="1352"/>
    </row>
    <row r="1050" spans="1:23" s="1317" customFormat="1" x14ac:dyDescent="0.2">
      <c r="A1050" s="1322"/>
      <c r="B1050" s="1339"/>
      <c r="C1050" s="1345"/>
      <c r="D1050" s="1334"/>
      <c r="E1050" s="1335"/>
      <c r="F1050" s="1335"/>
      <c r="G1050" s="1327"/>
      <c r="H1050" s="1327"/>
      <c r="I1050" s="1323"/>
      <c r="J1050" s="1323"/>
      <c r="K1050" s="1324"/>
      <c r="L1050" s="1325"/>
      <c r="M1050" s="1336"/>
      <c r="N1050" s="1338"/>
      <c r="O1050" s="1335"/>
      <c r="P1050" s="1316"/>
      <c r="R1050" s="1352"/>
      <c r="S1050" s="1352"/>
      <c r="T1050" s="1352">
        <f>+Tabla16[[#This Row],[CDPS A 31 JULIO 2022]]-Tabla16[[#This Row],[CDP]]</f>
        <v>0</v>
      </c>
      <c r="U1050" s="1352"/>
      <c r="V1050" s="1352"/>
      <c r="W1050" s="1352"/>
    </row>
    <row r="1051" spans="1:23" s="1317" customFormat="1" x14ac:dyDescent="0.2">
      <c r="A1051" s="1322"/>
      <c r="B1051" s="1339"/>
      <c r="C1051" s="1345"/>
      <c r="D1051" s="1334"/>
      <c r="E1051" s="1335"/>
      <c r="F1051" s="1335"/>
      <c r="G1051" s="1327"/>
      <c r="H1051" s="1327"/>
      <c r="I1051" s="1323"/>
      <c r="J1051" s="1323"/>
      <c r="K1051" s="1324"/>
      <c r="L1051" s="1325"/>
      <c r="M1051" s="1336"/>
      <c r="N1051" s="1338"/>
      <c r="O1051" s="1335"/>
      <c r="P1051" s="1316"/>
      <c r="R1051" s="1352"/>
      <c r="S1051" s="1352"/>
      <c r="T1051" s="1352">
        <f>+Tabla16[[#This Row],[CDPS A 31 JULIO 2022]]-Tabla16[[#This Row],[CDP]]</f>
        <v>0</v>
      </c>
      <c r="U1051" s="1352"/>
      <c r="V1051" s="1352"/>
      <c r="W1051" s="1352"/>
    </row>
    <row r="1052" spans="1:23" s="1317" customFormat="1" x14ac:dyDescent="0.2">
      <c r="A1052" s="1322"/>
      <c r="B1052" s="1339"/>
      <c r="C1052" s="1345"/>
      <c r="D1052" s="1334"/>
      <c r="E1052" s="1335"/>
      <c r="F1052" s="1335"/>
      <c r="G1052" s="1327"/>
      <c r="H1052" s="1327"/>
      <c r="I1052" s="1323"/>
      <c r="J1052" s="1323"/>
      <c r="K1052" s="1324"/>
      <c r="L1052" s="1325"/>
      <c r="M1052" s="1336"/>
      <c r="N1052" s="1338"/>
      <c r="O1052" s="1335"/>
      <c r="P1052" s="1316"/>
      <c r="R1052" s="1352"/>
      <c r="S1052" s="1352"/>
      <c r="T1052" s="1352">
        <f>+Tabla16[[#This Row],[CDPS A 31 JULIO 2022]]-Tabla16[[#This Row],[CDP]]</f>
        <v>0</v>
      </c>
      <c r="U1052" s="1352"/>
      <c r="V1052" s="1352"/>
      <c r="W1052" s="1352"/>
    </row>
    <row r="1053" spans="1:23" s="1317" customFormat="1" x14ac:dyDescent="0.2">
      <c r="A1053" s="1322"/>
      <c r="B1053" s="1339"/>
      <c r="C1053" s="1345"/>
      <c r="D1053" s="1334"/>
      <c r="E1053" s="1335"/>
      <c r="F1053" s="1335"/>
      <c r="G1053" s="1327"/>
      <c r="H1053" s="1327"/>
      <c r="I1053" s="1323"/>
      <c r="J1053" s="1323"/>
      <c r="K1053" s="1324"/>
      <c r="L1053" s="1325"/>
      <c r="M1053" s="1336"/>
      <c r="N1053" s="1338"/>
      <c r="O1053" s="1335"/>
      <c r="P1053" s="1316"/>
      <c r="R1053" s="1352"/>
      <c r="S1053" s="1352"/>
      <c r="T1053" s="1352">
        <f>+Tabla16[[#This Row],[CDPS A 31 JULIO 2022]]-Tabla16[[#This Row],[CDP]]</f>
        <v>0</v>
      </c>
      <c r="U1053" s="1352"/>
      <c r="V1053" s="1352"/>
      <c r="W1053" s="1352"/>
    </row>
    <row r="1054" spans="1:23" s="1317" customFormat="1" x14ac:dyDescent="0.2">
      <c r="A1054" s="1322"/>
      <c r="B1054" s="1339"/>
      <c r="C1054" s="1345"/>
      <c r="D1054" s="1334"/>
      <c r="E1054" s="1335"/>
      <c r="F1054" s="1335"/>
      <c r="G1054" s="1327"/>
      <c r="H1054" s="1327"/>
      <c r="I1054" s="1323"/>
      <c r="J1054" s="1323"/>
      <c r="K1054" s="1324"/>
      <c r="L1054" s="1325"/>
      <c r="M1054" s="1336"/>
      <c r="N1054" s="1338"/>
      <c r="O1054" s="1335"/>
      <c r="P1054" s="1316"/>
      <c r="R1054" s="1352"/>
      <c r="S1054" s="1352"/>
      <c r="T1054" s="1352">
        <f>+Tabla16[[#This Row],[CDPS A 31 JULIO 2022]]-Tabla16[[#This Row],[CDP]]</f>
        <v>0</v>
      </c>
      <c r="U1054" s="1352"/>
      <c r="V1054" s="1352"/>
      <c r="W1054" s="1352"/>
    </row>
    <row r="1055" spans="1:23" s="1317" customFormat="1" x14ac:dyDescent="0.2">
      <c r="A1055" s="1322"/>
      <c r="B1055" s="1339"/>
      <c r="C1055" s="1345"/>
      <c r="D1055" s="1334"/>
      <c r="E1055" s="1335"/>
      <c r="F1055" s="1335"/>
      <c r="G1055" s="1327"/>
      <c r="H1055" s="1327"/>
      <c r="I1055" s="1323"/>
      <c r="J1055" s="1323"/>
      <c r="K1055" s="1324"/>
      <c r="L1055" s="1325"/>
      <c r="M1055" s="1336"/>
      <c r="N1055" s="1338"/>
      <c r="O1055" s="1335"/>
      <c r="P1055" s="1316"/>
      <c r="R1055" s="1352"/>
      <c r="S1055" s="1352"/>
      <c r="T1055" s="1352">
        <f>+Tabla16[[#This Row],[CDPS A 31 JULIO 2022]]-Tabla16[[#This Row],[CDP]]</f>
        <v>0</v>
      </c>
      <c r="U1055" s="1352"/>
      <c r="V1055" s="1352"/>
      <c r="W1055" s="1352"/>
    </row>
    <row r="1056" spans="1:23" s="1317" customFormat="1" x14ac:dyDescent="0.2">
      <c r="A1056" s="1322"/>
      <c r="B1056" s="1339"/>
      <c r="C1056" s="1345"/>
      <c r="D1056" s="1334"/>
      <c r="E1056" s="1335"/>
      <c r="F1056" s="1335"/>
      <c r="G1056" s="1327"/>
      <c r="H1056" s="1327"/>
      <c r="I1056" s="1323"/>
      <c r="J1056" s="1323"/>
      <c r="K1056" s="1324"/>
      <c r="L1056" s="1325"/>
      <c r="M1056" s="1336"/>
      <c r="N1056" s="1338"/>
      <c r="O1056" s="1335"/>
      <c r="P1056" s="1316"/>
      <c r="R1056" s="1352"/>
      <c r="S1056" s="1352"/>
      <c r="T1056" s="1352">
        <f>+Tabla16[[#This Row],[CDPS A 31 JULIO 2022]]-Tabla16[[#This Row],[CDP]]</f>
        <v>0</v>
      </c>
      <c r="U1056" s="1352"/>
      <c r="V1056" s="1352"/>
      <c r="W1056" s="1352"/>
    </row>
    <row r="1057" spans="1:23" s="1317" customFormat="1" x14ac:dyDescent="0.2">
      <c r="A1057" s="1322"/>
      <c r="B1057" s="1339"/>
      <c r="C1057" s="1345"/>
      <c r="D1057" s="1334"/>
      <c r="E1057" s="1335"/>
      <c r="F1057" s="1335"/>
      <c r="G1057" s="1327"/>
      <c r="H1057" s="1327"/>
      <c r="I1057" s="1323"/>
      <c r="J1057" s="1323"/>
      <c r="K1057" s="1324"/>
      <c r="L1057" s="1325"/>
      <c r="M1057" s="1336"/>
      <c r="N1057" s="1338"/>
      <c r="O1057" s="1335"/>
      <c r="P1057" s="1316"/>
      <c r="R1057" s="1352"/>
      <c r="S1057" s="1352"/>
      <c r="T1057" s="1352">
        <f>+Tabla16[[#This Row],[CDPS A 31 JULIO 2022]]-Tabla16[[#This Row],[CDP]]</f>
        <v>0</v>
      </c>
      <c r="U1057" s="1352"/>
      <c r="V1057" s="1352"/>
      <c r="W1057" s="1352"/>
    </row>
    <row r="1058" spans="1:23" s="1317" customFormat="1" x14ac:dyDescent="0.2">
      <c r="A1058" s="1322"/>
      <c r="B1058" s="1339"/>
      <c r="C1058" s="1345"/>
      <c r="D1058" s="1334"/>
      <c r="E1058" s="1335"/>
      <c r="F1058" s="1335"/>
      <c r="G1058" s="1327"/>
      <c r="H1058" s="1327"/>
      <c r="I1058" s="1323"/>
      <c r="J1058" s="1323"/>
      <c r="K1058" s="1324"/>
      <c r="L1058" s="1325"/>
      <c r="M1058" s="1336"/>
      <c r="N1058" s="1338"/>
      <c r="O1058" s="1335"/>
      <c r="P1058" s="1316"/>
      <c r="R1058" s="1352"/>
      <c r="S1058" s="1352"/>
      <c r="T1058" s="1352">
        <f>+Tabla16[[#This Row],[CDPS A 31 JULIO 2022]]-Tabla16[[#This Row],[CDP]]</f>
        <v>0</v>
      </c>
      <c r="U1058" s="1352"/>
      <c r="V1058" s="1352"/>
      <c r="W1058" s="1352"/>
    </row>
    <row r="1059" spans="1:23" s="1317" customFormat="1" x14ac:dyDescent="0.2">
      <c r="A1059" s="1322"/>
      <c r="B1059" s="1339"/>
      <c r="C1059" s="1345"/>
      <c r="D1059" s="1334"/>
      <c r="E1059" s="1335"/>
      <c r="F1059" s="1335"/>
      <c r="G1059" s="1327"/>
      <c r="H1059" s="1327"/>
      <c r="I1059" s="1323"/>
      <c r="J1059" s="1323"/>
      <c r="K1059" s="1324"/>
      <c r="L1059" s="1325"/>
      <c r="M1059" s="1336"/>
      <c r="N1059" s="1338"/>
      <c r="O1059" s="1335"/>
      <c r="P1059" s="1316"/>
      <c r="R1059" s="1352"/>
      <c r="S1059" s="1352"/>
      <c r="T1059" s="1352">
        <f>+Tabla16[[#This Row],[CDPS A 31 JULIO 2022]]-Tabla16[[#This Row],[CDP]]</f>
        <v>0</v>
      </c>
      <c r="U1059" s="1352"/>
      <c r="V1059" s="1352"/>
      <c r="W1059" s="1352"/>
    </row>
    <row r="1060" spans="1:23" s="1317" customFormat="1" x14ac:dyDescent="0.2">
      <c r="A1060" s="1322"/>
      <c r="B1060" s="1339"/>
      <c r="C1060" s="1345"/>
      <c r="D1060" s="1334"/>
      <c r="E1060" s="1335"/>
      <c r="F1060" s="1335"/>
      <c r="G1060" s="1327"/>
      <c r="H1060" s="1327"/>
      <c r="I1060" s="1323"/>
      <c r="J1060" s="1323"/>
      <c r="K1060" s="1324"/>
      <c r="L1060" s="1325"/>
      <c r="M1060" s="1336"/>
      <c r="N1060" s="1338"/>
      <c r="O1060" s="1335"/>
      <c r="P1060" s="1316"/>
      <c r="R1060" s="1352"/>
      <c r="S1060" s="1352"/>
      <c r="T1060" s="1352">
        <f>+Tabla16[[#This Row],[CDPS A 31 JULIO 2022]]-Tabla16[[#This Row],[CDP]]</f>
        <v>0</v>
      </c>
      <c r="U1060" s="1352"/>
      <c r="V1060" s="1352"/>
      <c r="W1060" s="1352"/>
    </row>
    <row r="1061" spans="1:23" s="1317" customFormat="1" x14ac:dyDescent="0.2">
      <c r="A1061" s="1322"/>
      <c r="B1061" s="1339"/>
      <c r="C1061" s="1345"/>
      <c r="D1061" s="1334"/>
      <c r="E1061" s="1335"/>
      <c r="F1061" s="1335"/>
      <c r="G1061" s="1327"/>
      <c r="H1061" s="1327"/>
      <c r="I1061" s="1323"/>
      <c r="J1061" s="1323"/>
      <c r="K1061" s="1324"/>
      <c r="L1061" s="1325"/>
      <c r="M1061" s="1336"/>
      <c r="N1061" s="1338"/>
      <c r="O1061" s="1335"/>
      <c r="P1061" s="1316"/>
      <c r="R1061" s="1352"/>
      <c r="S1061" s="1352"/>
      <c r="T1061" s="1352">
        <f>+Tabla16[[#This Row],[CDPS A 31 JULIO 2022]]-Tabla16[[#This Row],[CDP]]</f>
        <v>0</v>
      </c>
      <c r="U1061" s="1352"/>
      <c r="V1061" s="1352"/>
      <c r="W1061" s="1352"/>
    </row>
    <row r="1062" spans="1:23" s="1317" customFormat="1" x14ac:dyDescent="0.2">
      <c r="A1062" s="1322"/>
      <c r="B1062" s="1339"/>
      <c r="C1062" s="1345"/>
      <c r="D1062" s="1334"/>
      <c r="E1062" s="1335"/>
      <c r="F1062" s="1335"/>
      <c r="G1062" s="1327"/>
      <c r="H1062" s="1327"/>
      <c r="I1062" s="1323"/>
      <c r="J1062" s="1323"/>
      <c r="K1062" s="1324"/>
      <c r="L1062" s="1325"/>
      <c r="M1062" s="1336"/>
      <c r="N1062" s="1338"/>
      <c r="O1062" s="1335"/>
      <c r="P1062" s="1316"/>
      <c r="R1062" s="1352"/>
      <c r="S1062" s="1352"/>
      <c r="T1062" s="1352">
        <f>+Tabla16[[#This Row],[CDPS A 31 JULIO 2022]]-Tabla16[[#This Row],[CDP]]</f>
        <v>0</v>
      </c>
      <c r="U1062" s="1352"/>
      <c r="V1062" s="1352"/>
      <c r="W1062" s="1352"/>
    </row>
    <row r="1063" spans="1:23" s="1317" customFormat="1" x14ac:dyDescent="0.2">
      <c r="A1063" s="1322"/>
      <c r="B1063" s="1339"/>
      <c r="C1063" s="1345"/>
      <c r="D1063" s="1334"/>
      <c r="E1063" s="1335"/>
      <c r="F1063" s="1335"/>
      <c r="G1063" s="1327"/>
      <c r="H1063" s="1327"/>
      <c r="I1063" s="1323"/>
      <c r="J1063" s="1323"/>
      <c r="K1063" s="1324"/>
      <c r="L1063" s="1325"/>
      <c r="M1063" s="1336"/>
      <c r="N1063" s="1338"/>
      <c r="O1063" s="1335"/>
      <c r="P1063" s="1316"/>
      <c r="R1063" s="1352"/>
      <c r="S1063" s="1352"/>
      <c r="T1063" s="1352">
        <f>+Tabla16[[#This Row],[CDPS A 31 JULIO 2022]]-Tabla16[[#This Row],[CDP]]</f>
        <v>0</v>
      </c>
      <c r="U1063" s="1352"/>
      <c r="V1063" s="1352"/>
      <c r="W1063" s="1352"/>
    </row>
    <row r="1064" spans="1:23" s="1317" customFormat="1" x14ac:dyDescent="0.2">
      <c r="A1064" s="1322"/>
      <c r="B1064" s="1339"/>
      <c r="C1064" s="1345"/>
      <c r="D1064" s="1334"/>
      <c r="E1064" s="1335"/>
      <c r="F1064" s="1335"/>
      <c r="G1064" s="1327"/>
      <c r="H1064" s="1327"/>
      <c r="I1064" s="1323"/>
      <c r="J1064" s="1323"/>
      <c r="K1064" s="1324"/>
      <c r="L1064" s="1325"/>
      <c r="M1064" s="1336"/>
      <c r="N1064" s="1338"/>
      <c r="O1064" s="1335"/>
      <c r="P1064" s="1316"/>
      <c r="R1064" s="1352"/>
      <c r="S1064" s="1352"/>
      <c r="T1064" s="1352">
        <f>+Tabla16[[#This Row],[CDPS A 31 JULIO 2022]]-Tabla16[[#This Row],[CDP]]</f>
        <v>0</v>
      </c>
      <c r="U1064" s="1352"/>
      <c r="V1064" s="1352"/>
      <c r="W1064" s="1352"/>
    </row>
    <row r="1065" spans="1:23" s="1317" customFormat="1" x14ac:dyDescent="0.2">
      <c r="A1065" s="1322"/>
      <c r="B1065" s="1339"/>
      <c r="C1065" s="1345"/>
      <c r="D1065" s="1334"/>
      <c r="E1065" s="1335"/>
      <c r="F1065" s="1335"/>
      <c r="G1065" s="1327"/>
      <c r="H1065" s="1327"/>
      <c r="I1065" s="1323"/>
      <c r="J1065" s="1323"/>
      <c r="K1065" s="1324"/>
      <c r="L1065" s="1325"/>
      <c r="M1065" s="1336"/>
      <c r="N1065" s="1338"/>
      <c r="O1065" s="1335"/>
      <c r="P1065" s="1316"/>
      <c r="R1065" s="1352"/>
      <c r="S1065" s="1352"/>
      <c r="T1065" s="1352">
        <f>+Tabla16[[#This Row],[CDPS A 31 JULIO 2022]]-Tabla16[[#This Row],[CDP]]</f>
        <v>0</v>
      </c>
      <c r="U1065" s="1352"/>
      <c r="V1065" s="1352"/>
      <c r="W1065" s="1352"/>
    </row>
    <row r="1066" spans="1:23" s="1317" customFormat="1" x14ac:dyDescent="0.2">
      <c r="A1066" s="1322"/>
      <c r="B1066" s="1339"/>
      <c r="C1066" s="1345"/>
      <c r="D1066" s="1334"/>
      <c r="E1066" s="1335"/>
      <c r="F1066" s="1335"/>
      <c r="G1066" s="1327"/>
      <c r="H1066" s="1327"/>
      <c r="I1066" s="1323"/>
      <c r="J1066" s="1323"/>
      <c r="K1066" s="1324"/>
      <c r="L1066" s="1325"/>
      <c r="M1066" s="1336"/>
      <c r="N1066" s="1338"/>
      <c r="O1066" s="1335"/>
      <c r="P1066" s="1316"/>
      <c r="R1066" s="1352"/>
      <c r="S1066" s="1352"/>
      <c r="T1066" s="1352">
        <f>+Tabla16[[#This Row],[CDPS A 31 JULIO 2022]]-Tabla16[[#This Row],[CDP]]</f>
        <v>0</v>
      </c>
      <c r="U1066" s="1352"/>
      <c r="V1066" s="1352"/>
      <c r="W1066" s="1352"/>
    </row>
    <row r="1067" spans="1:23" s="1317" customFormat="1" x14ac:dyDescent="0.2">
      <c r="A1067" s="1322"/>
      <c r="B1067" s="1339"/>
      <c r="C1067" s="1345"/>
      <c r="D1067" s="1334"/>
      <c r="E1067" s="1335"/>
      <c r="F1067" s="1335"/>
      <c r="G1067" s="1327"/>
      <c r="H1067" s="1327"/>
      <c r="I1067" s="1323"/>
      <c r="J1067" s="1323"/>
      <c r="K1067" s="1324"/>
      <c r="L1067" s="1325"/>
      <c r="M1067" s="1336"/>
      <c r="N1067" s="1338"/>
      <c r="O1067" s="1335"/>
      <c r="P1067" s="1316"/>
      <c r="R1067" s="1352"/>
      <c r="S1067" s="1352"/>
      <c r="T1067" s="1352">
        <f>+Tabla16[[#This Row],[CDPS A 31 JULIO 2022]]-Tabla16[[#This Row],[CDP]]</f>
        <v>0</v>
      </c>
      <c r="U1067" s="1352"/>
      <c r="V1067" s="1352"/>
      <c r="W1067" s="1352"/>
    </row>
    <row r="1068" spans="1:23" s="1317" customFormat="1" x14ac:dyDescent="0.2">
      <c r="A1068" s="1322"/>
      <c r="B1068" s="1339"/>
      <c r="C1068" s="1345"/>
      <c r="D1068" s="1334"/>
      <c r="E1068" s="1335"/>
      <c r="F1068" s="1335"/>
      <c r="G1068" s="1327"/>
      <c r="H1068" s="1327"/>
      <c r="I1068" s="1323"/>
      <c r="J1068" s="1323"/>
      <c r="K1068" s="1324"/>
      <c r="L1068" s="1325"/>
      <c r="M1068" s="1336"/>
      <c r="N1068" s="1338"/>
      <c r="O1068" s="1335"/>
      <c r="P1068" s="1316"/>
      <c r="R1068" s="1352"/>
      <c r="S1068" s="1352"/>
      <c r="T1068" s="1352">
        <f>+Tabla16[[#This Row],[CDPS A 31 JULIO 2022]]-Tabla16[[#This Row],[CDP]]</f>
        <v>0</v>
      </c>
      <c r="U1068" s="1352"/>
      <c r="V1068" s="1352"/>
      <c r="W1068" s="1352"/>
    </row>
    <row r="1069" spans="1:23" s="1317" customFormat="1" x14ac:dyDescent="0.2">
      <c r="A1069" s="1322"/>
      <c r="B1069" s="1339"/>
      <c r="C1069" s="1345"/>
      <c r="D1069" s="1334"/>
      <c r="E1069" s="1335"/>
      <c r="F1069" s="1335"/>
      <c r="G1069" s="1327"/>
      <c r="H1069" s="1327"/>
      <c r="I1069" s="1323"/>
      <c r="J1069" s="1323"/>
      <c r="K1069" s="1324"/>
      <c r="L1069" s="1325"/>
      <c r="M1069" s="1336"/>
      <c r="N1069" s="1338"/>
      <c r="O1069" s="1335"/>
      <c r="P1069" s="1316"/>
      <c r="R1069" s="1352"/>
      <c r="S1069" s="1352"/>
      <c r="T1069" s="1352">
        <f>+Tabla16[[#This Row],[CDPS A 31 JULIO 2022]]-Tabla16[[#This Row],[CDP]]</f>
        <v>0</v>
      </c>
      <c r="U1069" s="1352"/>
      <c r="V1069" s="1352"/>
      <c r="W1069" s="1352"/>
    </row>
    <row r="1070" spans="1:23" s="1317" customFormat="1" x14ac:dyDescent="0.2">
      <c r="A1070" s="1322"/>
      <c r="B1070" s="1339"/>
      <c r="C1070" s="1345"/>
      <c r="D1070" s="1334"/>
      <c r="E1070" s="1335"/>
      <c r="F1070" s="1335"/>
      <c r="G1070" s="1327"/>
      <c r="H1070" s="1327"/>
      <c r="I1070" s="1323"/>
      <c r="J1070" s="1323"/>
      <c r="K1070" s="1324"/>
      <c r="L1070" s="1325"/>
      <c r="M1070" s="1336"/>
      <c r="N1070" s="1338"/>
      <c r="O1070" s="1335"/>
      <c r="P1070" s="1316"/>
      <c r="R1070" s="1352"/>
      <c r="S1070" s="1352"/>
      <c r="T1070" s="1352">
        <f>+Tabla16[[#This Row],[CDPS A 31 JULIO 2022]]-Tabla16[[#This Row],[CDP]]</f>
        <v>0</v>
      </c>
      <c r="U1070" s="1352"/>
      <c r="V1070" s="1352"/>
      <c r="W1070" s="1352"/>
    </row>
    <row r="1071" spans="1:23" s="1317" customFormat="1" x14ac:dyDescent="0.2">
      <c r="A1071" s="1322"/>
      <c r="B1071" s="1339"/>
      <c r="C1071" s="1345"/>
      <c r="D1071" s="1334"/>
      <c r="E1071" s="1335"/>
      <c r="F1071" s="1335"/>
      <c r="G1071" s="1327"/>
      <c r="H1071" s="1327"/>
      <c r="I1071" s="1323"/>
      <c r="J1071" s="1323"/>
      <c r="K1071" s="1324"/>
      <c r="L1071" s="1325"/>
      <c r="M1071" s="1336"/>
      <c r="N1071" s="1338"/>
      <c r="O1071" s="1335"/>
      <c r="P1071" s="1316"/>
      <c r="R1071" s="1352"/>
      <c r="S1071" s="1352"/>
      <c r="T1071" s="1352">
        <f>+Tabla16[[#This Row],[CDPS A 31 JULIO 2022]]-Tabla16[[#This Row],[CDP]]</f>
        <v>0</v>
      </c>
      <c r="U1071" s="1352"/>
      <c r="V1071" s="1352"/>
      <c r="W1071" s="1352"/>
    </row>
    <row r="1072" spans="1:23" s="1317" customFormat="1" x14ac:dyDescent="0.2">
      <c r="A1072" s="1322"/>
      <c r="B1072" s="1339"/>
      <c r="C1072" s="1345"/>
      <c r="D1072" s="1334"/>
      <c r="E1072" s="1335"/>
      <c r="F1072" s="1335"/>
      <c r="G1072" s="1327"/>
      <c r="H1072" s="1327"/>
      <c r="I1072" s="1323"/>
      <c r="J1072" s="1323"/>
      <c r="K1072" s="1324"/>
      <c r="L1072" s="1325"/>
      <c r="M1072" s="1336"/>
      <c r="N1072" s="1338"/>
      <c r="O1072" s="1335"/>
      <c r="P1072" s="1316"/>
      <c r="R1072" s="1352"/>
      <c r="S1072" s="1352"/>
      <c r="T1072" s="1352">
        <f>+Tabla16[[#This Row],[CDPS A 31 JULIO 2022]]-Tabla16[[#This Row],[CDP]]</f>
        <v>0</v>
      </c>
      <c r="U1072" s="1352"/>
      <c r="V1072" s="1352"/>
      <c r="W1072" s="1352"/>
    </row>
    <row r="1073" spans="1:23" s="1317" customFormat="1" x14ac:dyDescent="0.2">
      <c r="A1073" s="1322"/>
      <c r="B1073" s="1339"/>
      <c r="C1073" s="1345"/>
      <c r="D1073" s="1334"/>
      <c r="E1073" s="1335"/>
      <c r="F1073" s="1335"/>
      <c r="G1073" s="1327"/>
      <c r="H1073" s="1327"/>
      <c r="I1073" s="1323"/>
      <c r="J1073" s="1323"/>
      <c r="K1073" s="1324"/>
      <c r="L1073" s="1325"/>
      <c r="M1073" s="1336"/>
      <c r="N1073" s="1338"/>
      <c r="O1073" s="1335"/>
      <c r="P1073" s="1316"/>
      <c r="R1073" s="1352"/>
      <c r="S1073" s="1352"/>
      <c r="T1073" s="1352">
        <f>+Tabla16[[#This Row],[CDPS A 31 JULIO 2022]]-Tabla16[[#This Row],[CDP]]</f>
        <v>0</v>
      </c>
      <c r="U1073" s="1352"/>
      <c r="V1073" s="1352"/>
      <c r="W1073" s="1352"/>
    </row>
    <row r="1074" spans="1:23" s="1317" customFormat="1" x14ac:dyDescent="0.2">
      <c r="A1074" s="1322"/>
      <c r="B1074" s="1339"/>
      <c r="C1074" s="1345"/>
      <c r="D1074" s="1334"/>
      <c r="E1074" s="1335"/>
      <c r="F1074" s="1335"/>
      <c r="G1074" s="1327"/>
      <c r="H1074" s="1327"/>
      <c r="I1074" s="1323"/>
      <c r="J1074" s="1323"/>
      <c r="K1074" s="1324"/>
      <c r="L1074" s="1325"/>
      <c r="M1074" s="1336"/>
      <c r="N1074" s="1338"/>
      <c r="O1074" s="1335"/>
      <c r="P1074" s="1316"/>
      <c r="R1074" s="1352"/>
      <c r="S1074" s="1352"/>
      <c r="T1074" s="1352">
        <f>+Tabla16[[#This Row],[CDPS A 31 JULIO 2022]]-Tabla16[[#This Row],[CDP]]</f>
        <v>0</v>
      </c>
      <c r="U1074" s="1352"/>
      <c r="V1074" s="1352"/>
      <c r="W1074" s="1352"/>
    </row>
    <row r="1075" spans="1:23" s="1317" customFormat="1" x14ac:dyDescent="0.2">
      <c r="A1075" s="1322"/>
      <c r="B1075" s="1339"/>
      <c r="C1075" s="1345"/>
      <c r="D1075" s="1334"/>
      <c r="E1075" s="1335"/>
      <c r="F1075" s="1335"/>
      <c r="G1075" s="1327"/>
      <c r="H1075" s="1327"/>
      <c r="I1075" s="1323"/>
      <c r="J1075" s="1323"/>
      <c r="K1075" s="1324"/>
      <c r="L1075" s="1325"/>
      <c r="M1075" s="1336"/>
      <c r="N1075" s="1338"/>
      <c r="O1075" s="1335"/>
      <c r="P1075" s="1316"/>
      <c r="R1075" s="1352"/>
      <c r="S1075" s="1352"/>
      <c r="T1075" s="1352">
        <f>+Tabla16[[#This Row],[CDPS A 31 JULIO 2022]]-Tabla16[[#This Row],[CDP]]</f>
        <v>0</v>
      </c>
      <c r="U1075" s="1352"/>
      <c r="V1075" s="1352"/>
      <c r="W1075" s="1352"/>
    </row>
    <row r="1076" spans="1:23" s="1317" customFormat="1" x14ac:dyDescent="0.2">
      <c r="A1076" s="1322"/>
      <c r="B1076" s="1339"/>
      <c r="C1076" s="1345"/>
      <c r="D1076" s="1334"/>
      <c r="E1076" s="1335"/>
      <c r="F1076" s="1335"/>
      <c r="G1076" s="1327"/>
      <c r="H1076" s="1327"/>
      <c r="I1076" s="1323"/>
      <c r="J1076" s="1323"/>
      <c r="K1076" s="1324"/>
      <c r="L1076" s="1325"/>
      <c r="M1076" s="1336"/>
      <c r="N1076" s="1338"/>
      <c r="O1076" s="1335"/>
      <c r="P1076" s="1316"/>
      <c r="R1076" s="1352"/>
      <c r="S1076" s="1352"/>
      <c r="T1076" s="1352">
        <f>+Tabla16[[#This Row],[CDPS A 31 JULIO 2022]]-Tabla16[[#This Row],[CDP]]</f>
        <v>0</v>
      </c>
      <c r="U1076" s="1352"/>
      <c r="V1076" s="1352"/>
      <c r="W1076" s="1352"/>
    </row>
    <row r="1077" spans="1:23" s="1317" customFormat="1" x14ac:dyDescent="0.2">
      <c r="A1077" s="1322"/>
      <c r="B1077" s="1339"/>
      <c r="C1077" s="1345"/>
      <c r="D1077" s="1334"/>
      <c r="E1077" s="1335"/>
      <c r="F1077" s="1335"/>
      <c r="G1077" s="1327"/>
      <c r="H1077" s="1327"/>
      <c r="I1077" s="1323"/>
      <c r="J1077" s="1323"/>
      <c r="K1077" s="1324"/>
      <c r="L1077" s="1325"/>
      <c r="M1077" s="1336"/>
      <c r="N1077" s="1338"/>
      <c r="O1077" s="1335"/>
      <c r="P1077" s="1316"/>
      <c r="R1077" s="1352"/>
      <c r="S1077" s="1352"/>
      <c r="T1077" s="1352">
        <f>+Tabla16[[#This Row],[CDPS A 31 JULIO 2022]]-Tabla16[[#This Row],[CDP]]</f>
        <v>0</v>
      </c>
      <c r="U1077" s="1352"/>
      <c r="V1077" s="1352"/>
      <c r="W1077" s="1352"/>
    </row>
    <row r="1078" spans="1:23" s="1317" customFormat="1" x14ac:dyDescent="0.2">
      <c r="A1078" s="1322"/>
      <c r="B1078" s="1339"/>
      <c r="C1078" s="1345"/>
      <c r="D1078" s="1334"/>
      <c r="E1078" s="1335"/>
      <c r="F1078" s="1335"/>
      <c r="G1078" s="1327"/>
      <c r="H1078" s="1327"/>
      <c r="I1078" s="1323"/>
      <c r="J1078" s="1323"/>
      <c r="K1078" s="1324"/>
      <c r="L1078" s="1325"/>
      <c r="M1078" s="1336"/>
      <c r="N1078" s="1338"/>
      <c r="O1078" s="1335"/>
      <c r="P1078" s="1316"/>
      <c r="R1078" s="1352"/>
      <c r="S1078" s="1352"/>
      <c r="T1078" s="1352">
        <f>+Tabla16[[#This Row],[CDPS A 31 JULIO 2022]]-Tabla16[[#This Row],[CDP]]</f>
        <v>0</v>
      </c>
      <c r="U1078" s="1352"/>
      <c r="V1078" s="1352"/>
      <c r="W1078" s="1352"/>
    </row>
    <row r="1079" spans="1:23" s="1317" customFormat="1" x14ac:dyDescent="0.2">
      <c r="A1079" s="1322"/>
      <c r="B1079" s="1339"/>
      <c r="C1079" s="1345"/>
      <c r="D1079" s="1334"/>
      <c r="E1079" s="1335"/>
      <c r="F1079" s="1335"/>
      <c r="G1079" s="1327"/>
      <c r="H1079" s="1327"/>
      <c r="I1079" s="1323"/>
      <c r="J1079" s="1323"/>
      <c r="K1079" s="1324"/>
      <c r="L1079" s="1325"/>
      <c r="M1079" s="1336"/>
      <c r="N1079" s="1338"/>
      <c r="O1079" s="1335"/>
      <c r="P1079" s="1316"/>
      <c r="R1079" s="1352"/>
      <c r="S1079" s="1352"/>
      <c r="T1079" s="1352">
        <f>+Tabla16[[#This Row],[CDPS A 31 JULIO 2022]]-Tabla16[[#This Row],[CDP]]</f>
        <v>0</v>
      </c>
      <c r="U1079" s="1352"/>
      <c r="V1079" s="1352"/>
      <c r="W1079" s="1352"/>
    </row>
    <row r="1080" spans="1:23" s="1317" customFormat="1" x14ac:dyDescent="0.2">
      <c r="A1080" s="1322"/>
      <c r="B1080" s="1339"/>
      <c r="C1080" s="1345"/>
      <c r="D1080" s="1334"/>
      <c r="E1080" s="1335"/>
      <c r="F1080" s="1335"/>
      <c r="G1080" s="1327"/>
      <c r="H1080" s="1327"/>
      <c r="I1080" s="1323"/>
      <c r="J1080" s="1323"/>
      <c r="K1080" s="1324"/>
      <c r="L1080" s="1325"/>
      <c r="M1080" s="1336"/>
      <c r="N1080" s="1338"/>
      <c r="O1080" s="1335"/>
      <c r="P1080" s="1316"/>
      <c r="R1080" s="1352"/>
      <c r="S1080" s="1352"/>
      <c r="T1080" s="1352">
        <f>+Tabla16[[#This Row],[CDPS A 31 JULIO 2022]]-Tabla16[[#This Row],[CDP]]</f>
        <v>0</v>
      </c>
      <c r="U1080" s="1352"/>
      <c r="V1080" s="1352"/>
      <c r="W1080" s="1352"/>
    </row>
    <row r="1081" spans="1:23" s="1317" customFormat="1" x14ac:dyDescent="0.2">
      <c r="A1081" s="1322"/>
      <c r="B1081" s="1339"/>
      <c r="C1081" s="1345"/>
      <c r="D1081" s="1334"/>
      <c r="E1081" s="1335"/>
      <c r="F1081" s="1335"/>
      <c r="G1081" s="1327"/>
      <c r="H1081" s="1327"/>
      <c r="I1081" s="1323"/>
      <c r="J1081" s="1323"/>
      <c r="K1081" s="1324"/>
      <c r="L1081" s="1325"/>
      <c r="M1081" s="1336"/>
      <c r="N1081" s="1338"/>
      <c r="O1081" s="1335"/>
      <c r="P1081" s="1316"/>
      <c r="R1081" s="1352"/>
      <c r="S1081" s="1352"/>
      <c r="T1081" s="1352">
        <f>+Tabla16[[#This Row],[CDPS A 31 JULIO 2022]]-Tabla16[[#This Row],[CDP]]</f>
        <v>0</v>
      </c>
      <c r="U1081" s="1352"/>
      <c r="V1081" s="1352"/>
      <c r="W1081" s="1352"/>
    </row>
    <row r="1082" spans="1:23" s="1317" customFormat="1" x14ac:dyDescent="0.2">
      <c r="A1082" s="1322"/>
      <c r="B1082" s="1339"/>
      <c r="C1082" s="1345"/>
      <c r="D1082" s="1334"/>
      <c r="E1082" s="1335"/>
      <c r="F1082" s="1335"/>
      <c r="G1082" s="1327"/>
      <c r="H1082" s="1327"/>
      <c r="I1082" s="1323"/>
      <c r="J1082" s="1323"/>
      <c r="K1082" s="1324"/>
      <c r="L1082" s="1325"/>
      <c r="M1082" s="1336"/>
      <c r="N1082" s="1338"/>
      <c r="O1082" s="1335"/>
      <c r="P1082" s="1316"/>
      <c r="R1082" s="1352"/>
      <c r="S1082" s="1352"/>
      <c r="T1082" s="1352">
        <f>+Tabla16[[#This Row],[CDPS A 31 JULIO 2022]]-Tabla16[[#This Row],[CDP]]</f>
        <v>0</v>
      </c>
      <c r="U1082" s="1352"/>
      <c r="V1082" s="1352"/>
      <c r="W1082" s="1352"/>
    </row>
    <row r="1083" spans="1:23" s="1317" customFormat="1" x14ac:dyDescent="0.2">
      <c r="A1083" s="1322"/>
      <c r="B1083" s="1339"/>
      <c r="C1083" s="1345"/>
      <c r="D1083" s="1334"/>
      <c r="E1083" s="1335"/>
      <c r="F1083" s="1335"/>
      <c r="G1083" s="1327"/>
      <c r="H1083" s="1327"/>
      <c r="I1083" s="1323"/>
      <c r="J1083" s="1323"/>
      <c r="K1083" s="1324"/>
      <c r="L1083" s="1325"/>
      <c r="M1083" s="1336"/>
      <c r="N1083" s="1338"/>
      <c r="O1083" s="1335"/>
      <c r="P1083" s="1316"/>
      <c r="R1083" s="1352"/>
      <c r="S1083" s="1352"/>
      <c r="T1083" s="1352">
        <f>+Tabla16[[#This Row],[CDPS A 31 JULIO 2022]]-Tabla16[[#This Row],[CDP]]</f>
        <v>0</v>
      </c>
      <c r="U1083" s="1352"/>
      <c r="V1083" s="1352"/>
      <c r="W1083" s="1352"/>
    </row>
    <row r="1084" spans="1:23" s="1317" customFormat="1" x14ac:dyDescent="0.2">
      <c r="A1084" s="1322"/>
      <c r="B1084" s="1339"/>
      <c r="C1084" s="1345"/>
      <c r="D1084" s="1334"/>
      <c r="E1084" s="1335"/>
      <c r="F1084" s="1335"/>
      <c r="G1084" s="1327"/>
      <c r="H1084" s="1327"/>
      <c r="I1084" s="1323"/>
      <c r="J1084" s="1323"/>
      <c r="K1084" s="1324"/>
      <c r="L1084" s="1325"/>
      <c r="M1084" s="1336"/>
      <c r="N1084" s="1338"/>
      <c r="O1084" s="1335"/>
      <c r="P1084" s="1316"/>
      <c r="R1084" s="1352"/>
      <c r="S1084" s="1352"/>
      <c r="T1084" s="1352">
        <f>+Tabla16[[#This Row],[CDPS A 31 JULIO 2022]]-Tabla16[[#This Row],[CDP]]</f>
        <v>0</v>
      </c>
      <c r="U1084" s="1352"/>
      <c r="V1084" s="1352"/>
      <c r="W1084" s="1352"/>
    </row>
    <row r="1085" spans="1:23" s="1317" customFormat="1" x14ac:dyDescent="0.2">
      <c r="A1085" s="1322"/>
      <c r="B1085" s="1339"/>
      <c r="C1085" s="1345"/>
      <c r="D1085" s="1334"/>
      <c r="E1085" s="1335"/>
      <c r="F1085" s="1335"/>
      <c r="G1085" s="1327"/>
      <c r="H1085" s="1327"/>
      <c r="I1085" s="1323"/>
      <c r="J1085" s="1323"/>
      <c r="K1085" s="1324"/>
      <c r="L1085" s="1325"/>
      <c r="M1085" s="1336"/>
      <c r="N1085" s="1338"/>
      <c r="O1085" s="1335"/>
      <c r="P1085" s="1316"/>
      <c r="R1085" s="1352"/>
      <c r="S1085" s="1352"/>
      <c r="T1085" s="1352">
        <f>+Tabla16[[#This Row],[CDPS A 31 JULIO 2022]]-Tabla16[[#This Row],[CDP]]</f>
        <v>0</v>
      </c>
      <c r="U1085" s="1352"/>
      <c r="V1085" s="1352"/>
      <c r="W1085" s="1352"/>
    </row>
    <row r="1086" spans="1:23" s="1317" customFormat="1" x14ac:dyDescent="0.2">
      <c r="A1086" s="1322"/>
      <c r="B1086" s="1339"/>
      <c r="C1086" s="1345"/>
      <c r="D1086" s="1334"/>
      <c r="E1086" s="1335"/>
      <c r="F1086" s="1335"/>
      <c r="G1086" s="1327"/>
      <c r="H1086" s="1327"/>
      <c r="I1086" s="1323"/>
      <c r="J1086" s="1323"/>
      <c r="K1086" s="1324"/>
      <c r="L1086" s="1325"/>
      <c r="M1086" s="1336"/>
      <c r="N1086" s="1338"/>
      <c r="O1086" s="1335"/>
      <c r="P1086" s="1316"/>
      <c r="R1086" s="1352"/>
      <c r="S1086" s="1352"/>
      <c r="T1086" s="1352">
        <f>+Tabla16[[#This Row],[CDPS A 31 JULIO 2022]]-Tabla16[[#This Row],[CDP]]</f>
        <v>0</v>
      </c>
      <c r="U1086" s="1352"/>
      <c r="V1086" s="1352"/>
      <c r="W1086" s="1352"/>
    </row>
    <row r="1087" spans="1:23" s="1317" customFormat="1" x14ac:dyDescent="0.2">
      <c r="A1087" s="1322"/>
      <c r="B1087" s="1339"/>
      <c r="C1087" s="1345"/>
      <c r="D1087" s="1334"/>
      <c r="E1087" s="1335"/>
      <c r="F1087" s="1335"/>
      <c r="G1087" s="1327"/>
      <c r="H1087" s="1327"/>
      <c r="I1087" s="1323"/>
      <c r="J1087" s="1323"/>
      <c r="K1087" s="1324"/>
      <c r="L1087" s="1325"/>
      <c r="M1087" s="1336"/>
      <c r="N1087" s="1338"/>
      <c r="O1087" s="1335"/>
      <c r="P1087" s="1316"/>
      <c r="R1087" s="1352"/>
      <c r="S1087" s="1352"/>
      <c r="T1087" s="1352">
        <f>+Tabla16[[#This Row],[CDPS A 31 JULIO 2022]]-Tabla16[[#This Row],[CDP]]</f>
        <v>0</v>
      </c>
      <c r="U1087" s="1352"/>
      <c r="V1087" s="1352"/>
      <c r="W1087" s="1352"/>
    </row>
    <row r="1088" spans="1:23" s="1317" customFormat="1" x14ac:dyDescent="0.2">
      <c r="A1088" s="1322"/>
      <c r="B1088" s="1339"/>
      <c r="C1088" s="1345"/>
      <c r="D1088" s="1334"/>
      <c r="E1088" s="1335"/>
      <c r="F1088" s="1335"/>
      <c r="G1088" s="1327"/>
      <c r="H1088" s="1327"/>
      <c r="I1088" s="1323"/>
      <c r="J1088" s="1323"/>
      <c r="K1088" s="1324"/>
      <c r="L1088" s="1325"/>
      <c r="M1088" s="1336"/>
      <c r="N1088" s="1338"/>
      <c r="O1088" s="1335"/>
      <c r="P1088" s="1316"/>
      <c r="R1088" s="1352"/>
      <c r="S1088" s="1352"/>
      <c r="T1088" s="1352">
        <f>+Tabla16[[#This Row],[CDPS A 31 JULIO 2022]]-Tabla16[[#This Row],[CDP]]</f>
        <v>0</v>
      </c>
      <c r="U1088" s="1352"/>
      <c r="V1088" s="1352"/>
      <c r="W1088" s="1352"/>
    </row>
    <row r="1089" spans="1:23" s="1317" customFormat="1" x14ac:dyDescent="0.2">
      <c r="A1089" s="1322"/>
      <c r="B1089" s="1339"/>
      <c r="C1089" s="1345"/>
      <c r="D1089" s="1334"/>
      <c r="E1089" s="1335"/>
      <c r="F1089" s="1335"/>
      <c r="G1089" s="1327"/>
      <c r="H1089" s="1327"/>
      <c r="I1089" s="1323"/>
      <c r="J1089" s="1323"/>
      <c r="K1089" s="1324"/>
      <c r="L1089" s="1325"/>
      <c r="M1089" s="1336"/>
      <c r="N1089" s="1338"/>
      <c r="O1089" s="1335"/>
      <c r="P1089" s="1316"/>
      <c r="R1089" s="1352"/>
      <c r="S1089" s="1352"/>
      <c r="T1089" s="1352">
        <f>+Tabla16[[#This Row],[CDPS A 31 JULIO 2022]]-Tabla16[[#This Row],[CDP]]</f>
        <v>0</v>
      </c>
      <c r="U1089" s="1352"/>
      <c r="V1089" s="1352"/>
      <c r="W1089" s="1352"/>
    </row>
    <row r="1090" spans="1:23" s="1317" customFormat="1" x14ac:dyDescent="0.2">
      <c r="A1090" s="1322"/>
      <c r="B1090" s="1339"/>
      <c r="C1090" s="1345"/>
      <c r="D1090" s="1334"/>
      <c r="E1090" s="1335"/>
      <c r="F1090" s="1335"/>
      <c r="G1090" s="1327"/>
      <c r="H1090" s="1327"/>
      <c r="I1090" s="1323"/>
      <c r="J1090" s="1323"/>
      <c r="K1090" s="1324"/>
      <c r="L1090" s="1325"/>
      <c r="M1090" s="1336"/>
      <c r="N1090" s="1338"/>
      <c r="O1090" s="1335"/>
      <c r="P1090" s="1316"/>
      <c r="R1090" s="1352"/>
      <c r="S1090" s="1352"/>
      <c r="T1090" s="1352">
        <f>+Tabla16[[#This Row],[CDPS A 31 JULIO 2022]]-Tabla16[[#This Row],[CDP]]</f>
        <v>0</v>
      </c>
      <c r="U1090" s="1352"/>
      <c r="V1090" s="1352"/>
      <c r="W1090" s="1352"/>
    </row>
    <row r="1091" spans="1:23" s="1317" customFormat="1" x14ac:dyDescent="0.2">
      <c r="A1091" s="1322"/>
      <c r="B1091" s="1339"/>
      <c r="C1091" s="1345"/>
      <c r="D1091" s="1334"/>
      <c r="E1091" s="1335"/>
      <c r="F1091" s="1335"/>
      <c r="G1091" s="1327"/>
      <c r="H1091" s="1327"/>
      <c r="I1091" s="1323"/>
      <c r="J1091" s="1323"/>
      <c r="K1091" s="1324"/>
      <c r="L1091" s="1325"/>
      <c r="M1091" s="1336"/>
      <c r="N1091" s="1338"/>
      <c r="O1091" s="1335"/>
      <c r="P1091" s="1316"/>
      <c r="R1091" s="1352"/>
      <c r="S1091" s="1352"/>
      <c r="T1091" s="1352">
        <f>+Tabla16[[#This Row],[CDPS A 31 JULIO 2022]]-Tabla16[[#This Row],[CDP]]</f>
        <v>0</v>
      </c>
      <c r="U1091" s="1352"/>
      <c r="V1091" s="1352"/>
      <c r="W1091" s="1352"/>
    </row>
    <row r="1092" spans="1:23" s="1317" customFormat="1" x14ac:dyDescent="0.2">
      <c r="A1092" s="1322"/>
      <c r="B1092" s="1339"/>
      <c r="C1092" s="1345"/>
      <c r="D1092" s="1334"/>
      <c r="E1092" s="1335"/>
      <c r="F1092" s="1335"/>
      <c r="G1092" s="1327"/>
      <c r="H1092" s="1327"/>
      <c r="I1092" s="1323"/>
      <c r="J1092" s="1323"/>
      <c r="K1092" s="1324"/>
      <c r="L1092" s="1325"/>
      <c r="M1092" s="1336"/>
      <c r="N1092" s="1338"/>
      <c r="O1092" s="1335"/>
      <c r="P1092" s="1316"/>
      <c r="R1092" s="1352"/>
      <c r="S1092" s="1352"/>
      <c r="T1092" s="1352">
        <f>+Tabla16[[#This Row],[CDPS A 31 JULIO 2022]]-Tabla16[[#This Row],[CDP]]</f>
        <v>0</v>
      </c>
      <c r="U1092" s="1352"/>
      <c r="V1092" s="1352"/>
      <c r="W1092" s="1352"/>
    </row>
    <row r="1093" spans="1:23" s="1317" customFormat="1" x14ac:dyDescent="0.2">
      <c r="A1093" s="1322"/>
      <c r="B1093" s="1339"/>
      <c r="C1093" s="1345"/>
      <c r="D1093" s="1334"/>
      <c r="E1093" s="1335"/>
      <c r="F1093" s="1335"/>
      <c r="G1093" s="1327"/>
      <c r="H1093" s="1327"/>
      <c r="I1093" s="1323"/>
      <c r="J1093" s="1323"/>
      <c r="K1093" s="1324"/>
      <c r="L1093" s="1325"/>
      <c r="M1093" s="1336"/>
      <c r="N1093" s="1338"/>
      <c r="O1093" s="1335"/>
      <c r="P1093" s="1316"/>
      <c r="R1093" s="1352"/>
      <c r="S1093" s="1352"/>
      <c r="T1093" s="1352">
        <f>+Tabla16[[#This Row],[CDPS A 31 JULIO 2022]]-Tabla16[[#This Row],[CDP]]</f>
        <v>0</v>
      </c>
      <c r="U1093" s="1352"/>
      <c r="V1093" s="1352"/>
      <c r="W1093" s="1352"/>
    </row>
    <row r="1094" spans="1:23" s="1317" customFormat="1" x14ac:dyDescent="0.2">
      <c r="A1094" s="1322"/>
      <c r="B1094" s="1339"/>
      <c r="C1094" s="1345"/>
      <c r="D1094" s="1334"/>
      <c r="E1094" s="1335"/>
      <c r="F1094" s="1335"/>
      <c r="G1094" s="1327"/>
      <c r="H1094" s="1327"/>
      <c r="I1094" s="1323"/>
      <c r="J1094" s="1323"/>
      <c r="K1094" s="1324"/>
      <c r="L1094" s="1325"/>
      <c r="M1094" s="1336"/>
      <c r="N1094" s="1338"/>
      <c r="O1094" s="1335"/>
      <c r="P1094" s="1316"/>
      <c r="R1094" s="1352"/>
      <c r="S1094" s="1352"/>
      <c r="T1094" s="1352">
        <f>+Tabla16[[#This Row],[CDPS A 31 JULIO 2022]]-Tabla16[[#This Row],[CDP]]</f>
        <v>0</v>
      </c>
      <c r="U1094" s="1352"/>
      <c r="V1094" s="1352"/>
      <c r="W1094" s="1352"/>
    </row>
    <row r="1095" spans="1:23" s="1317" customFormat="1" x14ac:dyDescent="0.2">
      <c r="A1095" s="1322"/>
      <c r="B1095" s="1339"/>
      <c r="C1095" s="1345"/>
      <c r="D1095" s="1334"/>
      <c r="E1095" s="1335"/>
      <c r="F1095" s="1335"/>
      <c r="G1095" s="1327"/>
      <c r="H1095" s="1327"/>
      <c r="I1095" s="1323"/>
      <c r="J1095" s="1323"/>
      <c r="K1095" s="1324"/>
      <c r="L1095" s="1325"/>
      <c r="M1095" s="1336"/>
      <c r="N1095" s="1338"/>
      <c r="O1095" s="1335"/>
      <c r="P1095" s="1316"/>
      <c r="R1095" s="1352"/>
      <c r="S1095" s="1352"/>
      <c r="T1095" s="1352">
        <f>+Tabla16[[#This Row],[CDPS A 31 JULIO 2022]]-Tabla16[[#This Row],[CDP]]</f>
        <v>0</v>
      </c>
      <c r="U1095" s="1352"/>
      <c r="V1095" s="1352"/>
      <c r="W1095" s="1352"/>
    </row>
    <row r="1096" spans="1:23" s="1317" customFormat="1" x14ac:dyDescent="0.2">
      <c r="A1096" s="1322"/>
      <c r="B1096" s="1339"/>
      <c r="C1096" s="1345"/>
      <c r="D1096" s="1334"/>
      <c r="E1096" s="1335"/>
      <c r="F1096" s="1335"/>
      <c r="G1096" s="1327"/>
      <c r="H1096" s="1327"/>
      <c r="I1096" s="1323"/>
      <c r="J1096" s="1323"/>
      <c r="K1096" s="1324"/>
      <c r="L1096" s="1325"/>
      <c r="M1096" s="1336"/>
      <c r="N1096" s="1338"/>
      <c r="O1096" s="1335"/>
      <c r="P1096" s="1316"/>
      <c r="R1096" s="1352"/>
      <c r="S1096" s="1352"/>
      <c r="T1096" s="1352">
        <f>+Tabla16[[#This Row],[CDPS A 31 JULIO 2022]]-Tabla16[[#This Row],[CDP]]</f>
        <v>0</v>
      </c>
      <c r="U1096" s="1352"/>
      <c r="V1096" s="1352"/>
      <c r="W1096" s="1352"/>
    </row>
    <row r="1097" spans="1:23" s="1317" customFormat="1" x14ac:dyDescent="0.2">
      <c r="A1097" s="1322"/>
      <c r="B1097" s="1339"/>
      <c r="C1097" s="1345"/>
      <c r="D1097" s="1334"/>
      <c r="E1097" s="1335"/>
      <c r="F1097" s="1335"/>
      <c r="G1097" s="1327"/>
      <c r="H1097" s="1327"/>
      <c r="I1097" s="1323"/>
      <c r="J1097" s="1323"/>
      <c r="K1097" s="1324"/>
      <c r="L1097" s="1325"/>
      <c r="M1097" s="1336"/>
      <c r="N1097" s="1338"/>
      <c r="O1097" s="1335"/>
      <c r="P1097" s="1316"/>
      <c r="R1097" s="1352"/>
      <c r="S1097" s="1352"/>
      <c r="T1097" s="1352">
        <f>+Tabla16[[#This Row],[CDPS A 31 JULIO 2022]]-Tabla16[[#This Row],[CDP]]</f>
        <v>0</v>
      </c>
      <c r="U1097" s="1352"/>
      <c r="V1097" s="1352"/>
      <c r="W1097" s="1352"/>
    </row>
    <row r="1098" spans="1:23" s="1317" customFormat="1" x14ac:dyDescent="0.2">
      <c r="A1098" s="1322"/>
      <c r="B1098" s="1339"/>
      <c r="C1098" s="1345"/>
      <c r="D1098" s="1334"/>
      <c r="E1098" s="1335"/>
      <c r="F1098" s="1335"/>
      <c r="G1098" s="1327"/>
      <c r="H1098" s="1327"/>
      <c r="I1098" s="1323"/>
      <c r="J1098" s="1323"/>
      <c r="K1098" s="1324"/>
      <c r="L1098" s="1325"/>
      <c r="M1098" s="1336"/>
      <c r="N1098" s="1338"/>
      <c r="O1098" s="1335"/>
      <c r="P1098" s="1316"/>
      <c r="R1098" s="1352"/>
      <c r="S1098" s="1352"/>
      <c r="T1098" s="1352">
        <f>+Tabla16[[#This Row],[CDPS A 31 JULIO 2022]]-Tabla16[[#This Row],[CDP]]</f>
        <v>0</v>
      </c>
      <c r="U1098" s="1352"/>
      <c r="V1098" s="1352"/>
      <c r="W1098" s="1352"/>
    </row>
    <row r="1099" spans="1:23" s="1317" customFormat="1" x14ac:dyDescent="0.2">
      <c r="A1099" s="1322"/>
      <c r="B1099" s="1339"/>
      <c r="C1099" s="1345"/>
      <c r="D1099" s="1334"/>
      <c r="E1099" s="1335"/>
      <c r="F1099" s="1335"/>
      <c r="G1099" s="1327"/>
      <c r="H1099" s="1327"/>
      <c r="I1099" s="1323"/>
      <c r="J1099" s="1323"/>
      <c r="K1099" s="1324"/>
      <c r="L1099" s="1325"/>
      <c r="M1099" s="1336"/>
      <c r="N1099" s="1338"/>
      <c r="O1099" s="1335"/>
      <c r="P1099" s="1316"/>
      <c r="R1099" s="1352"/>
      <c r="S1099" s="1352"/>
      <c r="T1099" s="1352">
        <f>+Tabla16[[#This Row],[CDPS A 31 JULIO 2022]]-Tabla16[[#This Row],[CDP]]</f>
        <v>0</v>
      </c>
      <c r="U1099" s="1352"/>
      <c r="V1099" s="1352"/>
      <c r="W1099" s="1352"/>
    </row>
    <row r="1100" spans="1:23" s="1317" customFormat="1" x14ac:dyDescent="0.2">
      <c r="A1100" s="1322"/>
      <c r="B1100" s="1339"/>
      <c r="C1100" s="1345"/>
      <c r="D1100" s="1334"/>
      <c r="E1100" s="1335"/>
      <c r="F1100" s="1335"/>
      <c r="G1100" s="1327"/>
      <c r="H1100" s="1327"/>
      <c r="I1100" s="1323"/>
      <c r="J1100" s="1323"/>
      <c r="K1100" s="1324"/>
      <c r="L1100" s="1325"/>
      <c r="M1100" s="1336"/>
      <c r="N1100" s="1338"/>
      <c r="O1100" s="1335"/>
      <c r="P1100" s="1316"/>
      <c r="R1100" s="1352"/>
      <c r="S1100" s="1352"/>
      <c r="T1100" s="1352">
        <f>+Tabla16[[#This Row],[CDPS A 31 JULIO 2022]]-Tabla16[[#This Row],[CDP]]</f>
        <v>0</v>
      </c>
      <c r="U1100" s="1352"/>
      <c r="V1100" s="1352"/>
      <c r="W1100" s="1352"/>
    </row>
    <row r="1101" spans="1:23" s="1317" customFormat="1" x14ac:dyDescent="0.2">
      <c r="A1101" s="1322"/>
      <c r="B1101" s="1339"/>
      <c r="C1101" s="1345"/>
      <c r="D1101" s="1334"/>
      <c r="E1101" s="1335"/>
      <c r="F1101" s="1335"/>
      <c r="G1101" s="1327"/>
      <c r="H1101" s="1327"/>
      <c r="I1101" s="1323"/>
      <c r="J1101" s="1323"/>
      <c r="K1101" s="1324"/>
      <c r="L1101" s="1325"/>
      <c r="M1101" s="1336"/>
      <c r="N1101" s="1338"/>
      <c r="O1101" s="1335"/>
      <c r="P1101" s="1316"/>
      <c r="R1101" s="1352"/>
      <c r="S1101" s="1352"/>
      <c r="T1101" s="1352">
        <f>+Tabla16[[#This Row],[CDPS A 31 JULIO 2022]]-Tabla16[[#This Row],[CDP]]</f>
        <v>0</v>
      </c>
      <c r="U1101" s="1352"/>
      <c r="V1101" s="1352"/>
      <c r="W1101" s="1352"/>
    </row>
    <row r="1102" spans="1:23" s="1317" customFormat="1" x14ac:dyDescent="0.2">
      <c r="A1102" s="1322"/>
      <c r="B1102" s="1339"/>
      <c r="C1102" s="1345"/>
      <c r="D1102" s="1334"/>
      <c r="E1102" s="1335"/>
      <c r="F1102" s="1335"/>
      <c r="G1102" s="1327"/>
      <c r="H1102" s="1327"/>
      <c r="I1102" s="1323"/>
      <c r="J1102" s="1323"/>
      <c r="K1102" s="1324"/>
      <c r="L1102" s="1325"/>
      <c r="M1102" s="1336"/>
      <c r="N1102" s="1338"/>
      <c r="O1102" s="1335"/>
      <c r="P1102" s="1316"/>
      <c r="R1102" s="1352"/>
      <c r="S1102" s="1352"/>
      <c r="T1102" s="1352">
        <f>+Tabla16[[#This Row],[CDPS A 31 JULIO 2022]]-Tabla16[[#This Row],[CDP]]</f>
        <v>0</v>
      </c>
      <c r="U1102" s="1352"/>
      <c r="V1102" s="1352"/>
      <c r="W1102" s="1352"/>
    </row>
    <row r="1103" spans="1:23" s="1317" customFormat="1" x14ac:dyDescent="0.2">
      <c r="A1103" s="1322"/>
      <c r="B1103" s="1339"/>
      <c r="C1103" s="1345"/>
      <c r="D1103" s="1334"/>
      <c r="E1103" s="1335"/>
      <c r="F1103" s="1335"/>
      <c r="G1103" s="1327"/>
      <c r="H1103" s="1327"/>
      <c r="I1103" s="1323"/>
      <c r="J1103" s="1323"/>
      <c r="K1103" s="1324"/>
      <c r="L1103" s="1325"/>
      <c r="M1103" s="1336"/>
      <c r="N1103" s="1338"/>
      <c r="O1103" s="1335"/>
      <c r="P1103" s="1316"/>
      <c r="R1103" s="1352"/>
      <c r="S1103" s="1352"/>
      <c r="T1103" s="1352">
        <f>+Tabla16[[#This Row],[CDPS A 31 JULIO 2022]]-Tabla16[[#This Row],[CDP]]</f>
        <v>0</v>
      </c>
      <c r="U1103" s="1352"/>
      <c r="V1103" s="1352"/>
      <c r="W1103" s="1352"/>
    </row>
    <row r="1104" spans="1:23" s="1317" customFormat="1" x14ac:dyDescent="0.2">
      <c r="A1104" s="1322"/>
      <c r="B1104" s="1339"/>
      <c r="C1104" s="1345"/>
      <c r="D1104" s="1334"/>
      <c r="E1104" s="1335"/>
      <c r="F1104" s="1335"/>
      <c r="G1104" s="1327"/>
      <c r="H1104" s="1327"/>
      <c r="I1104" s="1323"/>
      <c r="J1104" s="1323"/>
      <c r="K1104" s="1324"/>
      <c r="L1104" s="1325"/>
      <c r="M1104" s="1336"/>
      <c r="N1104" s="1338"/>
      <c r="O1104" s="1335"/>
      <c r="P1104" s="1316"/>
      <c r="R1104" s="1352"/>
      <c r="S1104" s="1352"/>
      <c r="T1104" s="1352">
        <f>+Tabla16[[#This Row],[CDPS A 31 JULIO 2022]]-Tabla16[[#This Row],[CDP]]</f>
        <v>0</v>
      </c>
      <c r="U1104" s="1352"/>
      <c r="V1104" s="1352"/>
      <c r="W1104" s="1352"/>
    </row>
    <row r="1105" spans="1:23" s="1317" customFormat="1" x14ac:dyDescent="0.2">
      <c r="A1105" s="1322"/>
      <c r="B1105" s="1339"/>
      <c r="C1105" s="1345"/>
      <c r="D1105" s="1334"/>
      <c r="E1105" s="1335"/>
      <c r="F1105" s="1335"/>
      <c r="G1105" s="1327"/>
      <c r="H1105" s="1327"/>
      <c r="I1105" s="1323"/>
      <c r="J1105" s="1323"/>
      <c r="K1105" s="1324"/>
      <c r="L1105" s="1325"/>
      <c r="M1105" s="1336"/>
      <c r="N1105" s="1338"/>
      <c r="O1105" s="1335"/>
      <c r="P1105" s="1316"/>
      <c r="R1105" s="1352"/>
      <c r="S1105" s="1352"/>
      <c r="T1105" s="1352">
        <f>+Tabla16[[#This Row],[CDPS A 31 JULIO 2022]]-Tabla16[[#This Row],[CDP]]</f>
        <v>0</v>
      </c>
      <c r="U1105" s="1352"/>
      <c r="V1105" s="1352"/>
      <c r="W1105" s="1352"/>
    </row>
    <row r="1106" spans="1:23" s="1317" customFormat="1" x14ac:dyDescent="0.2">
      <c r="A1106" s="1322"/>
      <c r="B1106" s="1339"/>
      <c r="C1106" s="1345"/>
      <c r="D1106" s="1334"/>
      <c r="E1106" s="1335"/>
      <c r="F1106" s="1335"/>
      <c r="G1106" s="1327"/>
      <c r="H1106" s="1327"/>
      <c r="I1106" s="1323"/>
      <c r="J1106" s="1323"/>
      <c r="K1106" s="1324"/>
      <c r="L1106" s="1325"/>
      <c r="M1106" s="1336"/>
      <c r="N1106" s="1338"/>
      <c r="O1106" s="1335"/>
      <c r="P1106" s="1316"/>
      <c r="R1106" s="1352"/>
      <c r="S1106" s="1352"/>
      <c r="T1106" s="1352">
        <f>+Tabla16[[#This Row],[CDPS A 31 JULIO 2022]]-Tabla16[[#This Row],[CDP]]</f>
        <v>0</v>
      </c>
      <c r="U1106" s="1352"/>
      <c r="V1106" s="1352"/>
      <c r="W1106" s="1352"/>
    </row>
    <row r="1107" spans="1:23" s="1317" customFormat="1" x14ac:dyDescent="0.2">
      <c r="A1107" s="1322"/>
      <c r="B1107" s="1339"/>
      <c r="C1107" s="1345"/>
      <c r="D1107" s="1334"/>
      <c r="E1107" s="1335"/>
      <c r="F1107" s="1335"/>
      <c r="G1107" s="1327"/>
      <c r="H1107" s="1327"/>
      <c r="I1107" s="1323"/>
      <c r="J1107" s="1323"/>
      <c r="K1107" s="1324"/>
      <c r="L1107" s="1325"/>
      <c r="M1107" s="1336"/>
      <c r="N1107" s="1338"/>
      <c r="O1107" s="1335"/>
      <c r="P1107" s="1316"/>
      <c r="R1107" s="1352"/>
      <c r="S1107" s="1352"/>
      <c r="T1107" s="1352">
        <f>+Tabla16[[#This Row],[CDPS A 31 JULIO 2022]]-Tabla16[[#This Row],[CDP]]</f>
        <v>0</v>
      </c>
      <c r="U1107" s="1352"/>
      <c r="V1107" s="1352"/>
      <c r="W1107" s="1352"/>
    </row>
    <row r="1108" spans="1:23" s="1317" customFormat="1" x14ac:dyDescent="0.2">
      <c r="A1108" s="1322"/>
      <c r="B1108" s="1339"/>
      <c r="C1108" s="1345"/>
      <c r="D1108" s="1334"/>
      <c r="E1108" s="1335"/>
      <c r="F1108" s="1335"/>
      <c r="G1108" s="1327"/>
      <c r="H1108" s="1327"/>
      <c r="I1108" s="1323"/>
      <c r="J1108" s="1323"/>
      <c r="K1108" s="1324"/>
      <c r="L1108" s="1325"/>
      <c r="M1108" s="1336"/>
      <c r="N1108" s="1338"/>
      <c r="O1108" s="1335"/>
      <c r="P1108" s="1316"/>
      <c r="R1108" s="1352"/>
      <c r="S1108" s="1352"/>
      <c r="T1108" s="1352">
        <f>+Tabla16[[#This Row],[CDPS A 31 JULIO 2022]]-Tabla16[[#This Row],[CDP]]</f>
        <v>0</v>
      </c>
      <c r="U1108" s="1352"/>
      <c r="V1108" s="1352"/>
      <c r="W1108" s="1352"/>
    </row>
    <row r="1109" spans="1:23" s="1317" customFormat="1" x14ac:dyDescent="0.2">
      <c r="A1109" s="1322"/>
      <c r="B1109" s="1339"/>
      <c r="C1109" s="1345"/>
      <c r="D1109" s="1334"/>
      <c r="E1109" s="1335"/>
      <c r="F1109" s="1335"/>
      <c r="G1109" s="1327"/>
      <c r="H1109" s="1327"/>
      <c r="I1109" s="1323"/>
      <c r="J1109" s="1323"/>
      <c r="K1109" s="1324"/>
      <c r="L1109" s="1325"/>
      <c r="M1109" s="1336"/>
      <c r="N1109" s="1338"/>
      <c r="O1109" s="1335"/>
      <c r="P1109" s="1316"/>
      <c r="R1109" s="1352"/>
      <c r="S1109" s="1352"/>
      <c r="T1109" s="1352">
        <f>+Tabla16[[#This Row],[CDPS A 31 JULIO 2022]]-Tabla16[[#This Row],[CDP]]</f>
        <v>0</v>
      </c>
      <c r="U1109" s="1352"/>
      <c r="V1109" s="1352"/>
      <c r="W1109" s="1352"/>
    </row>
    <row r="1110" spans="1:23" s="1317" customFormat="1" x14ac:dyDescent="0.2">
      <c r="A1110" s="1322"/>
      <c r="B1110" s="1339"/>
      <c r="C1110" s="1345"/>
      <c r="D1110" s="1334"/>
      <c r="E1110" s="1335"/>
      <c r="F1110" s="1335"/>
      <c r="G1110" s="1327"/>
      <c r="H1110" s="1327"/>
      <c r="I1110" s="1323"/>
      <c r="J1110" s="1323"/>
      <c r="K1110" s="1324"/>
      <c r="L1110" s="1325"/>
      <c r="M1110" s="1336"/>
      <c r="N1110" s="1338"/>
      <c r="O1110" s="1335"/>
      <c r="P1110" s="1316"/>
      <c r="R1110" s="1352"/>
      <c r="S1110" s="1352"/>
      <c r="T1110" s="1352">
        <f>+Tabla16[[#This Row],[CDPS A 31 JULIO 2022]]-Tabla16[[#This Row],[CDP]]</f>
        <v>0</v>
      </c>
      <c r="U1110" s="1352"/>
      <c r="V1110" s="1352"/>
      <c r="W1110" s="1352"/>
    </row>
    <row r="1111" spans="1:23" s="1317" customFormat="1" x14ac:dyDescent="0.2">
      <c r="A1111" s="1322"/>
      <c r="B1111" s="1339"/>
      <c r="C1111" s="1345"/>
      <c r="D1111" s="1334"/>
      <c r="E1111" s="1335"/>
      <c r="F1111" s="1335"/>
      <c r="G1111" s="1327"/>
      <c r="H1111" s="1327"/>
      <c r="I1111" s="1323"/>
      <c r="J1111" s="1323"/>
      <c r="K1111" s="1324"/>
      <c r="L1111" s="1325"/>
      <c r="M1111" s="1336"/>
      <c r="N1111" s="1338"/>
      <c r="O1111" s="1335"/>
      <c r="P1111" s="1316"/>
      <c r="R1111" s="1352"/>
      <c r="S1111" s="1352"/>
      <c r="T1111" s="1352">
        <f>+Tabla16[[#This Row],[CDPS A 31 JULIO 2022]]-Tabla16[[#This Row],[CDP]]</f>
        <v>0</v>
      </c>
      <c r="U1111" s="1352"/>
      <c r="V1111" s="1352"/>
      <c r="W1111" s="1352"/>
    </row>
    <row r="1112" spans="1:23" s="1317" customFormat="1" x14ac:dyDescent="0.2">
      <c r="A1112" s="1322"/>
      <c r="B1112" s="1339"/>
      <c r="C1112" s="1345"/>
      <c r="D1112" s="1334"/>
      <c r="E1112" s="1335"/>
      <c r="F1112" s="1335"/>
      <c r="G1112" s="1327"/>
      <c r="H1112" s="1327"/>
      <c r="I1112" s="1323"/>
      <c r="J1112" s="1323"/>
      <c r="K1112" s="1324"/>
      <c r="L1112" s="1325"/>
      <c r="M1112" s="1336"/>
      <c r="N1112" s="1338"/>
      <c r="O1112" s="1335"/>
      <c r="P1112" s="1316"/>
      <c r="R1112" s="1352"/>
      <c r="S1112" s="1352"/>
      <c r="T1112" s="1352">
        <f>+Tabla16[[#This Row],[CDPS A 31 JULIO 2022]]-Tabla16[[#This Row],[CDP]]</f>
        <v>0</v>
      </c>
      <c r="U1112" s="1352"/>
      <c r="V1112" s="1352"/>
      <c r="W1112" s="1352"/>
    </row>
    <row r="1113" spans="1:23" s="1317" customFormat="1" x14ac:dyDescent="0.2">
      <c r="A1113" s="1322"/>
      <c r="B1113" s="1339"/>
      <c r="C1113" s="1345"/>
      <c r="D1113" s="1334"/>
      <c r="E1113" s="1335"/>
      <c r="F1113" s="1335"/>
      <c r="G1113" s="1327"/>
      <c r="H1113" s="1327"/>
      <c r="I1113" s="1323"/>
      <c r="J1113" s="1323"/>
      <c r="K1113" s="1324"/>
      <c r="L1113" s="1325"/>
      <c r="M1113" s="1336"/>
      <c r="N1113" s="1338"/>
      <c r="O1113" s="1335"/>
      <c r="P1113" s="1316"/>
      <c r="R1113" s="1352"/>
      <c r="S1113" s="1352"/>
      <c r="T1113" s="1352">
        <f>+Tabla16[[#This Row],[CDPS A 31 JULIO 2022]]-Tabla16[[#This Row],[CDP]]</f>
        <v>0</v>
      </c>
      <c r="U1113" s="1352"/>
      <c r="V1113" s="1352"/>
      <c r="W1113" s="1352"/>
    </row>
    <row r="1114" spans="1:23" s="1317" customFormat="1" x14ac:dyDescent="0.2">
      <c r="A1114" s="1322"/>
      <c r="B1114" s="1339"/>
      <c r="C1114" s="1345"/>
      <c r="D1114" s="1334"/>
      <c r="E1114" s="1335"/>
      <c r="F1114" s="1335"/>
      <c r="G1114" s="1327"/>
      <c r="H1114" s="1327"/>
      <c r="I1114" s="1323"/>
      <c r="J1114" s="1323"/>
      <c r="K1114" s="1324"/>
      <c r="L1114" s="1325"/>
      <c r="M1114" s="1336"/>
      <c r="N1114" s="1338"/>
      <c r="O1114" s="1335"/>
      <c r="P1114" s="1316"/>
      <c r="R1114" s="1352"/>
      <c r="S1114" s="1352"/>
      <c r="T1114" s="1352">
        <f>+Tabla16[[#This Row],[CDPS A 31 JULIO 2022]]-Tabla16[[#This Row],[CDP]]</f>
        <v>0</v>
      </c>
      <c r="U1114" s="1352"/>
      <c r="V1114" s="1352"/>
      <c r="W1114" s="1352"/>
    </row>
    <row r="1115" spans="1:23" s="1317" customFormat="1" x14ac:dyDescent="0.2">
      <c r="A1115" s="1322"/>
      <c r="B1115" s="1339"/>
      <c r="C1115" s="1345"/>
      <c r="D1115" s="1334"/>
      <c r="E1115" s="1335"/>
      <c r="F1115" s="1335"/>
      <c r="G1115" s="1327"/>
      <c r="H1115" s="1327"/>
      <c r="I1115" s="1323"/>
      <c r="J1115" s="1323"/>
      <c r="K1115" s="1324"/>
      <c r="L1115" s="1325"/>
      <c r="M1115" s="1336"/>
      <c r="N1115" s="1338"/>
      <c r="O1115" s="1335"/>
      <c r="P1115" s="1316"/>
      <c r="R1115" s="1352"/>
      <c r="S1115" s="1352"/>
      <c r="T1115" s="1352">
        <f>+Tabla16[[#This Row],[CDPS A 31 JULIO 2022]]-Tabla16[[#This Row],[CDP]]</f>
        <v>0</v>
      </c>
      <c r="U1115" s="1352"/>
      <c r="V1115" s="1352"/>
      <c r="W1115" s="1352"/>
    </row>
    <row r="1116" spans="1:23" s="1317" customFormat="1" x14ac:dyDescent="0.2">
      <c r="A1116" s="1322"/>
      <c r="B1116" s="1339"/>
      <c r="C1116" s="1345"/>
      <c r="D1116" s="1334"/>
      <c r="E1116" s="1335"/>
      <c r="F1116" s="1335"/>
      <c r="G1116" s="1327"/>
      <c r="H1116" s="1327"/>
      <c r="I1116" s="1323"/>
      <c r="J1116" s="1323"/>
      <c r="K1116" s="1324"/>
      <c r="L1116" s="1325"/>
      <c r="M1116" s="1336"/>
      <c r="N1116" s="1338"/>
      <c r="O1116" s="1335"/>
      <c r="P1116" s="1316"/>
      <c r="R1116" s="1352"/>
      <c r="S1116" s="1352"/>
      <c r="T1116" s="1352">
        <f>+Tabla16[[#This Row],[CDPS A 31 JULIO 2022]]-Tabla16[[#This Row],[CDP]]</f>
        <v>0</v>
      </c>
      <c r="U1116" s="1352"/>
      <c r="V1116" s="1352"/>
      <c r="W1116" s="1352"/>
    </row>
    <row r="1117" spans="1:23" s="1317" customFormat="1" x14ac:dyDescent="0.2">
      <c r="A1117" s="1322"/>
      <c r="B1117" s="1339"/>
      <c r="C1117" s="1345"/>
      <c r="D1117" s="1334"/>
      <c r="E1117" s="1335"/>
      <c r="F1117" s="1335"/>
      <c r="G1117" s="1327"/>
      <c r="H1117" s="1327"/>
      <c r="I1117" s="1323"/>
      <c r="J1117" s="1323"/>
      <c r="K1117" s="1324"/>
      <c r="L1117" s="1325"/>
      <c r="M1117" s="1336"/>
      <c r="N1117" s="1338"/>
      <c r="O1117" s="1335"/>
      <c r="P1117" s="1316"/>
      <c r="R1117" s="1352"/>
      <c r="S1117" s="1352"/>
      <c r="T1117" s="1352">
        <f>+Tabla16[[#This Row],[CDPS A 31 JULIO 2022]]-Tabla16[[#This Row],[CDP]]</f>
        <v>0</v>
      </c>
      <c r="U1117" s="1352"/>
      <c r="V1117" s="1352"/>
      <c r="W1117" s="1352"/>
    </row>
    <row r="1118" spans="1:23" s="1317" customFormat="1" x14ac:dyDescent="0.2">
      <c r="A1118" s="1322"/>
      <c r="B1118" s="1339"/>
      <c r="C1118" s="1345"/>
      <c r="D1118" s="1334"/>
      <c r="E1118" s="1335"/>
      <c r="F1118" s="1335"/>
      <c r="G1118" s="1327"/>
      <c r="H1118" s="1327"/>
      <c r="I1118" s="1323"/>
      <c r="J1118" s="1323"/>
      <c r="K1118" s="1324"/>
      <c r="L1118" s="1325"/>
      <c r="M1118" s="1336"/>
      <c r="N1118" s="1338"/>
      <c r="O1118" s="1335"/>
      <c r="P1118" s="1316"/>
      <c r="R1118" s="1352"/>
      <c r="S1118" s="1352"/>
      <c r="T1118" s="1352">
        <f>+Tabla16[[#This Row],[CDPS A 31 JULIO 2022]]-Tabla16[[#This Row],[CDP]]</f>
        <v>0</v>
      </c>
      <c r="U1118" s="1352"/>
      <c r="V1118" s="1352"/>
      <c r="W1118" s="1352"/>
    </row>
    <row r="1119" spans="1:23" s="1317" customFormat="1" x14ac:dyDescent="0.2">
      <c r="A1119" s="1322"/>
      <c r="B1119" s="1339"/>
      <c r="C1119" s="1345"/>
      <c r="D1119" s="1334"/>
      <c r="E1119" s="1335"/>
      <c r="F1119" s="1335"/>
      <c r="G1119" s="1327"/>
      <c r="H1119" s="1327"/>
      <c r="I1119" s="1323"/>
      <c r="J1119" s="1323"/>
      <c r="K1119" s="1324"/>
      <c r="L1119" s="1325"/>
      <c r="M1119" s="1336"/>
      <c r="N1119" s="1338"/>
      <c r="O1119" s="1335"/>
      <c r="P1119" s="1316"/>
      <c r="R1119" s="1352"/>
      <c r="S1119" s="1352"/>
      <c r="T1119" s="1352">
        <f>+Tabla16[[#This Row],[CDPS A 31 JULIO 2022]]-Tabla16[[#This Row],[CDP]]</f>
        <v>0</v>
      </c>
      <c r="U1119" s="1352"/>
      <c r="V1119" s="1352"/>
      <c r="W1119" s="1352"/>
    </row>
    <row r="1120" spans="1:23" s="1317" customFormat="1" x14ac:dyDescent="0.2">
      <c r="A1120" s="1322"/>
      <c r="B1120" s="1339"/>
      <c r="C1120" s="1345"/>
      <c r="D1120" s="1334"/>
      <c r="E1120" s="1335"/>
      <c r="F1120" s="1335"/>
      <c r="G1120" s="1326"/>
      <c r="H1120" s="1326"/>
      <c r="I1120" s="1323"/>
      <c r="J1120" s="1323"/>
      <c r="K1120" s="1324"/>
      <c r="L1120" s="1325"/>
      <c r="M1120" s="1336"/>
      <c r="N1120" s="1338"/>
      <c r="O1120" s="1335"/>
      <c r="P1120" s="1316"/>
      <c r="R1120" s="1352"/>
      <c r="S1120" s="1352"/>
      <c r="T1120" s="1352">
        <f>+Tabla16[[#This Row],[CDPS A 31 JULIO 2022]]-Tabla16[[#This Row],[CDP]]</f>
        <v>0</v>
      </c>
      <c r="U1120" s="1352"/>
      <c r="V1120" s="1352"/>
      <c r="W1120" s="1352"/>
    </row>
    <row r="1121" spans="1:23" s="1317" customFormat="1" x14ac:dyDescent="0.2">
      <c r="A1121" s="1328"/>
      <c r="B1121" s="1340"/>
      <c r="C1121" s="1346"/>
      <c r="D1121" s="1341"/>
      <c r="E1121" s="1329"/>
      <c r="F1121" s="1329"/>
      <c r="G1121" s="1330"/>
      <c r="H1121" s="1330"/>
      <c r="I1121" s="1331"/>
      <c r="J1121" s="1331"/>
      <c r="K1121" s="1332"/>
      <c r="L1121" s="1333"/>
      <c r="M1121" s="1344"/>
      <c r="N1121" s="1342"/>
      <c r="O1121" s="1329"/>
      <c r="P1121" s="1316"/>
      <c r="R1121" s="1352"/>
      <c r="S1121" s="1352"/>
      <c r="T1121" s="1352">
        <f>+Tabla16[[#This Row],[CDPS A 31 JULIO 2022]]-Tabla16[[#This Row],[CDP]]</f>
        <v>0</v>
      </c>
      <c r="U1121" s="1352"/>
      <c r="V1121" s="1352"/>
      <c r="W1121" s="1352"/>
    </row>
    <row r="1122" spans="1:23" x14ac:dyDescent="0.2">
      <c r="A1122" s="1322"/>
      <c r="B1122" s="1384"/>
      <c r="C1122" s="1345"/>
      <c r="D1122" s="1334"/>
      <c r="E1122" s="1379"/>
      <c r="F1122" s="1335"/>
      <c r="G1122" s="1385"/>
      <c r="H1122" s="1326"/>
      <c r="I1122" s="1380"/>
      <c r="J1122" s="1381"/>
      <c r="K1122" s="1324"/>
      <c r="L1122" s="1382"/>
      <c r="M1122" s="1336"/>
      <c r="N1122" s="1338"/>
      <c r="O1122" s="1383"/>
      <c r="P1122" s="1163"/>
      <c r="R1122" s="1352"/>
      <c r="S1122" s="1352"/>
      <c r="T1122" s="1352">
        <f>+Tabla16[[#This Row],[CDPS A 31 JULIO 2022]]-Tabla16[[#This Row],[CDP]]</f>
        <v>0</v>
      </c>
      <c r="U1122" s="1352"/>
      <c r="V1122" s="1352"/>
      <c r="W1122" s="1352"/>
    </row>
    <row r="1123" spans="1:23" x14ac:dyDescent="0.2">
      <c r="A1123" s="1322"/>
      <c r="B1123" s="1384"/>
      <c r="C1123" s="1345"/>
      <c r="D1123" s="1334"/>
      <c r="E1123" s="1379"/>
      <c r="F1123" s="1335"/>
      <c r="G1123" s="1385"/>
      <c r="H1123" s="1326"/>
      <c r="I1123" s="1380"/>
      <c r="J1123" s="1381"/>
      <c r="K1123" s="1324"/>
      <c r="L1123" s="1382"/>
      <c r="M1123" s="1336"/>
      <c r="N1123" s="1338"/>
      <c r="O1123" s="1383"/>
      <c r="P1123" s="1163"/>
      <c r="R1123" s="1352"/>
      <c r="S1123" s="1352"/>
      <c r="T1123" s="1352">
        <f>+Tabla16[[#This Row],[CDPS A 31 JULIO 2022]]-Tabla16[[#This Row],[CDP]]</f>
        <v>0</v>
      </c>
      <c r="U1123" s="1352"/>
      <c r="V1123" s="1352"/>
      <c r="W1123" s="1352"/>
    </row>
    <row r="1124" spans="1:23" x14ac:dyDescent="0.2">
      <c r="A1124" s="1322"/>
      <c r="B1124" s="1384"/>
      <c r="C1124" s="1345"/>
      <c r="D1124" s="1334"/>
      <c r="E1124" s="1379"/>
      <c r="F1124" s="1335"/>
      <c r="G1124" s="1385"/>
      <c r="H1124" s="1326"/>
      <c r="I1124" s="1380"/>
      <c r="J1124" s="1381"/>
      <c r="K1124" s="1324"/>
      <c r="L1124" s="1382"/>
      <c r="M1124" s="1336"/>
      <c r="N1124" s="1338"/>
      <c r="O1124" s="1383"/>
      <c r="P1124" s="1163"/>
      <c r="R1124" s="1352"/>
      <c r="S1124" s="1352"/>
      <c r="T1124" s="1352">
        <f>+Tabla16[[#This Row],[CDPS A 31 JULIO 2022]]-Tabla16[[#This Row],[CDP]]</f>
        <v>0</v>
      </c>
      <c r="U1124" s="1352"/>
      <c r="V1124" s="1352"/>
      <c r="W1124" s="1352"/>
    </row>
    <row r="1125" spans="1:23" x14ac:dyDescent="0.2">
      <c r="A1125" s="1322"/>
      <c r="B1125" s="1384"/>
      <c r="C1125" s="1345"/>
      <c r="D1125" s="1334"/>
      <c r="E1125" s="1379"/>
      <c r="F1125" s="1335"/>
      <c r="G1125" s="1385"/>
      <c r="H1125" s="1326"/>
      <c r="I1125" s="1380"/>
      <c r="J1125" s="1381"/>
      <c r="K1125" s="1324"/>
      <c r="L1125" s="1382"/>
      <c r="M1125" s="1336"/>
      <c r="N1125" s="1338"/>
      <c r="O1125" s="1383"/>
      <c r="P1125" s="1163"/>
      <c r="R1125" s="1352"/>
      <c r="S1125" s="1352"/>
      <c r="T1125" s="1352">
        <f>+Tabla16[[#This Row],[CDPS A 31 JULIO 2022]]-Tabla16[[#This Row],[CDP]]</f>
        <v>0</v>
      </c>
      <c r="U1125" s="1352"/>
      <c r="V1125" s="1352"/>
      <c r="W1125" s="1352"/>
    </row>
    <row r="1126" spans="1:23" x14ac:dyDescent="0.2">
      <c r="A1126" s="1322"/>
      <c r="B1126" s="1384"/>
      <c r="C1126" s="1345"/>
      <c r="D1126" s="1334"/>
      <c r="E1126" s="1379"/>
      <c r="F1126" s="1335"/>
      <c r="G1126" s="1385"/>
      <c r="H1126" s="1326"/>
      <c r="I1126" s="1380"/>
      <c r="J1126" s="1381"/>
      <c r="K1126" s="1324"/>
      <c r="L1126" s="1382"/>
      <c r="M1126" s="1336"/>
      <c r="N1126" s="1338"/>
      <c r="O1126" s="1383"/>
      <c r="P1126" s="1163"/>
      <c r="R1126" s="1352"/>
      <c r="S1126" s="1352"/>
      <c r="T1126" s="1352">
        <f>+Tabla16[[#This Row],[CDPS A 31 JULIO 2022]]-Tabla16[[#This Row],[CDP]]</f>
        <v>0</v>
      </c>
      <c r="U1126" s="1352"/>
      <c r="V1126" s="1352"/>
      <c r="W1126" s="1352"/>
    </row>
    <row r="1127" spans="1:23" x14ac:dyDescent="0.2">
      <c r="A1127" s="1322"/>
      <c r="B1127" s="1384"/>
      <c r="C1127" s="1345"/>
      <c r="D1127" s="1334"/>
      <c r="E1127" s="1379"/>
      <c r="F1127" s="1335"/>
      <c r="G1127" s="1385"/>
      <c r="H1127" s="1326"/>
      <c r="I1127" s="1380"/>
      <c r="J1127" s="1381"/>
      <c r="K1127" s="1324"/>
      <c r="L1127" s="1382"/>
      <c r="M1127" s="1336"/>
      <c r="N1127" s="1338"/>
      <c r="O1127" s="1383"/>
      <c r="P1127" s="1163"/>
      <c r="R1127" s="1352"/>
      <c r="S1127" s="1352"/>
      <c r="T1127" s="1352">
        <f>+Tabla16[[#This Row],[CDPS A 31 JULIO 2022]]-Tabla16[[#This Row],[CDP]]</f>
        <v>0</v>
      </c>
      <c r="U1127" s="1352"/>
      <c r="V1127" s="1352"/>
      <c r="W1127" s="1352"/>
    </row>
    <row r="1128" spans="1:23" x14ac:dyDescent="0.2">
      <c r="A1128" s="1322"/>
      <c r="B1128" s="1384"/>
      <c r="C1128" s="1345"/>
      <c r="D1128" s="1334"/>
      <c r="E1128" s="1379"/>
      <c r="F1128" s="1335"/>
      <c r="G1128" s="1385"/>
      <c r="H1128" s="1326"/>
      <c r="I1128" s="1380"/>
      <c r="J1128" s="1381"/>
      <c r="K1128" s="1324"/>
      <c r="L1128" s="1382"/>
      <c r="M1128" s="1336"/>
      <c r="N1128" s="1338"/>
      <c r="O1128" s="1383"/>
      <c r="P1128" s="1163"/>
      <c r="R1128" s="1352"/>
      <c r="S1128" s="1352"/>
      <c r="T1128" s="1352">
        <f>+Tabla16[[#This Row],[CDPS A 31 JULIO 2022]]-Tabla16[[#This Row],[CDP]]</f>
        <v>0</v>
      </c>
      <c r="U1128" s="1352"/>
      <c r="V1128" s="1352"/>
      <c r="W1128" s="1352"/>
    </row>
    <row r="1129" spans="1:23" x14ac:dyDescent="0.2">
      <c r="A1129" s="1322"/>
      <c r="B1129" s="1384"/>
      <c r="C1129" s="1345"/>
      <c r="D1129" s="1334"/>
      <c r="E1129" s="1379"/>
      <c r="F1129" s="1335"/>
      <c r="G1129" s="1385"/>
      <c r="H1129" s="1326"/>
      <c r="I1129" s="1380"/>
      <c r="J1129" s="1381"/>
      <c r="K1129" s="1324"/>
      <c r="L1129" s="1382"/>
      <c r="M1129" s="1336"/>
      <c r="N1129" s="1338"/>
      <c r="O1129" s="1383"/>
      <c r="P1129" s="1163"/>
      <c r="R1129" s="1352"/>
      <c r="S1129" s="1352"/>
      <c r="T1129" s="1352">
        <f>+Tabla16[[#This Row],[CDPS A 31 JULIO 2022]]-Tabla16[[#This Row],[CDP]]</f>
        <v>0</v>
      </c>
      <c r="U1129" s="1352"/>
      <c r="V1129" s="1352"/>
      <c r="W1129" s="1352"/>
    </row>
    <row r="1130" spans="1:23" x14ac:dyDescent="0.2">
      <c r="A1130" s="1322"/>
      <c r="B1130" s="1384"/>
      <c r="C1130" s="1345"/>
      <c r="D1130" s="1334"/>
      <c r="E1130" s="1379"/>
      <c r="F1130" s="1335"/>
      <c r="G1130" s="1385"/>
      <c r="H1130" s="1326"/>
      <c r="I1130" s="1380"/>
      <c r="J1130" s="1381"/>
      <c r="K1130" s="1324"/>
      <c r="L1130" s="1382"/>
      <c r="M1130" s="1336"/>
      <c r="N1130" s="1338"/>
      <c r="O1130" s="1383"/>
      <c r="P1130" s="1163"/>
      <c r="R1130" s="1352"/>
      <c r="S1130" s="1352"/>
      <c r="T1130" s="1352">
        <f>+Tabla16[[#This Row],[CDPS A 31 JULIO 2022]]-Tabla16[[#This Row],[CDP]]</f>
        <v>0</v>
      </c>
      <c r="U1130" s="1352"/>
      <c r="V1130" s="1352"/>
      <c r="W1130" s="1352"/>
    </row>
    <row r="1131" spans="1:23" x14ac:dyDescent="0.2">
      <c r="A1131" s="1322"/>
      <c r="B1131" s="1384"/>
      <c r="C1131" s="1345"/>
      <c r="D1131" s="1334"/>
      <c r="E1131" s="1379"/>
      <c r="F1131" s="1335"/>
      <c r="G1131" s="1385"/>
      <c r="H1131" s="1326"/>
      <c r="I1131" s="1380"/>
      <c r="J1131" s="1381"/>
      <c r="K1131" s="1324"/>
      <c r="L1131" s="1382"/>
      <c r="M1131" s="1336"/>
      <c r="N1131" s="1338"/>
      <c r="O1131" s="1383"/>
      <c r="P1131" s="1163"/>
      <c r="R1131" s="1352"/>
      <c r="S1131" s="1352"/>
      <c r="T1131" s="1352">
        <f>+Tabla16[[#This Row],[CDPS A 31 JULIO 2022]]-Tabla16[[#This Row],[CDP]]</f>
        <v>0</v>
      </c>
      <c r="U1131" s="1352"/>
      <c r="V1131" s="1352"/>
      <c r="W1131" s="1352"/>
    </row>
    <row r="1132" spans="1:23" x14ac:dyDescent="0.2">
      <c r="A1132" s="1322"/>
      <c r="B1132" s="1384"/>
      <c r="C1132" s="1345"/>
      <c r="D1132" s="1334"/>
      <c r="E1132" s="1379"/>
      <c r="F1132" s="1335"/>
      <c r="G1132" s="1385"/>
      <c r="H1132" s="1326"/>
      <c r="I1132" s="1380"/>
      <c r="J1132" s="1381"/>
      <c r="K1132" s="1324"/>
      <c r="L1132" s="1382"/>
      <c r="M1132" s="1336"/>
      <c r="N1132" s="1338"/>
      <c r="O1132" s="1383"/>
      <c r="P1132" s="1163"/>
      <c r="R1132" s="1352"/>
      <c r="S1132" s="1352"/>
      <c r="T1132" s="1352">
        <f>+Tabla16[[#This Row],[CDPS A 31 JULIO 2022]]-Tabla16[[#This Row],[CDP]]</f>
        <v>0</v>
      </c>
      <c r="U1132" s="1352"/>
      <c r="V1132" s="1352"/>
      <c r="W1132" s="1352"/>
    </row>
    <row r="1133" spans="1:23" ht="15.75" x14ac:dyDescent="0.25">
      <c r="A1133" s="1366"/>
      <c r="B1133" s="1367"/>
      <c r="C1133" s="1331"/>
      <c r="D1133" s="1368"/>
      <c r="E1133" s="1369"/>
      <c r="F1133" s="1331"/>
      <c r="G1133" s="1370"/>
      <c r="H1133" s="1330"/>
      <c r="I1133" s="1371"/>
      <c r="J1133" s="1372"/>
      <c r="K1133" s="1331"/>
      <c r="L1133" s="1373"/>
      <c r="M1133" s="1374"/>
      <c r="N1133" s="1178"/>
      <c r="Q1133"/>
      <c r="R1133"/>
      <c r="S1133"/>
      <c r="T1133"/>
      <c r="U1133" s="1362"/>
      <c r="V1133" s="1362"/>
      <c r="W1133"/>
    </row>
    <row r="1134" spans="1:23" x14ac:dyDescent="0.2">
      <c r="F1134" s="1163" t="s">
        <v>1433</v>
      </c>
      <c r="L1134" s="1365"/>
      <c r="M1134" s="1347"/>
      <c r="R1134" s="1378">
        <f>SUM(R7:R736)</f>
        <v>45840538894</v>
      </c>
    </row>
    <row r="1135" spans="1:23" x14ac:dyDescent="0.2">
      <c r="M1135" s="1348"/>
      <c r="N1135" s="1347"/>
    </row>
    <row r="1136" spans="1:23" x14ac:dyDescent="0.2">
      <c r="J1136" s="1347"/>
      <c r="M1136" s="1348"/>
    </row>
    <row r="1137" spans="10:13" x14ac:dyDescent="0.2">
      <c r="J1137" s="1347"/>
      <c r="M1137" s="1348"/>
    </row>
  </sheetData>
  <protectedRanges>
    <protectedRange sqref="F27" name="Rango1_4_4_1_2"/>
  </protectedRanges>
  <mergeCells count="2">
    <mergeCell ref="A1:L1"/>
    <mergeCell ref="M4:N4"/>
  </mergeCells>
  <phoneticPr fontId="108" type="noConversion"/>
  <dataValidations count="16">
    <dataValidation type="list" allowBlank="1" showInputMessage="1" showErrorMessage="1" sqref="O647" xr:uid="{00000000-0002-0000-0700-000000000000}">
      <formula1>$AK$38:$AK$43</formula1>
    </dataValidation>
    <dataValidation type="list" allowBlank="1" showInputMessage="1" showErrorMessage="1" sqref="N647" xr:uid="{00000000-0002-0000-0700-000001000000}">
      <formula1>$AL$38:$AL$49</formula1>
    </dataValidation>
    <dataValidation type="list" allowBlank="1" showInputMessage="1" showErrorMessage="1" sqref="O640 O653:O654" xr:uid="{00000000-0002-0000-0700-000002000000}">
      <formula1>$AK$40:$AK$45</formula1>
    </dataValidation>
    <dataValidation type="list" allowBlank="1" showInputMessage="1" showErrorMessage="1" sqref="N640 N653:N654" xr:uid="{00000000-0002-0000-0700-000003000000}">
      <formula1>$AL$40:$AL$51</formula1>
    </dataValidation>
    <dataValidation type="list" allowBlank="1" showInputMessage="1" showErrorMessage="1" sqref="O641:O646 O648:O652 O387:O639 O655:O1121 O7:O384" xr:uid="{00000000-0002-0000-0700-000004000000}">
      <formula1>$AK$39:$AK$44</formula1>
    </dataValidation>
    <dataValidation type="list" allowBlank="1" showInputMessage="1" showErrorMessage="1" sqref="N648:N652 N641:N646 N387:N639 N655:N1121 N7:N384" xr:uid="{00000000-0002-0000-0700-000005000000}">
      <formula1>$AL$39:$AL$50</formula1>
    </dataValidation>
    <dataValidation type="list" allowBlank="1" showInputMessage="1" showErrorMessage="1" sqref="B387:B1124 B7:B384" xr:uid="{00000000-0002-0000-0700-000006000000}">
      <formula1>$AJ$5:$AJ$8</formula1>
    </dataValidation>
    <dataValidation type="list" allowBlank="1" showInputMessage="1" showErrorMessage="1" sqref="C387:C1124 C7:C384" xr:uid="{00000000-0002-0000-0700-000007000000}">
      <formula1>$AK$5:$AK$7</formula1>
    </dataValidation>
    <dataValidation type="list" allowBlank="1" showInputMessage="1" showErrorMessage="1" sqref="D387:D1124 D7:D384" xr:uid="{00000000-0002-0000-0700-000008000000}">
      <formula1>$AL$5:$AL$14</formula1>
    </dataValidation>
    <dataValidation type="list" allowBlank="1" showInputMessage="1" showErrorMessage="1" sqref="J387:J1124 J7:J384" xr:uid="{00000000-0002-0000-0700-000009000000}">
      <formula1>$AM$5:$AM$23</formula1>
    </dataValidation>
    <dataValidation type="list" allowBlank="1" showInputMessage="1" showErrorMessage="1" sqref="J385:J386" xr:uid="{00000000-0002-0000-0700-00000A000000}">
      <formula1>$AL$5:$AL$23</formula1>
    </dataValidation>
    <dataValidation type="list" allowBlank="1" showInputMessage="1" showErrorMessage="1" sqref="D385:D386" xr:uid="{00000000-0002-0000-0700-00000B000000}">
      <formula1>$AK$5:$AK$14</formula1>
    </dataValidation>
    <dataValidation type="list" allowBlank="1" showInputMessage="1" showErrorMessage="1" sqref="C385:C386" xr:uid="{00000000-0002-0000-0700-00000C000000}">
      <formula1>$AJ$5:$AJ$7</formula1>
    </dataValidation>
    <dataValidation type="list" allowBlank="1" showInputMessage="1" showErrorMessage="1" sqref="B385:B386" xr:uid="{00000000-0002-0000-0700-00000D000000}">
      <formula1>$AI$5:$AI$8</formula1>
    </dataValidation>
    <dataValidation type="list" allowBlank="1" showInputMessage="1" showErrorMessage="1" sqref="N385:N386" xr:uid="{00000000-0002-0000-0700-00000E000000}">
      <formula1>$AK$41:$AK$52</formula1>
    </dataValidation>
    <dataValidation type="list" allowBlank="1" showInputMessage="1" showErrorMessage="1" sqref="O385:O386" xr:uid="{00000000-0002-0000-0700-00000F000000}">
      <formula1>$AJ$41:$AJ$46</formula1>
    </dataValidation>
  </dataValidations>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2578125" defaultRowHeight="12.75" x14ac:dyDescent="0.2"/>
  <cols>
    <col min="1" max="1" width="9.5703125" style="1001" customWidth="1"/>
    <col min="2" max="2" width="14" style="1002" customWidth="1"/>
    <col min="3" max="3" width="21.7109375" style="1001" customWidth="1"/>
    <col min="4" max="4" width="16.42578125" style="1103" customWidth="1"/>
    <col min="5" max="5" width="14.85546875" style="1002" customWidth="1"/>
    <col min="6" max="6" width="39.7109375" style="1126" customWidth="1"/>
    <col min="7" max="7" width="20.28515625" style="1103" customWidth="1"/>
    <col min="8" max="8" width="17.7109375" style="1103" customWidth="1"/>
    <col min="9" max="9" width="13.28515625" style="1103" customWidth="1"/>
    <col min="10" max="10" width="17.7109375" style="1103" customWidth="1"/>
    <col min="11" max="11" width="15.7109375" style="1103" customWidth="1"/>
    <col min="12" max="12" width="19.5703125" style="1127" customWidth="1"/>
    <col min="13" max="13" width="20.42578125" style="1103" bestFit="1" customWidth="1"/>
    <col min="14" max="14" width="21.85546875" style="1103" customWidth="1"/>
    <col min="15" max="15" width="32.7109375" style="1103" customWidth="1"/>
    <col min="16" max="16" width="12.42578125" style="1103" bestFit="1" customWidth="1"/>
    <col min="17" max="17" width="18.42578125" style="1127" customWidth="1"/>
    <col min="18" max="19" width="11.42578125" style="1127"/>
    <col min="20" max="20" width="16.42578125" style="1157" bestFit="1" customWidth="1"/>
    <col min="21" max="16384" width="11.42578125" style="1103"/>
  </cols>
  <sheetData>
    <row r="1" spans="1:20" s="995" customFormat="1" ht="26.45" customHeight="1" x14ac:dyDescent="0.25">
      <c r="A1" s="991"/>
      <c r="B1" s="992"/>
      <c r="C1" s="992"/>
      <c r="D1" s="992"/>
      <c r="E1" s="993"/>
      <c r="F1" s="1451" t="s">
        <v>641</v>
      </c>
      <c r="G1" s="1451"/>
      <c r="H1" s="1451"/>
      <c r="I1" s="992"/>
      <c r="J1" s="992"/>
      <c r="K1" s="992"/>
      <c r="L1" s="992"/>
      <c r="M1" s="992"/>
      <c r="N1" s="992"/>
      <c r="O1" s="992"/>
      <c r="P1" s="992"/>
      <c r="Q1" s="994"/>
      <c r="R1" s="994"/>
      <c r="S1" s="994"/>
      <c r="T1" s="1154"/>
    </row>
    <row r="2" spans="1:20" s="995" customFormat="1" x14ac:dyDescent="0.25">
      <c r="A2" s="992"/>
      <c r="B2" s="992"/>
      <c r="C2" s="992"/>
      <c r="D2" s="992"/>
      <c r="E2" s="993"/>
      <c r="F2" s="996"/>
      <c r="G2" s="997"/>
      <c r="H2" s="992"/>
      <c r="I2" s="992"/>
      <c r="J2" s="992"/>
      <c r="K2" s="992"/>
      <c r="L2" s="992"/>
      <c r="M2" s="992"/>
      <c r="N2" s="992"/>
      <c r="O2" s="992"/>
      <c r="P2" s="992"/>
      <c r="Q2" s="994"/>
      <c r="R2" s="994"/>
      <c r="S2" s="994"/>
      <c r="T2" s="1154"/>
    </row>
    <row r="3" spans="1:20" s="995" customFormat="1" x14ac:dyDescent="0.25">
      <c r="B3" s="992"/>
      <c r="C3" s="992"/>
      <c r="D3" s="992"/>
      <c r="E3" s="993"/>
      <c r="F3" s="996" t="s">
        <v>1434</v>
      </c>
      <c r="G3" s="997"/>
      <c r="I3" s="992"/>
      <c r="J3" s="992"/>
      <c r="K3" s="992"/>
      <c r="L3" s="992"/>
      <c r="M3" s="992"/>
      <c r="N3" s="992"/>
      <c r="O3" s="992"/>
      <c r="P3" s="992"/>
      <c r="Q3" s="994"/>
      <c r="R3" s="994"/>
      <c r="S3" s="994"/>
      <c r="T3" s="1154"/>
    </row>
    <row r="4" spans="1:20" s="995" customFormat="1" x14ac:dyDescent="0.25">
      <c r="B4" s="994"/>
      <c r="D4" s="998"/>
      <c r="E4" s="994"/>
      <c r="F4" s="999"/>
      <c r="G4" s="998"/>
      <c r="H4" s="998"/>
      <c r="I4" s="998"/>
      <c r="J4" s="998"/>
      <c r="K4" s="998"/>
      <c r="L4" s="1000"/>
      <c r="M4" s="1452" t="s">
        <v>1435</v>
      </c>
      <c r="N4" s="1452"/>
      <c r="Q4" s="994"/>
      <c r="R4" s="994"/>
      <c r="S4" s="994"/>
      <c r="T4" s="1154"/>
    </row>
    <row r="5" spans="1:20" s="995" customFormat="1" x14ac:dyDescent="0.25">
      <c r="A5" s="1001"/>
      <c r="B5" s="1002"/>
      <c r="C5" s="1001"/>
      <c r="D5" s="1001"/>
      <c r="E5" s="994"/>
      <c r="F5" s="999"/>
      <c r="K5" s="1003"/>
      <c r="L5" s="1004"/>
      <c r="M5" s="1005">
        <f>+SUBTOTAL(9,M7:M616)</f>
        <v>67248064999.699997</v>
      </c>
      <c r="N5" s="1006"/>
      <c r="Q5" s="994"/>
      <c r="R5" s="994"/>
      <c r="S5" s="994"/>
      <c r="T5" s="1154"/>
    </row>
    <row r="6" spans="1:20" s="1012" customFormat="1" ht="51" x14ac:dyDescent="0.25">
      <c r="A6" s="1007" t="s">
        <v>648</v>
      </c>
      <c r="B6" s="1007" t="s">
        <v>644</v>
      </c>
      <c r="C6" s="1007" t="s">
        <v>649</v>
      </c>
      <c r="D6" s="1007" t="s">
        <v>650</v>
      </c>
      <c r="E6" s="1007" t="s">
        <v>651</v>
      </c>
      <c r="F6" s="1008" t="s">
        <v>652</v>
      </c>
      <c r="G6" s="1009" t="s">
        <v>653</v>
      </c>
      <c r="H6" s="1009" t="s">
        <v>654</v>
      </c>
      <c r="I6" s="1007" t="s">
        <v>1436</v>
      </c>
      <c r="J6" s="1007" t="s">
        <v>656</v>
      </c>
      <c r="K6" s="1007" t="s">
        <v>657</v>
      </c>
      <c r="L6" s="1010" t="s">
        <v>658</v>
      </c>
      <c r="M6" s="1007" t="s">
        <v>659</v>
      </c>
      <c r="N6" s="1007" t="s">
        <v>660</v>
      </c>
      <c r="O6" s="1007" t="s">
        <v>1437</v>
      </c>
      <c r="P6" s="1011" t="s">
        <v>666</v>
      </c>
      <c r="Q6" s="1007" t="s">
        <v>1438</v>
      </c>
      <c r="R6" s="1012" t="s">
        <v>665</v>
      </c>
      <c r="S6" s="1012" t="s">
        <v>667</v>
      </c>
      <c r="T6" s="1155" t="s">
        <v>1439</v>
      </c>
    </row>
    <row r="7" spans="1:20" s="1022" customFormat="1" ht="102" x14ac:dyDescent="0.25">
      <c r="A7" s="1013">
        <v>2022001</v>
      </c>
      <c r="B7" s="1013">
        <v>7637</v>
      </c>
      <c r="C7" s="1013" t="s">
        <v>645</v>
      </c>
      <c r="D7" s="1014" t="s">
        <v>673</v>
      </c>
      <c r="E7" s="1015">
        <v>80111600</v>
      </c>
      <c r="F7" s="1016" t="s">
        <v>674</v>
      </c>
      <c r="G7" s="1017" t="s">
        <v>1440</v>
      </c>
      <c r="H7" s="1017" t="s">
        <v>1440</v>
      </c>
      <c r="I7" s="1017">
        <v>11</v>
      </c>
      <c r="J7" s="1017" t="s">
        <v>1441</v>
      </c>
      <c r="K7" s="1018" t="s">
        <v>676</v>
      </c>
      <c r="L7" s="1019" t="s">
        <v>677</v>
      </c>
      <c r="M7" s="1020">
        <f>93500000-23400000</f>
        <v>70100000</v>
      </c>
      <c r="N7" s="1021" t="s">
        <v>734</v>
      </c>
      <c r="O7" s="1021" t="s">
        <v>1411</v>
      </c>
      <c r="P7" s="1021"/>
      <c r="Q7" s="1017"/>
      <c r="S7" s="1130"/>
      <c r="T7" s="1156"/>
    </row>
    <row r="8" spans="1:20" s="995" customFormat="1" ht="89.25" x14ac:dyDescent="0.25">
      <c r="A8" s="1023">
        <v>2022002</v>
      </c>
      <c r="B8" s="1023">
        <v>7637</v>
      </c>
      <c r="C8" s="1023" t="s">
        <v>645</v>
      </c>
      <c r="D8" s="1024" t="s">
        <v>673</v>
      </c>
      <c r="E8" s="1025">
        <v>80111600</v>
      </c>
      <c r="F8" s="1026" t="s">
        <v>683</v>
      </c>
      <c r="G8" s="1027" t="s">
        <v>1440</v>
      </c>
      <c r="H8" s="1027" t="s">
        <v>1440</v>
      </c>
      <c r="I8" s="1027">
        <v>11</v>
      </c>
      <c r="J8" s="1027" t="s">
        <v>1441</v>
      </c>
      <c r="K8" s="1028" t="s">
        <v>676</v>
      </c>
      <c r="L8" s="1029" t="s">
        <v>677</v>
      </c>
      <c r="M8" s="1030">
        <v>77000000</v>
      </c>
      <c r="N8" s="1031" t="s">
        <v>734</v>
      </c>
      <c r="O8" s="1031" t="s">
        <v>1411</v>
      </c>
      <c r="P8" s="1031"/>
      <c r="Q8" s="1027"/>
      <c r="R8" s="1022"/>
      <c r="S8" s="1130">
        <v>259</v>
      </c>
      <c r="T8" s="1156">
        <v>74800000</v>
      </c>
    </row>
    <row r="9" spans="1:20" s="995" customFormat="1" ht="89.25" x14ac:dyDescent="0.25">
      <c r="A9" s="1023">
        <v>2022003</v>
      </c>
      <c r="B9" s="1023">
        <v>7637</v>
      </c>
      <c r="C9" s="1023" t="s">
        <v>645</v>
      </c>
      <c r="D9" s="1024" t="s">
        <v>673</v>
      </c>
      <c r="E9" s="1025">
        <v>80111600</v>
      </c>
      <c r="F9" s="1026" t="s">
        <v>686</v>
      </c>
      <c r="G9" s="1027" t="s">
        <v>1440</v>
      </c>
      <c r="H9" s="1027" t="s">
        <v>1440</v>
      </c>
      <c r="I9" s="1027">
        <v>11</v>
      </c>
      <c r="J9" s="1027" t="s">
        <v>1441</v>
      </c>
      <c r="K9" s="1028" t="s">
        <v>676</v>
      </c>
      <c r="L9" s="1029" t="s">
        <v>677</v>
      </c>
      <c r="M9" s="1030">
        <v>77000000</v>
      </c>
      <c r="N9" s="1031" t="s">
        <v>740</v>
      </c>
      <c r="O9" s="1031" t="s">
        <v>1411</v>
      </c>
      <c r="P9" s="1031"/>
      <c r="Q9" s="1027"/>
      <c r="R9" s="1022"/>
      <c r="S9" s="1130">
        <v>404</v>
      </c>
      <c r="T9" s="1156">
        <v>49600000</v>
      </c>
    </row>
    <row r="10" spans="1:20" s="995" customFormat="1" ht="89.25" x14ac:dyDescent="0.25">
      <c r="A10" s="1023">
        <v>2022004</v>
      </c>
      <c r="B10" s="1023">
        <v>7637</v>
      </c>
      <c r="C10" s="1023" t="s">
        <v>645</v>
      </c>
      <c r="D10" s="1024" t="s">
        <v>673</v>
      </c>
      <c r="E10" s="1025">
        <v>80111600</v>
      </c>
      <c r="F10" s="1026" t="s">
        <v>690</v>
      </c>
      <c r="G10" s="1027" t="s">
        <v>1440</v>
      </c>
      <c r="H10" s="1027" t="s">
        <v>1440</v>
      </c>
      <c r="I10" s="1027">
        <v>11</v>
      </c>
      <c r="J10" s="1027" t="s">
        <v>1441</v>
      </c>
      <c r="K10" s="1028" t="s">
        <v>676</v>
      </c>
      <c r="L10" s="1029" t="s">
        <v>677</v>
      </c>
      <c r="M10" s="1030">
        <v>77000000</v>
      </c>
      <c r="N10" s="1031" t="s">
        <v>734</v>
      </c>
      <c r="O10" s="1031" t="s">
        <v>1411</v>
      </c>
      <c r="P10" s="1031"/>
      <c r="Q10" s="1027"/>
      <c r="R10" s="1022"/>
      <c r="S10" s="1130">
        <v>311</v>
      </c>
      <c r="T10" s="1156">
        <v>74800000</v>
      </c>
    </row>
    <row r="11" spans="1:20" s="995" customFormat="1" ht="89.25" x14ac:dyDescent="0.25">
      <c r="A11" s="1023">
        <v>2022005</v>
      </c>
      <c r="B11" s="1023">
        <v>7637</v>
      </c>
      <c r="C11" s="1023" t="s">
        <v>645</v>
      </c>
      <c r="D11" s="1024" t="s">
        <v>673</v>
      </c>
      <c r="E11" s="1025">
        <v>80111600</v>
      </c>
      <c r="F11" s="1026" t="s">
        <v>693</v>
      </c>
      <c r="G11" s="1027" t="s">
        <v>1440</v>
      </c>
      <c r="H11" s="1027" t="s">
        <v>1440</v>
      </c>
      <c r="I11" s="1027">
        <v>11</v>
      </c>
      <c r="J11" s="1027" t="s">
        <v>1441</v>
      </c>
      <c r="K11" s="1028" t="s">
        <v>676</v>
      </c>
      <c r="L11" s="1029" t="s">
        <v>677</v>
      </c>
      <c r="M11" s="1030">
        <v>77000000</v>
      </c>
      <c r="N11" s="1031" t="s">
        <v>734</v>
      </c>
      <c r="O11" s="1031" t="s">
        <v>1411</v>
      </c>
      <c r="P11" s="1031"/>
      <c r="Q11" s="1027"/>
      <c r="R11" s="1022"/>
      <c r="S11" s="1130">
        <v>452</v>
      </c>
      <c r="T11" s="1156">
        <v>40800000</v>
      </c>
    </row>
    <row r="12" spans="1:20" s="995" customFormat="1" ht="89.25" x14ac:dyDescent="0.25">
      <c r="A12" s="1023">
        <v>2022006</v>
      </c>
      <c r="B12" s="1023">
        <v>7637</v>
      </c>
      <c r="C12" s="1023" t="s">
        <v>645</v>
      </c>
      <c r="D12" s="1024" t="s">
        <v>673</v>
      </c>
      <c r="E12" s="1025">
        <v>80111600</v>
      </c>
      <c r="F12" s="1026" t="s">
        <v>696</v>
      </c>
      <c r="G12" s="1027" t="s">
        <v>1440</v>
      </c>
      <c r="H12" s="1027" t="s">
        <v>1440</v>
      </c>
      <c r="I12" s="1027">
        <v>11</v>
      </c>
      <c r="J12" s="1027" t="s">
        <v>1441</v>
      </c>
      <c r="K12" s="1028" t="s">
        <v>676</v>
      </c>
      <c r="L12" s="1029" t="s">
        <v>677</v>
      </c>
      <c r="M12" s="1030">
        <v>66000000</v>
      </c>
      <c r="N12" s="1031" t="s">
        <v>734</v>
      </c>
      <c r="O12" s="1031" t="s">
        <v>1411</v>
      </c>
      <c r="P12" s="1031"/>
      <c r="Q12" s="1027"/>
      <c r="R12" s="1022"/>
      <c r="S12" s="1130">
        <v>474</v>
      </c>
      <c r="T12" s="1156">
        <v>48000000</v>
      </c>
    </row>
    <row r="13" spans="1:20" s="995" customFormat="1" ht="89.25" x14ac:dyDescent="0.25">
      <c r="A13" s="1023">
        <v>2022007</v>
      </c>
      <c r="B13" s="1023">
        <v>7637</v>
      </c>
      <c r="C13" s="1023" t="s">
        <v>645</v>
      </c>
      <c r="D13" s="1024" t="s">
        <v>673</v>
      </c>
      <c r="E13" s="1025">
        <v>80111600</v>
      </c>
      <c r="F13" s="1026" t="s">
        <v>699</v>
      </c>
      <c r="G13" s="1027" t="s">
        <v>1440</v>
      </c>
      <c r="H13" s="1027" t="s">
        <v>1440</v>
      </c>
      <c r="I13" s="1027">
        <v>11</v>
      </c>
      <c r="J13" s="1027" t="s">
        <v>1441</v>
      </c>
      <c r="K13" s="1028" t="s">
        <v>676</v>
      </c>
      <c r="L13" s="1029" t="s">
        <v>677</v>
      </c>
      <c r="M13" s="1030">
        <v>77000000</v>
      </c>
      <c r="N13" s="1031" t="s">
        <v>734</v>
      </c>
      <c r="O13" s="1031" t="s">
        <v>1411</v>
      </c>
      <c r="P13" s="1031"/>
      <c r="Q13" s="1027"/>
      <c r="R13" s="1022"/>
      <c r="S13" s="1130">
        <v>260</v>
      </c>
      <c r="T13" s="1156">
        <v>74800000</v>
      </c>
    </row>
    <row r="14" spans="1:20" s="995" customFormat="1" ht="89.25" x14ac:dyDescent="0.25">
      <c r="A14" s="1023">
        <v>2022008</v>
      </c>
      <c r="B14" s="1023">
        <v>7637</v>
      </c>
      <c r="C14" s="1023" t="s">
        <v>645</v>
      </c>
      <c r="D14" s="1024" t="s">
        <v>673</v>
      </c>
      <c r="E14" s="1025">
        <v>80111600</v>
      </c>
      <c r="F14" s="1026" t="s">
        <v>702</v>
      </c>
      <c r="G14" s="1027" t="s">
        <v>1440</v>
      </c>
      <c r="H14" s="1027" t="s">
        <v>1440</v>
      </c>
      <c r="I14" s="1027">
        <v>11</v>
      </c>
      <c r="J14" s="1027" t="s">
        <v>1441</v>
      </c>
      <c r="K14" s="1028" t="s">
        <v>676</v>
      </c>
      <c r="L14" s="1029" t="s">
        <v>677</v>
      </c>
      <c r="M14" s="1030">
        <v>77000000</v>
      </c>
      <c r="N14" s="1031" t="s">
        <v>734</v>
      </c>
      <c r="O14" s="1031" t="s">
        <v>1411</v>
      </c>
      <c r="P14" s="1031"/>
      <c r="Q14" s="1027"/>
      <c r="R14" s="1022"/>
      <c r="S14" s="1130">
        <v>310</v>
      </c>
      <c r="T14" s="1156">
        <v>74800000</v>
      </c>
    </row>
    <row r="15" spans="1:20" s="995" customFormat="1" ht="89.25" x14ac:dyDescent="0.25">
      <c r="A15" s="1023">
        <v>2022009</v>
      </c>
      <c r="B15" s="1023">
        <v>7637</v>
      </c>
      <c r="C15" s="1023" t="s">
        <v>645</v>
      </c>
      <c r="D15" s="1024" t="s">
        <v>673</v>
      </c>
      <c r="E15" s="1025">
        <v>80111600</v>
      </c>
      <c r="F15" s="1026" t="s">
        <v>705</v>
      </c>
      <c r="G15" s="1027" t="s">
        <v>1440</v>
      </c>
      <c r="H15" s="1027" t="s">
        <v>1440</v>
      </c>
      <c r="I15" s="1027">
        <v>11</v>
      </c>
      <c r="J15" s="1027" t="s">
        <v>1441</v>
      </c>
      <c r="K15" s="1028" t="s">
        <v>676</v>
      </c>
      <c r="L15" s="1029" t="s">
        <v>677</v>
      </c>
      <c r="M15" s="1030">
        <v>77000000</v>
      </c>
      <c r="N15" s="1031" t="s">
        <v>738</v>
      </c>
      <c r="O15" s="1031" t="s">
        <v>1411</v>
      </c>
      <c r="P15" s="1031"/>
      <c r="Q15" s="1027"/>
      <c r="R15" s="1022"/>
      <c r="S15" s="1130">
        <v>459</v>
      </c>
      <c r="T15" s="1156">
        <v>49600000</v>
      </c>
    </row>
    <row r="16" spans="1:20" s="995" customFormat="1" ht="89.25" x14ac:dyDescent="0.25">
      <c r="A16" s="1023">
        <v>2022010</v>
      </c>
      <c r="B16" s="1023">
        <v>7637</v>
      </c>
      <c r="C16" s="1023" t="s">
        <v>645</v>
      </c>
      <c r="D16" s="1024" t="s">
        <v>673</v>
      </c>
      <c r="E16" s="1025">
        <v>80111600</v>
      </c>
      <c r="F16" s="1026" t="s">
        <v>708</v>
      </c>
      <c r="G16" s="1027" t="s">
        <v>1440</v>
      </c>
      <c r="H16" s="1027" t="s">
        <v>1440</v>
      </c>
      <c r="I16" s="1027">
        <v>11</v>
      </c>
      <c r="J16" s="1027" t="s">
        <v>1441</v>
      </c>
      <c r="K16" s="1028" t="s">
        <v>676</v>
      </c>
      <c r="L16" s="1029" t="s">
        <v>677</v>
      </c>
      <c r="M16" s="1030">
        <v>66000000</v>
      </c>
      <c r="N16" s="1031" t="s">
        <v>734</v>
      </c>
      <c r="O16" s="1031" t="s">
        <v>1411</v>
      </c>
      <c r="P16" s="1031"/>
      <c r="Q16" s="1027"/>
      <c r="R16" s="1022"/>
      <c r="S16" s="1130">
        <v>449</v>
      </c>
      <c r="T16" s="1156">
        <v>49600000</v>
      </c>
    </row>
    <row r="17" spans="1:20" s="995" customFormat="1" ht="89.25" x14ac:dyDescent="0.25">
      <c r="A17" s="1023">
        <v>2022011</v>
      </c>
      <c r="B17" s="1023">
        <v>7637</v>
      </c>
      <c r="C17" s="1023" t="s">
        <v>645</v>
      </c>
      <c r="D17" s="1024" t="s">
        <v>673</v>
      </c>
      <c r="E17" s="1025">
        <v>80111600</v>
      </c>
      <c r="F17" s="1026" t="s">
        <v>710</v>
      </c>
      <c r="G17" s="1027" t="s">
        <v>1440</v>
      </c>
      <c r="H17" s="1027" t="s">
        <v>1440</v>
      </c>
      <c r="I17" s="1027">
        <v>11</v>
      </c>
      <c r="J17" s="1027" t="s">
        <v>1441</v>
      </c>
      <c r="K17" s="1028" t="s">
        <v>676</v>
      </c>
      <c r="L17" s="1029" t="s">
        <v>677</v>
      </c>
      <c r="M17" s="1030">
        <v>33000000</v>
      </c>
      <c r="N17" s="1031" t="s">
        <v>734</v>
      </c>
      <c r="O17" s="1031" t="s">
        <v>1411</v>
      </c>
      <c r="P17" s="1031"/>
      <c r="Q17" s="1027"/>
      <c r="R17" s="1022"/>
      <c r="S17" s="1130">
        <v>372</v>
      </c>
      <c r="T17" s="1156">
        <v>24000000</v>
      </c>
    </row>
    <row r="18" spans="1:20" s="995" customFormat="1" ht="89.25" x14ac:dyDescent="0.25">
      <c r="A18" s="1023">
        <v>2022012</v>
      </c>
      <c r="B18" s="1023">
        <v>7637</v>
      </c>
      <c r="C18" s="1023" t="s">
        <v>645</v>
      </c>
      <c r="D18" s="1024" t="s">
        <v>673</v>
      </c>
      <c r="E18" s="1025">
        <v>80111600</v>
      </c>
      <c r="F18" s="1026" t="s">
        <v>712</v>
      </c>
      <c r="G18" s="1027" t="s">
        <v>1440</v>
      </c>
      <c r="H18" s="1027" t="s">
        <v>1440</v>
      </c>
      <c r="I18" s="1027">
        <v>11</v>
      </c>
      <c r="J18" s="1027" t="s">
        <v>1441</v>
      </c>
      <c r="K18" s="1028" t="s">
        <v>676</v>
      </c>
      <c r="L18" s="1029" t="s">
        <v>677</v>
      </c>
      <c r="M18" s="1030">
        <v>49500000</v>
      </c>
      <c r="N18" s="1031" t="s">
        <v>734</v>
      </c>
      <c r="O18" s="1031" t="s">
        <v>1411</v>
      </c>
      <c r="P18" s="1031"/>
      <c r="Q18" s="1027"/>
      <c r="R18" s="1022"/>
      <c r="S18" s="1130">
        <v>209</v>
      </c>
      <c r="T18" s="1156">
        <v>49500000</v>
      </c>
    </row>
    <row r="19" spans="1:20" s="995" customFormat="1" ht="89.25" x14ac:dyDescent="0.25">
      <c r="A19" s="1023">
        <v>2022013</v>
      </c>
      <c r="B19" s="1023">
        <v>7637</v>
      </c>
      <c r="C19" s="1023" t="s">
        <v>645</v>
      </c>
      <c r="D19" s="1024" t="s">
        <v>673</v>
      </c>
      <c r="E19" s="1025">
        <v>80111600</v>
      </c>
      <c r="F19" s="1026" t="s">
        <v>714</v>
      </c>
      <c r="G19" s="1027" t="s">
        <v>1440</v>
      </c>
      <c r="H19" s="1027" t="s">
        <v>1440</v>
      </c>
      <c r="I19" s="1027">
        <v>11</v>
      </c>
      <c r="J19" s="1027" t="s">
        <v>1441</v>
      </c>
      <c r="K19" s="1028" t="s">
        <v>676</v>
      </c>
      <c r="L19" s="1029" t="s">
        <v>677</v>
      </c>
      <c r="M19" s="1030">
        <v>49500000</v>
      </c>
      <c r="N19" s="1031" t="s">
        <v>734</v>
      </c>
      <c r="O19" s="1031" t="s">
        <v>1411</v>
      </c>
      <c r="P19" s="1031"/>
      <c r="Q19" s="1027"/>
      <c r="R19" s="1022"/>
      <c r="S19" s="1130">
        <v>448</v>
      </c>
      <c r="T19" s="1156">
        <v>49500000</v>
      </c>
    </row>
    <row r="20" spans="1:20" s="995" customFormat="1" ht="89.25" x14ac:dyDescent="0.25">
      <c r="A20" s="1023">
        <v>2022014</v>
      </c>
      <c r="B20" s="1023">
        <v>7637</v>
      </c>
      <c r="C20" s="1023" t="s">
        <v>645</v>
      </c>
      <c r="D20" s="1024" t="s">
        <v>673</v>
      </c>
      <c r="E20" s="1025">
        <v>80111600</v>
      </c>
      <c r="F20" s="1026" t="s">
        <v>716</v>
      </c>
      <c r="G20" s="1027" t="s">
        <v>1440</v>
      </c>
      <c r="H20" s="1027" t="s">
        <v>1440</v>
      </c>
      <c r="I20" s="1027">
        <v>11</v>
      </c>
      <c r="J20" s="1027" t="s">
        <v>1441</v>
      </c>
      <c r="K20" s="1028" t="s">
        <v>676</v>
      </c>
      <c r="L20" s="1029" t="s">
        <v>677</v>
      </c>
      <c r="M20" s="1030">
        <v>77000000</v>
      </c>
      <c r="N20" s="1031" t="s">
        <v>738</v>
      </c>
      <c r="O20" s="1031" t="s">
        <v>1411</v>
      </c>
      <c r="P20" s="1031"/>
      <c r="Q20" s="1027"/>
      <c r="R20" s="1022"/>
      <c r="S20" s="1130">
        <v>74</v>
      </c>
      <c r="T20" s="1156">
        <v>54400000</v>
      </c>
    </row>
    <row r="21" spans="1:20" s="995" customFormat="1" ht="89.25" x14ac:dyDescent="0.25">
      <c r="A21" s="1023">
        <v>2022015</v>
      </c>
      <c r="B21" s="1023">
        <v>7637</v>
      </c>
      <c r="C21" s="1023" t="s">
        <v>645</v>
      </c>
      <c r="D21" s="1024" t="s">
        <v>673</v>
      </c>
      <c r="E21" s="1025">
        <v>80111600</v>
      </c>
      <c r="F21" s="1026" t="s">
        <v>718</v>
      </c>
      <c r="G21" s="1027" t="s">
        <v>1440</v>
      </c>
      <c r="H21" s="1027" t="s">
        <v>1440</v>
      </c>
      <c r="I21" s="1027">
        <v>11</v>
      </c>
      <c r="J21" s="1027" t="s">
        <v>1441</v>
      </c>
      <c r="K21" s="1028" t="s">
        <v>676</v>
      </c>
      <c r="L21" s="1029" t="s">
        <v>677</v>
      </c>
      <c r="M21" s="1030">
        <v>77000000</v>
      </c>
      <c r="N21" s="1031" t="s">
        <v>734</v>
      </c>
      <c r="O21" s="1031" t="s">
        <v>1411</v>
      </c>
      <c r="P21" s="1031"/>
      <c r="Q21" s="1027"/>
      <c r="R21" s="1022"/>
      <c r="S21" s="1130">
        <v>387</v>
      </c>
      <c r="T21" s="1156">
        <v>54400000</v>
      </c>
    </row>
    <row r="22" spans="1:20" s="995" customFormat="1" ht="89.25" x14ac:dyDescent="0.25">
      <c r="A22" s="1023">
        <v>2022016</v>
      </c>
      <c r="B22" s="1023">
        <v>7637</v>
      </c>
      <c r="C22" s="1023" t="s">
        <v>645</v>
      </c>
      <c r="D22" s="1024" t="s">
        <v>673</v>
      </c>
      <c r="E22" s="1025">
        <v>80111600</v>
      </c>
      <c r="F22" s="1026" t="s">
        <v>720</v>
      </c>
      <c r="G22" s="1027" t="s">
        <v>1440</v>
      </c>
      <c r="H22" s="1027" t="s">
        <v>1440</v>
      </c>
      <c r="I22" s="1027">
        <v>9.9</v>
      </c>
      <c r="J22" s="1027" t="s">
        <v>1441</v>
      </c>
      <c r="K22" s="1028" t="s">
        <v>676</v>
      </c>
      <c r="L22" s="1029" t="s">
        <v>677</v>
      </c>
      <c r="M22" s="1030">
        <v>49500000</v>
      </c>
      <c r="N22" s="1031" t="s">
        <v>738</v>
      </c>
      <c r="O22" s="1031" t="s">
        <v>1411</v>
      </c>
      <c r="P22" s="1031"/>
      <c r="Q22" s="1027"/>
      <c r="R22" s="1022"/>
      <c r="S22" s="1130">
        <v>472</v>
      </c>
      <c r="T22" s="1156">
        <v>30000000</v>
      </c>
    </row>
    <row r="23" spans="1:20" s="995" customFormat="1" ht="89.25" x14ac:dyDescent="0.25">
      <c r="A23" s="1023">
        <v>2022017</v>
      </c>
      <c r="B23" s="1023">
        <v>7637</v>
      </c>
      <c r="C23" s="1023" t="s">
        <v>645</v>
      </c>
      <c r="D23" s="1024" t="s">
        <v>673</v>
      </c>
      <c r="E23" s="1025">
        <v>80111600</v>
      </c>
      <c r="F23" s="1026" t="s">
        <v>721</v>
      </c>
      <c r="G23" s="1027" t="s">
        <v>1440</v>
      </c>
      <c r="H23" s="1027" t="s">
        <v>1440</v>
      </c>
      <c r="I23" s="1027">
        <v>11</v>
      </c>
      <c r="J23" s="1027" t="s">
        <v>1441</v>
      </c>
      <c r="K23" s="1028" t="s">
        <v>676</v>
      </c>
      <c r="L23" s="1029" t="s">
        <v>677</v>
      </c>
      <c r="M23" s="1030">
        <v>33000000</v>
      </c>
      <c r="N23" s="1031" t="s">
        <v>734</v>
      </c>
      <c r="O23" s="1031" t="s">
        <v>1411</v>
      </c>
      <c r="P23" s="1031"/>
      <c r="Q23" s="1027"/>
      <c r="R23" s="1022"/>
      <c r="S23" s="1130">
        <v>313</v>
      </c>
      <c r="T23" s="1156">
        <v>16800000</v>
      </c>
    </row>
    <row r="24" spans="1:20" s="995" customFormat="1" ht="89.25" x14ac:dyDescent="0.25">
      <c r="A24" s="1023">
        <v>2022018</v>
      </c>
      <c r="B24" s="1023">
        <v>7637</v>
      </c>
      <c r="C24" s="1027" t="s">
        <v>645</v>
      </c>
      <c r="D24" s="1024" t="s">
        <v>673</v>
      </c>
      <c r="E24" s="1025">
        <v>80111600</v>
      </c>
      <c r="F24" s="1026" t="s">
        <v>723</v>
      </c>
      <c r="G24" s="1027" t="s">
        <v>1440</v>
      </c>
      <c r="H24" s="1027" t="s">
        <v>1440</v>
      </c>
      <c r="I24" s="1027" t="s">
        <v>1442</v>
      </c>
      <c r="J24" s="1027" t="s">
        <v>1441</v>
      </c>
      <c r="K24" s="1027" t="s">
        <v>676</v>
      </c>
      <c r="L24" s="1027" t="s">
        <v>677</v>
      </c>
      <c r="M24" s="1030">
        <f>33000000-3500000</f>
        <v>29500000</v>
      </c>
      <c r="N24" s="1031" t="s">
        <v>734</v>
      </c>
      <c r="O24" s="1031" t="s">
        <v>1411</v>
      </c>
      <c r="P24" s="1031"/>
      <c r="Q24" s="1027"/>
      <c r="R24" s="1022"/>
      <c r="S24" s="1130">
        <v>451</v>
      </c>
      <c r="T24" s="1156">
        <v>24000000</v>
      </c>
    </row>
    <row r="25" spans="1:20" s="995" customFormat="1" ht="89.25" x14ac:dyDescent="0.25">
      <c r="A25" s="1023">
        <v>2022019</v>
      </c>
      <c r="B25" s="1023">
        <v>7637</v>
      </c>
      <c r="C25" s="1023" t="s">
        <v>645</v>
      </c>
      <c r="D25" s="1024" t="s">
        <v>673</v>
      </c>
      <c r="E25" s="1025">
        <v>80111600</v>
      </c>
      <c r="F25" s="1026" t="s">
        <v>725</v>
      </c>
      <c r="G25" s="1027" t="s">
        <v>1440</v>
      </c>
      <c r="H25" s="1027" t="s">
        <v>1440</v>
      </c>
      <c r="I25" s="1027">
        <v>11</v>
      </c>
      <c r="J25" s="1027" t="s">
        <v>1441</v>
      </c>
      <c r="K25" s="1027" t="s">
        <v>676</v>
      </c>
      <c r="L25" s="1029" t="s">
        <v>677</v>
      </c>
      <c r="M25" s="1030">
        <v>68200000</v>
      </c>
      <c r="N25" s="1031" t="s">
        <v>734</v>
      </c>
      <c r="O25" s="1031" t="s">
        <v>1411</v>
      </c>
      <c r="P25" s="1031"/>
      <c r="Q25" s="1027"/>
      <c r="R25" s="1022"/>
      <c r="S25" s="1130">
        <v>415</v>
      </c>
      <c r="T25" s="1156">
        <v>41400000</v>
      </c>
    </row>
    <row r="26" spans="1:20" s="995" customFormat="1" ht="89.25" x14ac:dyDescent="0.25">
      <c r="A26" s="1023">
        <v>2022020</v>
      </c>
      <c r="B26" s="1023">
        <v>7637</v>
      </c>
      <c r="C26" s="1023" t="s">
        <v>645</v>
      </c>
      <c r="D26" s="1024" t="s">
        <v>673</v>
      </c>
      <c r="E26" s="1025">
        <v>80111600</v>
      </c>
      <c r="F26" s="1026" t="s">
        <v>727</v>
      </c>
      <c r="G26" s="1027" t="s">
        <v>1440</v>
      </c>
      <c r="H26" s="1027" t="s">
        <v>1440</v>
      </c>
      <c r="I26" s="1027">
        <v>11</v>
      </c>
      <c r="J26" s="1027" t="s">
        <v>1441</v>
      </c>
      <c r="K26" s="1027" t="s">
        <v>676</v>
      </c>
      <c r="L26" s="1029" t="s">
        <v>677</v>
      </c>
      <c r="M26" s="1030">
        <v>49500000</v>
      </c>
      <c r="N26" s="1031" t="s">
        <v>734</v>
      </c>
      <c r="O26" s="1031" t="s">
        <v>1411</v>
      </c>
      <c r="P26" s="1031"/>
      <c r="Q26" s="1027"/>
      <c r="R26" s="1022"/>
      <c r="S26" s="1130">
        <v>284</v>
      </c>
      <c r="T26" s="1156">
        <v>36000000</v>
      </c>
    </row>
    <row r="27" spans="1:20" s="995" customFormat="1" ht="89.25" x14ac:dyDescent="0.25">
      <c r="A27" s="1013">
        <v>2022021</v>
      </c>
      <c r="B27" s="1013">
        <v>7637</v>
      </c>
      <c r="C27" s="1013" t="s">
        <v>645</v>
      </c>
      <c r="D27" s="1019" t="s">
        <v>673</v>
      </c>
      <c r="E27" s="1032" t="s">
        <v>1443</v>
      </c>
      <c r="F27" s="1016" t="s">
        <v>1444</v>
      </c>
      <c r="G27" s="1017" t="s">
        <v>1445</v>
      </c>
      <c r="H27" s="1017" t="s">
        <v>1446</v>
      </c>
      <c r="I27" s="1017">
        <v>6</v>
      </c>
      <c r="J27" s="1017" t="s">
        <v>1447</v>
      </c>
      <c r="K27" s="1017" t="s">
        <v>676</v>
      </c>
      <c r="L27" s="1019" t="s">
        <v>731</v>
      </c>
      <c r="M27" s="1020">
        <v>60000000</v>
      </c>
      <c r="N27" s="1021" t="s">
        <v>734</v>
      </c>
      <c r="O27" s="1021" t="s">
        <v>1411</v>
      </c>
      <c r="P27" s="1021"/>
      <c r="Q27" s="1017"/>
      <c r="R27" s="1022"/>
      <c r="S27" s="1130"/>
      <c r="T27" s="1156"/>
    </row>
    <row r="28" spans="1:20" s="995" customFormat="1" ht="89.25" x14ac:dyDescent="0.25">
      <c r="A28" s="1013">
        <v>2022022</v>
      </c>
      <c r="B28" s="1013">
        <v>7637</v>
      </c>
      <c r="C28" s="1013" t="s">
        <v>645</v>
      </c>
      <c r="D28" s="1019" t="s">
        <v>673</v>
      </c>
      <c r="E28" s="1032" t="s">
        <v>1448</v>
      </c>
      <c r="F28" s="1016" t="s">
        <v>730</v>
      </c>
      <c r="G28" s="1017" t="s">
        <v>1440</v>
      </c>
      <c r="H28" s="1017" t="s">
        <v>1449</v>
      </c>
      <c r="I28" s="1017">
        <v>1</v>
      </c>
      <c r="J28" s="1017" t="s">
        <v>1450</v>
      </c>
      <c r="K28" s="1017" t="s">
        <v>676</v>
      </c>
      <c r="L28" s="1019" t="s">
        <v>731</v>
      </c>
      <c r="M28" s="1020">
        <v>600000000</v>
      </c>
      <c r="N28" s="1021" t="s">
        <v>734</v>
      </c>
      <c r="O28" s="1021" t="s">
        <v>1411</v>
      </c>
      <c r="P28" s="1021"/>
      <c r="Q28" s="1017"/>
      <c r="R28" s="1022"/>
      <c r="S28" s="1130"/>
      <c r="T28" s="1156"/>
    </row>
    <row r="29" spans="1:20" s="995" customFormat="1" ht="89.25" x14ac:dyDescent="0.25">
      <c r="A29" s="1013">
        <v>2022023</v>
      </c>
      <c r="B29" s="1013">
        <v>7637</v>
      </c>
      <c r="C29" s="1013" t="s">
        <v>645</v>
      </c>
      <c r="D29" s="1019" t="s">
        <v>673</v>
      </c>
      <c r="E29" s="1032">
        <v>81112401</v>
      </c>
      <c r="F29" s="1016" t="s">
        <v>733</v>
      </c>
      <c r="G29" s="1017" t="s">
        <v>1445</v>
      </c>
      <c r="H29" s="1017" t="s">
        <v>1445</v>
      </c>
      <c r="I29" s="1017">
        <v>3</v>
      </c>
      <c r="J29" s="1017" t="s">
        <v>1450</v>
      </c>
      <c r="K29" s="1017" t="s">
        <v>676</v>
      </c>
      <c r="L29" s="1019" t="s">
        <v>731</v>
      </c>
      <c r="M29" s="1020">
        <v>195700000</v>
      </c>
      <c r="N29" s="1021" t="s">
        <v>734</v>
      </c>
      <c r="O29" s="1021" t="s">
        <v>1411</v>
      </c>
      <c r="P29" s="1021"/>
      <c r="Q29" s="1017"/>
      <c r="R29" s="1022"/>
      <c r="S29" s="1130"/>
      <c r="T29" s="1156"/>
    </row>
    <row r="30" spans="1:20" s="995" customFormat="1" ht="89.25" x14ac:dyDescent="0.25">
      <c r="A30" s="1013">
        <v>2022024</v>
      </c>
      <c r="B30" s="1013">
        <v>7637</v>
      </c>
      <c r="C30" s="1013" t="s">
        <v>645</v>
      </c>
      <c r="D30" s="1019" t="s">
        <v>673</v>
      </c>
      <c r="E30" s="1032" t="s">
        <v>1451</v>
      </c>
      <c r="F30" s="1016" t="s">
        <v>1452</v>
      </c>
      <c r="G30" s="1017" t="s">
        <v>1449</v>
      </c>
      <c r="H30" s="1017" t="s">
        <v>1446</v>
      </c>
      <c r="I30" s="1017">
        <v>6</v>
      </c>
      <c r="J30" s="1017" t="s">
        <v>1447</v>
      </c>
      <c r="K30" s="1017" t="s">
        <v>676</v>
      </c>
      <c r="L30" s="1019" t="s">
        <v>677</v>
      </c>
      <c r="M30" s="1020">
        <v>114000000</v>
      </c>
      <c r="N30" s="1021" t="s">
        <v>734</v>
      </c>
      <c r="O30" s="1021" t="s">
        <v>1411</v>
      </c>
      <c r="P30" s="1021"/>
      <c r="Q30" s="1017"/>
      <c r="R30" s="1022"/>
      <c r="S30" s="1130"/>
      <c r="T30" s="1156"/>
    </row>
    <row r="31" spans="1:20" s="995" customFormat="1" ht="89.25" x14ac:dyDescent="0.25">
      <c r="A31" s="1013">
        <v>2022025</v>
      </c>
      <c r="B31" s="1013">
        <v>7637</v>
      </c>
      <c r="C31" s="1013" t="s">
        <v>645</v>
      </c>
      <c r="D31" s="1019" t="s">
        <v>673</v>
      </c>
      <c r="E31" s="1032">
        <v>81112217</v>
      </c>
      <c r="F31" s="1016" t="s">
        <v>739</v>
      </c>
      <c r="G31" s="1017" t="s">
        <v>1453</v>
      </c>
      <c r="H31" s="1017" t="s">
        <v>1454</v>
      </c>
      <c r="I31" s="1017">
        <v>12</v>
      </c>
      <c r="J31" s="1017" t="s">
        <v>1450</v>
      </c>
      <c r="K31" s="1017" t="s">
        <v>676</v>
      </c>
      <c r="L31" s="1019" t="s">
        <v>737</v>
      </c>
      <c r="M31" s="1020">
        <v>50000000</v>
      </c>
      <c r="N31" s="1021" t="s">
        <v>740</v>
      </c>
      <c r="O31" s="1021" t="s">
        <v>1411</v>
      </c>
      <c r="P31" s="1021"/>
      <c r="Q31" s="1017"/>
      <c r="R31" s="1022"/>
      <c r="S31" s="1130"/>
      <c r="T31" s="1156"/>
    </row>
    <row r="32" spans="1:20" s="995" customFormat="1" ht="89.25" x14ac:dyDescent="0.25">
      <c r="A32" s="1023">
        <v>2022026</v>
      </c>
      <c r="B32" s="1023">
        <v>7637</v>
      </c>
      <c r="C32" s="1023" t="s">
        <v>645</v>
      </c>
      <c r="D32" s="1029" t="s">
        <v>673</v>
      </c>
      <c r="E32" s="1033" t="s">
        <v>1455</v>
      </c>
      <c r="F32" s="1026" t="s">
        <v>742</v>
      </c>
      <c r="G32" s="1027" t="s">
        <v>1453</v>
      </c>
      <c r="H32" s="1027" t="s">
        <v>1454</v>
      </c>
      <c r="I32" s="1027">
        <v>12</v>
      </c>
      <c r="J32" s="1027" t="s">
        <v>1450</v>
      </c>
      <c r="K32" s="1027" t="s">
        <v>676</v>
      </c>
      <c r="L32" s="1029" t="s">
        <v>737</v>
      </c>
      <c r="M32" s="1030">
        <v>150000000</v>
      </c>
      <c r="N32" s="1031" t="s">
        <v>734</v>
      </c>
      <c r="O32" s="1031" t="s">
        <v>1411</v>
      </c>
      <c r="P32" s="1031"/>
      <c r="Q32" s="1027"/>
      <c r="R32" s="1022"/>
      <c r="S32" s="1130">
        <v>465</v>
      </c>
      <c r="T32" s="1156">
        <v>142667750</v>
      </c>
    </row>
    <row r="33" spans="1:103" s="995" customFormat="1" ht="89.25" x14ac:dyDescent="0.25">
      <c r="A33" s="1013">
        <v>2022027</v>
      </c>
      <c r="B33" s="1013">
        <v>7637</v>
      </c>
      <c r="C33" s="1013" t="s">
        <v>645</v>
      </c>
      <c r="D33" s="1019" t="s">
        <v>673</v>
      </c>
      <c r="E33" s="1032">
        <v>81161712</v>
      </c>
      <c r="F33" s="1016" t="s">
        <v>744</v>
      </c>
      <c r="G33" s="1017" t="s">
        <v>1446</v>
      </c>
      <c r="H33" s="1017" t="s">
        <v>1453</v>
      </c>
      <c r="I33" s="1017">
        <v>1</v>
      </c>
      <c r="J33" s="1017" t="s">
        <v>1456</v>
      </c>
      <c r="K33" s="1017" t="s">
        <v>676</v>
      </c>
      <c r="L33" s="1019" t="s">
        <v>745</v>
      </c>
      <c r="M33" s="1020">
        <v>10000000</v>
      </c>
      <c r="N33" s="1021" t="s">
        <v>734</v>
      </c>
      <c r="O33" s="1021" t="s">
        <v>1411</v>
      </c>
      <c r="P33" s="1021"/>
      <c r="Q33" s="1017"/>
      <c r="R33" s="1022"/>
      <c r="S33" s="1130"/>
      <c r="T33" s="1156"/>
    </row>
    <row r="34" spans="1:103" s="1034" customFormat="1" ht="89.25" x14ac:dyDescent="0.25">
      <c r="A34" s="1023">
        <v>2022028</v>
      </c>
      <c r="B34" s="1023">
        <v>7637</v>
      </c>
      <c r="C34" s="1023" t="s">
        <v>645</v>
      </c>
      <c r="D34" s="1029" t="s">
        <v>673</v>
      </c>
      <c r="E34" s="1033" t="s">
        <v>1457</v>
      </c>
      <c r="F34" s="1026" t="s">
        <v>748</v>
      </c>
      <c r="G34" s="1027" t="s">
        <v>1445</v>
      </c>
      <c r="H34" s="1027" t="s">
        <v>1445</v>
      </c>
      <c r="I34" s="1027">
        <v>5</v>
      </c>
      <c r="J34" s="1024"/>
      <c r="K34" s="1027" t="s">
        <v>676</v>
      </c>
      <c r="L34" s="1029" t="s">
        <v>749</v>
      </c>
      <c r="M34" s="1030">
        <v>81000000</v>
      </c>
      <c r="N34" s="1031" t="s">
        <v>734</v>
      </c>
      <c r="O34" s="1031" t="s">
        <v>1411</v>
      </c>
      <c r="P34" s="1031"/>
      <c r="Q34" s="1027"/>
      <c r="R34" s="1022"/>
      <c r="S34" s="1130">
        <v>548</v>
      </c>
      <c r="T34" s="1156">
        <v>47970328</v>
      </c>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c r="CD34" s="995"/>
      <c r="CE34" s="995"/>
      <c r="CF34" s="995"/>
      <c r="CG34" s="995"/>
      <c r="CH34" s="995"/>
      <c r="CI34" s="995"/>
      <c r="CJ34" s="995"/>
      <c r="CK34" s="995"/>
      <c r="CL34" s="995"/>
      <c r="CM34" s="995"/>
      <c r="CN34" s="995"/>
      <c r="CO34" s="995"/>
      <c r="CP34" s="995"/>
      <c r="CQ34" s="995"/>
      <c r="CR34" s="995"/>
      <c r="CS34" s="995"/>
      <c r="CT34" s="995"/>
      <c r="CU34" s="995"/>
      <c r="CV34" s="995"/>
      <c r="CW34" s="995"/>
      <c r="CX34" s="995"/>
      <c r="CY34" s="995"/>
    </row>
    <row r="35" spans="1:103" s="995" customFormat="1" ht="89.25" x14ac:dyDescent="0.25">
      <c r="A35" s="1013">
        <v>2022029</v>
      </c>
      <c r="B35" s="1013">
        <v>7637</v>
      </c>
      <c r="C35" s="1013" t="s">
        <v>645</v>
      </c>
      <c r="D35" s="1019" t="s">
        <v>673</v>
      </c>
      <c r="E35" s="1032" t="s">
        <v>1457</v>
      </c>
      <c r="F35" s="1016" t="s">
        <v>753</v>
      </c>
      <c r="G35" s="1017" t="s">
        <v>1454</v>
      </c>
      <c r="H35" s="1017" t="s">
        <v>1458</v>
      </c>
      <c r="I35" s="1017">
        <v>4</v>
      </c>
      <c r="J35" s="1017" t="s">
        <v>1459</v>
      </c>
      <c r="K35" s="1017" t="s">
        <v>676</v>
      </c>
      <c r="L35" s="1019" t="s">
        <v>749</v>
      </c>
      <c r="M35" s="1020">
        <v>80000000</v>
      </c>
      <c r="N35" s="1021" t="s">
        <v>734</v>
      </c>
      <c r="O35" s="1021" t="s">
        <v>1411</v>
      </c>
      <c r="P35" s="1021"/>
      <c r="Q35" s="1017"/>
      <c r="R35" s="1022"/>
      <c r="S35" s="1130"/>
      <c r="T35" s="1156"/>
    </row>
    <row r="36" spans="1:103" s="995" customFormat="1" ht="89.25" x14ac:dyDescent="0.25">
      <c r="A36" s="1013">
        <v>2022030</v>
      </c>
      <c r="B36" s="1013">
        <v>7637</v>
      </c>
      <c r="C36" s="1013" t="s">
        <v>645</v>
      </c>
      <c r="D36" s="1019" t="s">
        <v>673</v>
      </c>
      <c r="E36" s="1032">
        <v>81111700</v>
      </c>
      <c r="F36" s="1016" t="s">
        <v>1460</v>
      </c>
      <c r="G36" s="1017" t="s">
        <v>1449</v>
      </c>
      <c r="H36" s="1017" t="s">
        <v>1449</v>
      </c>
      <c r="I36" s="1017">
        <v>10</v>
      </c>
      <c r="J36" s="1017" t="s">
        <v>1450</v>
      </c>
      <c r="K36" s="1017" t="s">
        <v>676</v>
      </c>
      <c r="L36" s="1019" t="s">
        <v>677</v>
      </c>
      <c r="M36" s="1020">
        <v>20000000</v>
      </c>
      <c r="N36" s="1021" t="s">
        <v>734</v>
      </c>
      <c r="O36" s="1021" t="s">
        <v>1411</v>
      </c>
      <c r="P36" s="1021"/>
      <c r="Q36" s="1017"/>
      <c r="R36" s="1022"/>
      <c r="S36" s="1130"/>
      <c r="T36" s="1156"/>
    </row>
    <row r="37" spans="1:103" s="1034" customFormat="1" ht="89.25" x14ac:dyDescent="0.25">
      <c r="A37" s="1131">
        <v>2022031</v>
      </c>
      <c r="B37" s="1131">
        <v>7637</v>
      </c>
      <c r="C37" s="1131" t="s">
        <v>645</v>
      </c>
      <c r="D37" s="1132" t="s">
        <v>673</v>
      </c>
      <c r="E37" s="1133" t="s">
        <v>1461</v>
      </c>
      <c r="F37" s="1134" t="s">
        <v>756</v>
      </c>
      <c r="G37" s="1135" t="s">
        <v>1440</v>
      </c>
      <c r="H37" s="1017" t="s">
        <v>1449</v>
      </c>
      <c r="I37" s="1135">
        <v>1</v>
      </c>
      <c r="J37" s="1135" t="s">
        <v>1462</v>
      </c>
      <c r="K37" s="1135" t="s">
        <v>676</v>
      </c>
      <c r="L37" s="1132" t="s">
        <v>677</v>
      </c>
      <c r="M37" s="1136">
        <v>72100000</v>
      </c>
      <c r="N37" s="1137" t="s">
        <v>738</v>
      </c>
      <c r="O37" s="1137" t="s">
        <v>1411</v>
      </c>
      <c r="P37" s="1137"/>
      <c r="Q37" s="1135"/>
      <c r="R37" s="1130">
        <v>349</v>
      </c>
      <c r="S37" s="1130"/>
      <c r="T37" s="1156"/>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c r="CD37" s="995"/>
      <c r="CE37" s="995"/>
      <c r="CF37" s="995"/>
      <c r="CG37" s="995"/>
      <c r="CH37" s="995"/>
      <c r="CI37" s="995"/>
      <c r="CJ37" s="995"/>
      <c r="CK37" s="995"/>
      <c r="CL37" s="995"/>
      <c r="CM37" s="995"/>
      <c r="CN37" s="995"/>
      <c r="CO37" s="995"/>
      <c r="CP37" s="995"/>
      <c r="CQ37" s="995"/>
      <c r="CR37" s="995"/>
      <c r="CS37" s="995"/>
      <c r="CT37" s="995"/>
      <c r="CU37" s="995"/>
      <c r="CV37" s="995"/>
      <c r="CW37" s="995"/>
      <c r="CX37" s="995"/>
      <c r="CY37" s="995"/>
    </row>
    <row r="38" spans="1:103" s="995" customFormat="1" ht="89.25" x14ac:dyDescent="0.25">
      <c r="A38" s="1013">
        <v>2022032</v>
      </c>
      <c r="B38" s="1013">
        <v>7637</v>
      </c>
      <c r="C38" s="1013" t="s">
        <v>645</v>
      </c>
      <c r="D38" s="1019" t="s">
        <v>673</v>
      </c>
      <c r="E38" s="1032">
        <v>81112222</v>
      </c>
      <c r="F38" s="1016" t="s">
        <v>1463</v>
      </c>
      <c r="G38" s="1017" t="s">
        <v>1458</v>
      </c>
      <c r="H38" s="1017" t="s">
        <v>1464</v>
      </c>
      <c r="I38" s="1017">
        <v>12</v>
      </c>
      <c r="J38" s="1017" t="s">
        <v>1459</v>
      </c>
      <c r="K38" s="1017" t="s">
        <v>676</v>
      </c>
      <c r="L38" s="1019" t="s">
        <v>677</v>
      </c>
      <c r="M38" s="1020">
        <v>120000000</v>
      </c>
      <c r="N38" s="1021" t="s">
        <v>734</v>
      </c>
      <c r="O38" s="1021" t="s">
        <v>1411</v>
      </c>
      <c r="P38" s="1021"/>
      <c r="Q38" s="1017"/>
      <c r="R38" s="1022"/>
      <c r="S38" s="1130"/>
      <c r="T38" s="1156"/>
    </row>
    <row r="39" spans="1:103" s="995" customFormat="1" ht="89.25" x14ac:dyDescent="0.25">
      <c r="A39" s="1013">
        <v>2022033</v>
      </c>
      <c r="B39" s="1013">
        <v>7637</v>
      </c>
      <c r="C39" s="1013" t="s">
        <v>645</v>
      </c>
      <c r="D39" s="1019" t="s">
        <v>673</v>
      </c>
      <c r="E39" s="1032" t="s">
        <v>1465</v>
      </c>
      <c r="F39" s="1016" t="s">
        <v>1466</v>
      </c>
      <c r="G39" s="1017" t="s">
        <v>1453</v>
      </c>
      <c r="H39" s="1017" t="s">
        <v>1454</v>
      </c>
      <c r="I39" s="1017">
        <v>3</v>
      </c>
      <c r="J39" s="1017" t="s">
        <v>1459</v>
      </c>
      <c r="K39" s="1017" t="s">
        <v>676</v>
      </c>
      <c r="L39" s="1019" t="s">
        <v>737</v>
      </c>
      <c r="M39" s="1020">
        <v>50000000</v>
      </c>
      <c r="N39" s="1021" t="s">
        <v>734</v>
      </c>
      <c r="O39" s="1021" t="s">
        <v>1411</v>
      </c>
      <c r="P39" s="1021"/>
      <c r="Q39" s="1017"/>
      <c r="R39" s="1022"/>
      <c r="S39" s="1130"/>
      <c r="T39" s="1156"/>
    </row>
    <row r="40" spans="1:103" s="995" customFormat="1" ht="89.25" x14ac:dyDescent="0.25">
      <c r="A40" s="1013">
        <v>2022034</v>
      </c>
      <c r="B40" s="1013">
        <v>7637</v>
      </c>
      <c r="C40" s="1013" t="s">
        <v>645</v>
      </c>
      <c r="D40" s="1019" t="s">
        <v>673</v>
      </c>
      <c r="E40" s="1032">
        <v>81112217</v>
      </c>
      <c r="F40" s="1016" t="s">
        <v>1467</v>
      </c>
      <c r="G40" s="1017" t="s">
        <v>1468</v>
      </c>
      <c r="H40" s="1017" t="s">
        <v>1469</v>
      </c>
      <c r="I40" s="1017">
        <v>1</v>
      </c>
      <c r="J40" s="1017" t="s">
        <v>1462</v>
      </c>
      <c r="K40" s="1017" t="s">
        <v>676</v>
      </c>
      <c r="L40" s="1019" t="s">
        <v>677</v>
      </c>
      <c r="M40" s="1020">
        <v>35077000</v>
      </c>
      <c r="N40" s="1014" t="s">
        <v>738</v>
      </c>
      <c r="O40" s="1021" t="s">
        <v>1411</v>
      </c>
      <c r="P40" s="1021"/>
      <c r="Q40" s="1017"/>
      <c r="R40" s="1022"/>
      <c r="S40" s="1130"/>
      <c r="T40" s="1156"/>
    </row>
    <row r="41" spans="1:103" s="995" customFormat="1" ht="89.25" x14ac:dyDescent="0.25">
      <c r="A41" s="1013">
        <v>2022035</v>
      </c>
      <c r="B41" s="1013">
        <v>7637</v>
      </c>
      <c r="C41" s="1013" t="s">
        <v>645</v>
      </c>
      <c r="D41" s="1019" t="s">
        <v>673</v>
      </c>
      <c r="E41" s="1035" t="s">
        <v>1306</v>
      </c>
      <c r="F41" s="1016" t="s">
        <v>1470</v>
      </c>
      <c r="G41" s="1017" t="s">
        <v>1446</v>
      </c>
      <c r="H41" s="1017" t="s">
        <v>1453</v>
      </c>
      <c r="I41" s="1017">
        <v>8</v>
      </c>
      <c r="J41" s="1017" t="s">
        <v>1462</v>
      </c>
      <c r="K41" s="1017" t="s">
        <v>676</v>
      </c>
      <c r="L41" s="1019" t="s">
        <v>677</v>
      </c>
      <c r="M41" s="1020">
        <v>70000000</v>
      </c>
      <c r="N41" s="1021" t="s">
        <v>734</v>
      </c>
      <c r="O41" s="1021" t="s">
        <v>1411</v>
      </c>
      <c r="P41" s="1021"/>
      <c r="Q41" s="1017"/>
      <c r="R41" s="1022"/>
      <c r="S41" s="1130"/>
      <c r="T41" s="1156"/>
    </row>
    <row r="42" spans="1:103" s="995" customFormat="1" ht="89.25" x14ac:dyDescent="0.25">
      <c r="A42" s="1023">
        <v>2022036</v>
      </c>
      <c r="B42" s="1023">
        <v>7637</v>
      </c>
      <c r="C42" s="1023" t="s">
        <v>645</v>
      </c>
      <c r="D42" s="1029" t="s">
        <v>673</v>
      </c>
      <c r="E42" s="1036" t="s">
        <v>1471</v>
      </c>
      <c r="F42" s="1036" t="s">
        <v>763</v>
      </c>
      <c r="G42" s="1027" t="s">
        <v>1440</v>
      </c>
      <c r="H42" s="1027" t="s">
        <v>1440</v>
      </c>
      <c r="I42" s="1027">
        <v>11</v>
      </c>
      <c r="J42" s="1027" t="s">
        <v>1459</v>
      </c>
      <c r="K42" s="1027" t="s">
        <v>676</v>
      </c>
      <c r="L42" s="1029" t="s">
        <v>737</v>
      </c>
      <c r="M42" s="1030">
        <v>487640000</v>
      </c>
      <c r="N42" s="1031" t="s">
        <v>734</v>
      </c>
      <c r="O42" s="1031" t="s">
        <v>1411</v>
      </c>
      <c r="P42" s="1031"/>
      <c r="Q42" s="1027"/>
      <c r="R42" s="1022"/>
      <c r="S42" s="1130">
        <v>440</v>
      </c>
      <c r="T42" s="1156">
        <v>232050000</v>
      </c>
    </row>
    <row r="43" spans="1:103" s="1034" customFormat="1" ht="89.25" x14ac:dyDescent="0.25">
      <c r="A43" s="1131">
        <v>2022037</v>
      </c>
      <c r="B43" s="1131">
        <v>7637</v>
      </c>
      <c r="C43" s="1131" t="s">
        <v>645</v>
      </c>
      <c r="D43" s="1132" t="s">
        <v>673</v>
      </c>
      <c r="E43" s="1138" t="s">
        <v>1472</v>
      </c>
      <c r="F43" s="1134" t="s">
        <v>765</v>
      </c>
      <c r="G43" s="1135" t="s">
        <v>1440</v>
      </c>
      <c r="H43" s="1017" t="s">
        <v>1440</v>
      </c>
      <c r="I43" s="1135">
        <v>12</v>
      </c>
      <c r="J43" s="1135" t="s">
        <v>1462</v>
      </c>
      <c r="K43" s="1135" t="s">
        <v>676</v>
      </c>
      <c r="L43" s="1132" t="s">
        <v>731</v>
      </c>
      <c r="M43" s="1136">
        <v>104794000</v>
      </c>
      <c r="N43" s="1137" t="s">
        <v>734</v>
      </c>
      <c r="O43" s="1137" t="s">
        <v>1411</v>
      </c>
      <c r="P43" s="1137"/>
      <c r="Q43" s="1135"/>
      <c r="R43" s="1130">
        <v>338</v>
      </c>
      <c r="S43" s="1130"/>
      <c r="T43" s="1156"/>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c r="CD43" s="995"/>
      <c r="CE43" s="995"/>
      <c r="CF43" s="995"/>
      <c r="CG43" s="995"/>
      <c r="CH43" s="995"/>
      <c r="CI43" s="995"/>
      <c r="CJ43" s="995"/>
      <c r="CK43" s="995"/>
      <c r="CL43" s="995"/>
      <c r="CM43" s="995"/>
      <c r="CN43" s="995"/>
      <c r="CO43" s="995"/>
      <c r="CP43" s="995"/>
      <c r="CQ43" s="995"/>
      <c r="CR43" s="995"/>
      <c r="CS43" s="995"/>
      <c r="CT43" s="995"/>
      <c r="CU43" s="995"/>
      <c r="CV43" s="995"/>
      <c r="CW43" s="995"/>
      <c r="CX43" s="995"/>
      <c r="CY43" s="995"/>
    </row>
    <row r="44" spans="1:103" s="995" customFormat="1" ht="89.25" x14ac:dyDescent="0.25">
      <c r="A44" s="1013">
        <v>2022038</v>
      </c>
      <c r="B44" s="1013">
        <v>7637</v>
      </c>
      <c r="C44" s="1013" t="s">
        <v>645</v>
      </c>
      <c r="D44" s="1019" t="s">
        <v>673</v>
      </c>
      <c r="E44" s="1015">
        <v>81111812</v>
      </c>
      <c r="F44" s="1016" t="s">
        <v>1473</v>
      </c>
      <c r="G44" s="1017" t="s">
        <v>1449</v>
      </c>
      <c r="H44" s="1017" t="s">
        <v>1445</v>
      </c>
      <c r="I44" s="1017">
        <v>12</v>
      </c>
      <c r="J44" s="1017" t="s">
        <v>1462</v>
      </c>
      <c r="K44" s="1017" t="s">
        <v>676</v>
      </c>
      <c r="L44" s="1019" t="s">
        <v>677</v>
      </c>
      <c r="M44" s="1020">
        <v>38500000</v>
      </c>
      <c r="N44" s="1021" t="s">
        <v>734</v>
      </c>
      <c r="O44" s="1021" t="s">
        <v>1411</v>
      </c>
      <c r="P44" s="1021"/>
      <c r="Q44" s="1017"/>
      <c r="R44" s="1022"/>
      <c r="S44" s="1130"/>
      <c r="T44" s="1156"/>
    </row>
    <row r="45" spans="1:103" s="995" customFormat="1" ht="89.25" x14ac:dyDescent="0.25">
      <c r="A45" s="1013">
        <v>2022039</v>
      </c>
      <c r="B45" s="1013">
        <v>7637</v>
      </c>
      <c r="C45" s="1013" t="s">
        <v>645</v>
      </c>
      <c r="D45" s="1019" t="s">
        <v>673</v>
      </c>
      <c r="E45" s="1032">
        <v>43233200</v>
      </c>
      <c r="F45" s="1016" t="s">
        <v>1474</v>
      </c>
      <c r="G45" s="1017" t="s">
        <v>1453</v>
      </c>
      <c r="H45" s="1017" t="s">
        <v>1453</v>
      </c>
      <c r="I45" s="1017">
        <v>3</v>
      </c>
      <c r="J45" s="1017" t="s">
        <v>1450</v>
      </c>
      <c r="K45" s="1017" t="s">
        <v>772</v>
      </c>
      <c r="L45" s="1019" t="s">
        <v>737</v>
      </c>
      <c r="M45" s="1020">
        <v>170000000</v>
      </c>
      <c r="N45" s="1037" t="s">
        <v>738</v>
      </c>
      <c r="O45" s="1021" t="s">
        <v>1411</v>
      </c>
      <c r="P45" s="1021"/>
      <c r="Q45" s="1017"/>
      <c r="R45" s="1022"/>
      <c r="S45" s="1130"/>
      <c r="T45" s="1156"/>
    </row>
    <row r="46" spans="1:103" s="995" customFormat="1" ht="89.25" x14ac:dyDescent="0.25">
      <c r="A46" s="1013">
        <v>2022040</v>
      </c>
      <c r="B46" s="1013">
        <v>7637</v>
      </c>
      <c r="C46" s="1013" t="s">
        <v>645</v>
      </c>
      <c r="D46" s="1019" t="s">
        <v>673</v>
      </c>
      <c r="E46" s="1032">
        <v>43222600</v>
      </c>
      <c r="F46" s="1016" t="s">
        <v>1475</v>
      </c>
      <c r="G46" s="1017" t="s">
        <v>1446</v>
      </c>
      <c r="H46" s="1017" t="s">
        <v>1446</v>
      </c>
      <c r="I46" s="1017">
        <v>3</v>
      </c>
      <c r="J46" s="1017" t="s">
        <v>1462</v>
      </c>
      <c r="K46" s="1017" t="s">
        <v>772</v>
      </c>
      <c r="L46" s="1019" t="s">
        <v>737</v>
      </c>
      <c r="M46" s="1020">
        <v>600000000</v>
      </c>
      <c r="N46" s="1021" t="s">
        <v>734</v>
      </c>
      <c r="O46" s="1021" t="s">
        <v>1411</v>
      </c>
      <c r="P46" s="1021"/>
      <c r="Q46" s="1017"/>
      <c r="R46" s="1022"/>
      <c r="S46" s="1130"/>
      <c r="T46" s="1156"/>
    </row>
    <row r="47" spans="1:103" s="995" customFormat="1" ht="89.25" x14ac:dyDescent="0.25">
      <c r="A47" s="1013">
        <v>2022041</v>
      </c>
      <c r="B47" s="1013">
        <v>7637</v>
      </c>
      <c r="C47" s="1013" t="s">
        <v>645</v>
      </c>
      <c r="D47" s="1019" t="s">
        <v>673</v>
      </c>
      <c r="E47" s="1035" t="s">
        <v>1476</v>
      </c>
      <c r="F47" s="1016" t="s">
        <v>1477</v>
      </c>
      <c r="G47" s="1017" t="s">
        <v>1446</v>
      </c>
      <c r="H47" s="1017" t="s">
        <v>1453</v>
      </c>
      <c r="I47" s="1017">
        <v>3</v>
      </c>
      <c r="J47" s="1017" t="s">
        <v>1462</v>
      </c>
      <c r="K47" s="1017" t="s">
        <v>772</v>
      </c>
      <c r="L47" s="1019" t="s">
        <v>737</v>
      </c>
      <c r="M47" s="1020">
        <v>600000000</v>
      </c>
      <c r="N47" s="1021" t="s">
        <v>734</v>
      </c>
      <c r="O47" s="1021" t="s">
        <v>1411</v>
      </c>
      <c r="P47" s="1021"/>
      <c r="Q47" s="1017"/>
      <c r="R47" s="1022"/>
      <c r="S47" s="1130"/>
      <c r="T47" s="1156"/>
    </row>
    <row r="48" spans="1:103" s="995" customFormat="1" ht="89.25" x14ac:dyDescent="0.25">
      <c r="A48" s="1013">
        <v>2022042</v>
      </c>
      <c r="B48" s="1013">
        <v>7637</v>
      </c>
      <c r="C48" s="1013" t="s">
        <v>645</v>
      </c>
      <c r="D48" s="1019" t="s">
        <v>673</v>
      </c>
      <c r="E48" s="1015"/>
      <c r="F48" s="1016" t="s">
        <v>779</v>
      </c>
      <c r="G48" s="1017"/>
      <c r="H48" s="1017"/>
      <c r="I48" s="1017"/>
      <c r="J48" s="1017"/>
      <c r="K48" s="1017" t="s">
        <v>676</v>
      </c>
      <c r="L48" s="1019" t="s">
        <v>677</v>
      </c>
      <c r="M48" s="1020">
        <v>22500000</v>
      </c>
      <c r="N48" s="1038" t="s">
        <v>734</v>
      </c>
      <c r="O48" s="1038" t="s">
        <v>1411</v>
      </c>
      <c r="P48" s="1038"/>
      <c r="Q48" s="1017"/>
      <c r="R48" s="1022"/>
      <c r="S48" s="1130"/>
      <c r="T48" s="1156"/>
    </row>
    <row r="49" spans="1:20" s="995" customFormat="1" ht="89.25" x14ac:dyDescent="0.25">
      <c r="A49" s="1023">
        <v>2022043</v>
      </c>
      <c r="B49" s="1023">
        <v>7655</v>
      </c>
      <c r="C49" s="1023" t="s">
        <v>670</v>
      </c>
      <c r="D49" s="1039" t="s">
        <v>691</v>
      </c>
      <c r="E49" s="1040" t="s">
        <v>782</v>
      </c>
      <c r="F49" s="1026" t="s">
        <v>783</v>
      </c>
      <c r="G49" s="1041">
        <v>44575</v>
      </c>
      <c r="H49" s="1041">
        <v>44575</v>
      </c>
      <c r="I49" s="1042" t="s">
        <v>1478</v>
      </c>
      <c r="J49" s="1043" t="s">
        <v>1479</v>
      </c>
      <c r="K49" s="1027" t="s">
        <v>676</v>
      </c>
      <c r="L49" s="1029" t="s">
        <v>784</v>
      </c>
      <c r="M49" s="1030">
        <v>92000000</v>
      </c>
      <c r="N49" s="1044" t="s">
        <v>732</v>
      </c>
      <c r="O49" s="1044" t="s">
        <v>1480</v>
      </c>
      <c r="P49" s="1044"/>
      <c r="Q49" s="1027"/>
      <c r="R49" s="1022"/>
      <c r="S49" s="1130">
        <v>84</v>
      </c>
      <c r="T49" s="1156">
        <v>92000000</v>
      </c>
    </row>
    <row r="50" spans="1:20" s="995" customFormat="1" ht="63.75" x14ac:dyDescent="0.25">
      <c r="A50" s="1023">
        <v>2022044</v>
      </c>
      <c r="B50" s="1023">
        <v>7655</v>
      </c>
      <c r="C50" s="1023" t="s">
        <v>670</v>
      </c>
      <c r="D50" s="1039" t="s">
        <v>691</v>
      </c>
      <c r="E50" s="1040" t="s">
        <v>782</v>
      </c>
      <c r="F50" s="1026" t="s">
        <v>787</v>
      </c>
      <c r="G50" s="1041">
        <v>44575</v>
      </c>
      <c r="H50" s="1041">
        <v>44575</v>
      </c>
      <c r="I50" s="1042" t="s">
        <v>1478</v>
      </c>
      <c r="J50" s="1043" t="s">
        <v>1479</v>
      </c>
      <c r="K50" s="1027" t="s">
        <v>676</v>
      </c>
      <c r="L50" s="1029" t="s">
        <v>784</v>
      </c>
      <c r="M50" s="1030">
        <v>103500000</v>
      </c>
      <c r="N50" s="1044" t="s">
        <v>732</v>
      </c>
      <c r="O50" s="1044" t="s">
        <v>1480</v>
      </c>
      <c r="P50" s="1044"/>
      <c r="Q50" s="1027"/>
      <c r="R50" s="1022"/>
      <c r="S50" s="1130">
        <v>61</v>
      </c>
      <c r="T50" s="1156">
        <v>103500000</v>
      </c>
    </row>
    <row r="51" spans="1:20" s="995" customFormat="1" ht="76.5" x14ac:dyDescent="0.25">
      <c r="A51" s="1023">
        <v>2022045</v>
      </c>
      <c r="B51" s="1023">
        <v>7655</v>
      </c>
      <c r="C51" s="1023" t="s">
        <v>670</v>
      </c>
      <c r="D51" s="1039" t="s">
        <v>691</v>
      </c>
      <c r="E51" s="1040" t="s">
        <v>782</v>
      </c>
      <c r="F51" s="1026" t="s">
        <v>789</v>
      </c>
      <c r="G51" s="1041">
        <v>44575</v>
      </c>
      <c r="H51" s="1041">
        <v>44575</v>
      </c>
      <c r="I51" s="1042" t="s">
        <v>1478</v>
      </c>
      <c r="J51" s="1043" t="s">
        <v>1479</v>
      </c>
      <c r="K51" s="1027" t="s">
        <v>676</v>
      </c>
      <c r="L51" s="1029" t="s">
        <v>677</v>
      </c>
      <c r="M51" s="1030">
        <v>57500000</v>
      </c>
      <c r="N51" s="1044" t="s">
        <v>732</v>
      </c>
      <c r="O51" s="1044" t="s">
        <v>1480</v>
      </c>
      <c r="P51" s="1044"/>
      <c r="Q51" s="1027"/>
      <c r="R51" s="1022"/>
      <c r="S51" s="1130">
        <v>95</v>
      </c>
      <c r="T51" s="1156">
        <v>57500000</v>
      </c>
    </row>
    <row r="52" spans="1:20" s="995" customFormat="1" ht="76.5" x14ac:dyDescent="0.25">
      <c r="A52" s="1023">
        <v>2022046</v>
      </c>
      <c r="B52" s="1023">
        <v>7655</v>
      </c>
      <c r="C52" s="1023" t="s">
        <v>670</v>
      </c>
      <c r="D52" s="1039" t="s">
        <v>691</v>
      </c>
      <c r="E52" s="1040" t="s">
        <v>782</v>
      </c>
      <c r="F52" s="1026" t="s">
        <v>791</v>
      </c>
      <c r="G52" s="1041">
        <v>44575</v>
      </c>
      <c r="H52" s="1041">
        <v>44575</v>
      </c>
      <c r="I52" s="1042" t="s">
        <v>1478</v>
      </c>
      <c r="J52" s="1043" t="s">
        <v>1479</v>
      </c>
      <c r="K52" s="1027" t="s">
        <v>676</v>
      </c>
      <c r="L52" s="1029" t="s">
        <v>677</v>
      </c>
      <c r="M52" s="1030">
        <v>78200000</v>
      </c>
      <c r="N52" s="1044" t="s">
        <v>732</v>
      </c>
      <c r="O52" s="1044" t="s">
        <v>1480</v>
      </c>
      <c r="P52" s="1044"/>
      <c r="Q52" s="1027"/>
      <c r="R52" s="1022"/>
      <c r="S52" s="1130">
        <v>203</v>
      </c>
      <c r="T52" s="1156">
        <v>78200000</v>
      </c>
    </row>
    <row r="53" spans="1:20" s="995" customFormat="1" ht="63.75" x14ac:dyDescent="0.25">
      <c r="A53" s="1023">
        <v>2022047</v>
      </c>
      <c r="B53" s="1023">
        <v>7655</v>
      </c>
      <c r="C53" s="1023" t="s">
        <v>670</v>
      </c>
      <c r="D53" s="1039" t="s">
        <v>691</v>
      </c>
      <c r="E53" s="1040" t="s">
        <v>782</v>
      </c>
      <c r="F53" s="1026" t="s">
        <v>793</v>
      </c>
      <c r="G53" s="1041">
        <v>44575</v>
      </c>
      <c r="H53" s="1041">
        <v>44575</v>
      </c>
      <c r="I53" s="1042" t="s">
        <v>1478</v>
      </c>
      <c r="J53" s="1043" t="s">
        <v>1479</v>
      </c>
      <c r="K53" s="1027" t="s">
        <v>676</v>
      </c>
      <c r="L53" s="1029" t="s">
        <v>677</v>
      </c>
      <c r="M53" s="1030">
        <v>38525000</v>
      </c>
      <c r="N53" s="1044" t="s">
        <v>732</v>
      </c>
      <c r="O53" s="1044" t="s">
        <v>1480</v>
      </c>
      <c r="P53" s="1044"/>
      <c r="Q53" s="1027"/>
      <c r="R53" s="1022"/>
      <c r="S53" s="1130">
        <v>65</v>
      </c>
      <c r="T53" s="1156">
        <v>38525000</v>
      </c>
    </row>
    <row r="54" spans="1:20" s="995" customFormat="1" ht="76.5" x14ac:dyDescent="0.25">
      <c r="A54" s="1023">
        <v>2022048</v>
      </c>
      <c r="B54" s="1023">
        <v>7655</v>
      </c>
      <c r="C54" s="1023" t="s">
        <v>670</v>
      </c>
      <c r="D54" s="1039" t="s">
        <v>691</v>
      </c>
      <c r="E54" s="1040" t="s">
        <v>782</v>
      </c>
      <c r="F54" s="1026" t="s">
        <v>794</v>
      </c>
      <c r="G54" s="1041">
        <v>44575</v>
      </c>
      <c r="H54" s="1041">
        <v>44575</v>
      </c>
      <c r="I54" s="1042" t="s">
        <v>1478</v>
      </c>
      <c r="J54" s="1043" t="s">
        <v>1479</v>
      </c>
      <c r="K54" s="1027" t="s">
        <v>676</v>
      </c>
      <c r="L54" s="1029" t="s">
        <v>784</v>
      </c>
      <c r="M54" s="1030">
        <v>92000000</v>
      </c>
      <c r="N54" s="1044" t="s">
        <v>732</v>
      </c>
      <c r="O54" s="1044" t="s">
        <v>1480</v>
      </c>
      <c r="P54" s="1044"/>
      <c r="Q54" s="1027"/>
      <c r="R54" s="1022"/>
      <c r="S54" s="1130">
        <v>66</v>
      </c>
      <c r="T54" s="1156">
        <v>92000000</v>
      </c>
    </row>
    <row r="55" spans="1:20" s="995" customFormat="1" ht="63.75" x14ac:dyDescent="0.25">
      <c r="A55" s="1023">
        <v>2022049</v>
      </c>
      <c r="B55" s="1023">
        <v>7655</v>
      </c>
      <c r="C55" s="1023" t="s">
        <v>670</v>
      </c>
      <c r="D55" s="1039" t="s">
        <v>691</v>
      </c>
      <c r="E55" s="1040" t="s">
        <v>782</v>
      </c>
      <c r="F55" s="1026" t="s">
        <v>1333</v>
      </c>
      <c r="G55" s="1041">
        <v>44575</v>
      </c>
      <c r="H55" s="1041">
        <v>44575</v>
      </c>
      <c r="I55" s="1042" t="s">
        <v>1481</v>
      </c>
      <c r="J55" s="1043" t="s">
        <v>1479</v>
      </c>
      <c r="K55" s="1027" t="s">
        <v>676</v>
      </c>
      <c r="L55" s="1029" t="s">
        <v>677</v>
      </c>
      <c r="M55" s="1030">
        <v>16800000</v>
      </c>
      <c r="N55" s="1044" t="s">
        <v>732</v>
      </c>
      <c r="O55" s="1044" t="s">
        <v>1480</v>
      </c>
      <c r="P55" s="1044"/>
      <c r="Q55" s="1027"/>
      <c r="R55" s="1022"/>
      <c r="S55" s="1130">
        <v>83</v>
      </c>
      <c r="T55" s="1156">
        <v>16800000</v>
      </c>
    </row>
    <row r="56" spans="1:20" s="995" customFormat="1" ht="63.75" x14ac:dyDescent="0.25">
      <c r="A56" s="1023">
        <v>2022050</v>
      </c>
      <c r="B56" s="1023">
        <v>7655</v>
      </c>
      <c r="C56" s="1023" t="s">
        <v>670</v>
      </c>
      <c r="D56" s="1039" t="s">
        <v>691</v>
      </c>
      <c r="E56" s="1040" t="s">
        <v>782</v>
      </c>
      <c r="F56" s="1026" t="s">
        <v>795</v>
      </c>
      <c r="G56" s="1041">
        <v>44575</v>
      </c>
      <c r="H56" s="1041">
        <v>44575</v>
      </c>
      <c r="I56" s="1042" t="s">
        <v>1482</v>
      </c>
      <c r="J56" s="1043" t="s">
        <v>1479</v>
      </c>
      <c r="K56" s="1027" t="s">
        <v>676</v>
      </c>
      <c r="L56" s="1029" t="s">
        <v>677</v>
      </c>
      <c r="M56" s="1030">
        <v>38500000</v>
      </c>
      <c r="N56" s="1044" t="s">
        <v>732</v>
      </c>
      <c r="O56" s="1044" t="s">
        <v>1480</v>
      </c>
      <c r="P56" s="1044"/>
      <c r="Q56" s="1027"/>
      <c r="R56" s="1022"/>
      <c r="S56" s="1130">
        <v>361</v>
      </c>
      <c r="T56" s="1156">
        <v>38500000</v>
      </c>
    </row>
    <row r="57" spans="1:20" s="995" customFormat="1" ht="63.75" x14ac:dyDescent="0.25">
      <c r="A57" s="1023">
        <v>2022051</v>
      </c>
      <c r="B57" s="1023">
        <v>7655</v>
      </c>
      <c r="C57" s="1023" t="s">
        <v>670</v>
      </c>
      <c r="D57" s="1039" t="s">
        <v>691</v>
      </c>
      <c r="E57" s="1040" t="s">
        <v>782</v>
      </c>
      <c r="F57" s="1026" t="s">
        <v>796</v>
      </c>
      <c r="G57" s="1041">
        <v>44575</v>
      </c>
      <c r="H57" s="1041">
        <v>44575</v>
      </c>
      <c r="I57" s="1042" t="s">
        <v>1478</v>
      </c>
      <c r="J57" s="1043" t="s">
        <v>1479</v>
      </c>
      <c r="K57" s="1027" t="s">
        <v>676</v>
      </c>
      <c r="L57" s="1029" t="s">
        <v>677</v>
      </c>
      <c r="M57" s="1030">
        <v>20700000</v>
      </c>
      <c r="N57" s="1044" t="s">
        <v>732</v>
      </c>
      <c r="O57" s="1044" t="s">
        <v>1480</v>
      </c>
      <c r="P57" s="1044"/>
      <c r="Q57" s="1027"/>
      <c r="R57" s="1022"/>
      <c r="S57" s="1130">
        <v>87</v>
      </c>
      <c r="T57" s="1156">
        <v>20700000</v>
      </c>
    </row>
    <row r="58" spans="1:20" s="995" customFormat="1" ht="76.5" x14ac:dyDescent="0.25">
      <c r="A58" s="1023">
        <v>2022052</v>
      </c>
      <c r="B58" s="1023">
        <v>7655</v>
      </c>
      <c r="C58" s="1023" t="s">
        <v>670</v>
      </c>
      <c r="D58" s="1039" t="s">
        <v>691</v>
      </c>
      <c r="E58" s="1040" t="s">
        <v>782</v>
      </c>
      <c r="F58" s="1026" t="s">
        <v>797</v>
      </c>
      <c r="G58" s="1041">
        <v>44575</v>
      </c>
      <c r="H58" s="1041">
        <v>44575</v>
      </c>
      <c r="I58" s="1042" t="s">
        <v>1478</v>
      </c>
      <c r="J58" s="1043" t="s">
        <v>1479</v>
      </c>
      <c r="K58" s="1027" t="s">
        <v>676</v>
      </c>
      <c r="L58" s="1029" t="s">
        <v>677</v>
      </c>
      <c r="M58" s="1030">
        <v>83950000</v>
      </c>
      <c r="N58" s="1044" t="s">
        <v>732</v>
      </c>
      <c r="O58" s="1044" t="s">
        <v>1480</v>
      </c>
      <c r="P58" s="1044"/>
      <c r="Q58" s="1027"/>
      <c r="R58" s="1022"/>
      <c r="S58" s="1130">
        <v>82</v>
      </c>
      <c r="T58" s="1156">
        <v>83950000</v>
      </c>
    </row>
    <row r="59" spans="1:20" s="995" customFormat="1" ht="63.75" x14ac:dyDescent="0.25">
      <c r="A59" s="1023">
        <v>2022053</v>
      </c>
      <c r="B59" s="1023">
        <v>7655</v>
      </c>
      <c r="C59" s="1023" t="s">
        <v>670</v>
      </c>
      <c r="D59" s="1039" t="s">
        <v>691</v>
      </c>
      <c r="E59" s="1040" t="s">
        <v>782</v>
      </c>
      <c r="F59" s="1026" t="s">
        <v>798</v>
      </c>
      <c r="G59" s="1041">
        <v>44575</v>
      </c>
      <c r="H59" s="1041">
        <v>44575</v>
      </c>
      <c r="I59" s="1042" t="s">
        <v>1478</v>
      </c>
      <c r="J59" s="1043" t="s">
        <v>1479</v>
      </c>
      <c r="K59" s="1027" t="s">
        <v>676</v>
      </c>
      <c r="L59" s="1029" t="s">
        <v>677</v>
      </c>
      <c r="M59" s="1030">
        <v>38525000</v>
      </c>
      <c r="N59" s="1044" t="s">
        <v>732</v>
      </c>
      <c r="O59" s="1044" t="s">
        <v>1480</v>
      </c>
      <c r="P59" s="1044"/>
      <c r="Q59" s="1027"/>
      <c r="R59" s="1022"/>
      <c r="S59" s="1130">
        <v>375</v>
      </c>
      <c r="T59" s="1156">
        <v>38525000</v>
      </c>
    </row>
    <row r="60" spans="1:20" s="995" customFormat="1" ht="63.75" x14ac:dyDescent="0.25">
      <c r="A60" s="1023">
        <v>2022054</v>
      </c>
      <c r="B60" s="1023">
        <v>7655</v>
      </c>
      <c r="C60" s="1023" t="s">
        <v>670</v>
      </c>
      <c r="D60" s="1039" t="s">
        <v>691</v>
      </c>
      <c r="E60" s="1040" t="s">
        <v>782</v>
      </c>
      <c r="F60" s="1026" t="s">
        <v>799</v>
      </c>
      <c r="G60" s="1041">
        <v>44575</v>
      </c>
      <c r="H60" s="1041">
        <v>44575</v>
      </c>
      <c r="I60" s="1042" t="s">
        <v>1481</v>
      </c>
      <c r="J60" s="1043" t="s">
        <v>1479</v>
      </c>
      <c r="K60" s="1027" t="s">
        <v>676</v>
      </c>
      <c r="L60" s="1029" t="s">
        <v>677</v>
      </c>
      <c r="M60" s="1030">
        <v>27000000</v>
      </c>
      <c r="N60" s="1044" t="s">
        <v>732</v>
      </c>
      <c r="O60" s="1044" t="s">
        <v>1480</v>
      </c>
      <c r="P60" s="1044"/>
      <c r="Q60" s="1027"/>
      <c r="R60" s="1022"/>
      <c r="S60" s="1130">
        <v>352</v>
      </c>
      <c r="T60" s="1156">
        <v>27000000</v>
      </c>
    </row>
    <row r="61" spans="1:20" s="995" customFormat="1" ht="63.75" x14ac:dyDescent="0.25">
      <c r="A61" s="1023">
        <v>2022055</v>
      </c>
      <c r="B61" s="1023">
        <v>7655</v>
      </c>
      <c r="C61" s="1023" t="s">
        <v>670</v>
      </c>
      <c r="D61" s="1039" t="s">
        <v>691</v>
      </c>
      <c r="E61" s="1040" t="s">
        <v>782</v>
      </c>
      <c r="F61" s="1026" t="s">
        <v>800</v>
      </c>
      <c r="G61" s="1041">
        <v>44575</v>
      </c>
      <c r="H61" s="1041">
        <v>44575</v>
      </c>
      <c r="I61" s="1042" t="s">
        <v>1478</v>
      </c>
      <c r="J61" s="1043" t="s">
        <v>1479</v>
      </c>
      <c r="K61" s="1027" t="s">
        <v>676</v>
      </c>
      <c r="L61" s="1029" t="s">
        <v>677</v>
      </c>
      <c r="M61" s="1030">
        <v>51750000</v>
      </c>
      <c r="N61" s="1044" t="s">
        <v>732</v>
      </c>
      <c r="O61" s="1044" t="s">
        <v>1480</v>
      </c>
      <c r="P61" s="1044"/>
      <c r="Q61" s="1027"/>
      <c r="R61" s="1022"/>
      <c r="S61" s="1130">
        <v>417</v>
      </c>
      <c r="T61" s="1156">
        <v>51750000</v>
      </c>
    </row>
    <row r="62" spans="1:20" s="995" customFormat="1" ht="63.75" x14ac:dyDescent="0.25">
      <c r="A62" s="1013">
        <v>2022056</v>
      </c>
      <c r="B62" s="1013">
        <v>7655</v>
      </c>
      <c r="C62" s="1013" t="s">
        <v>670</v>
      </c>
      <c r="D62" s="1045" t="s">
        <v>691</v>
      </c>
      <c r="E62" s="1046">
        <v>80111600</v>
      </c>
      <c r="F62" s="1016" t="s">
        <v>801</v>
      </c>
      <c r="G62" s="1047">
        <v>44575</v>
      </c>
      <c r="H62" s="1047">
        <v>44575</v>
      </c>
      <c r="I62" s="1048" t="s">
        <v>1478</v>
      </c>
      <c r="J62" s="1049" t="s">
        <v>1479</v>
      </c>
      <c r="K62" s="1017" t="s">
        <v>676</v>
      </c>
      <c r="L62" s="1017" t="s">
        <v>677</v>
      </c>
      <c r="M62" s="1020">
        <v>0</v>
      </c>
      <c r="N62" s="1050" t="s">
        <v>732</v>
      </c>
      <c r="O62" s="1050" t="s">
        <v>1480</v>
      </c>
      <c r="P62" s="1050"/>
      <c r="Q62" s="1017"/>
      <c r="R62" s="1022"/>
      <c r="S62" s="1130"/>
      <c r="T62" s="1156"/>
    </row>
    <row r="63" spans="1:20" s="995" customFormat="1" ht="63.75" x14ac:dyDescent="0.25">
      <c r="A63" s="1023">
        <v>2022057</v>
      </c>
      <c r="B63" s="1023">
        <v>7655</v>
      </c>
      <c r="C63" s="1023" t="s">
        <v>670</v>
      </c>
      <c r="D63" s="1039" t="s">
        <v>691</v>
      </c>
      <c r="E63" s="1040" t="s">
        <v>782</v>
      </c>
      <c r="F63" s="1026" t="s">
        <v>802</v>
      </c>
      <c r="G63" s="1041">
        <v>44575</v>
      </c>
      <c r="H63" s="1041">
        <v>44575</v>
      </c>
      <c r="I63" s="1042" t="s">
        <v>1478</v>
      </c>
      <c r="J63" s="1043" t="s">
        <v>1479</v>
      </c>
      <c r="K63" s="1027" t="s">
        <v>676</v>
      </c>
      <c r="L63" s="1029" t="s">
        <v>677</v>
      </c>
      <c r="M63" s="1030">
        <v>38525000</v>
      </c>
      <c r="N63" s="1044" t="s">
        <v>732</v>
      </c>
      <c r="O63" s="1044" t="s">
        <v>1480</v>
      </c>
      <c r="P63" s="1044"/>
      <c r="Q63" s="1027"/>
      <c r="R63" s="1022"/>
      <c r="S63" s="1130">
        <v>239</v>
      </c>
      <c r="T63" s="1156">
        <v>38525000</v>
      </c>
    </row>
    <row r="64" spans="1:20" s="995" customFormat="1" ht="63.75" x14ac:dyDescent="0.25">
      <c r="A64" s="1023">
        <v>2022058</v>
      </c>
      <c r="B64" s="1023">
        <v>7655</v>
      </c>
      <c r="C64" s="1023" t="s">
        <v>670</v>
      </c>
      <c r="D64" s="1039" t="s">
        <v>691</v>
      </c>
      <c r="E64" s="1040" t="s">
        <v>782</v>
      </c>
      <c r="F64" s="1026" t="s">
        <v>803</v>
      </c>
      <c r="G64" s="1041">
        <v>44575</v>
      </c>
      <c r="H64" s="1041">
        <v>44575</v>
      </c>
      <c r="I64" s="1042" t="s">
        <v>1478</v>
      </c>
      <c r="J64" s="1043" t="s">
        <v>1479</v>
      </c>
      <c r="K64" s="1027" t="s">
        <v>676</v>
      </c>
      <c r="L64" s="1029" t="s">
        <v>677</v>
      </c>
      <c r="M64" s="1030">
        <v>28175000</v>
      </c>
      <c r="N64" s="1044" t="s">
        <v>732</v>
      </c>
      <c r="O64" s="1044" t="s">
        <v>1480</v>
      </c>
      <c r="P64" s="1044"/>
      <c r="Q64" s="1027"/>
      <c r="R64" s="1022"/>
      <c r="S64" s="1130">
        <v>89</v>
      </c>
      <c r="T64" s="1156">
        <v>28175000</v>
      </c>
    </row>
    <row r="65" spans="1:103" s="995" customFormat="1" ht="63.75" x14ac:dyDescent="0.25">
      <c r="A65" s="1023">
        <v>2022059</v>
      </c>
      <c r="B65" s="1023">
        <v>7655</v>
      </c>
      <c r="C65" s="1023" t="s">
        <v>670</v>
      </c>
      <c r="D65" s="1039" t="s">
        <v>691</v>
      </c>
      <c r="E65" s="1040" t="s">
        <v>782</v>
      </c>
      <c r="F65" s="1026" t="s">
        <v>804</v>
      </c>
      <c r="G65" s="1041">
        <v>44575</v>
      </c>
      <c r="H65" s="1041">
        <v>44575</v>
      </c>
      <c r="I65" s="1042" t="s">
        <v>1478</v>
      </c>
      <c r="J65" s="1043" t="s">
        <v>1479</v>
      </c>
      <c r="K65" s="1027" t="s">
        <v>676</v>
      </c>
      <c r="L65" s="1029" t="s">
        <v>677</v>
      </c>
      <c r="M65" s="1030">
        <v>44275000</v>
      </c>
      <c r="N65" s="1044" t="s">
        <v>732</v>
      </c>
      <c r="O65" s="1044" t="s">
        <v>1480</v>
      </c>
      <c r="P65" s="1044"/>
      <c r="Q65" s="1027"/>
      <c r="R65" s="1022"/>
      <c r="S65" s="1130">
        <v>140</v>
      </c>
      <c r="T65" s="1156">
        <v>44275000</v>
      </c>
    </row>
    <row r="66" spans="1:103" s="995" customFormat="1" ht="63.75" x14ac:dyDescent="0.25">
      <c r="A66" s="1023">
        <v>2022060</v>
      </c>
      <c r="B66" s="1023">
        <v>7655</v>
      </c>
      <c r="C66" s="1023" t="s">
        <v>670</v>
      </c>
      <c r="D66" s="1039" t="s">
        <v>691</v>
      </c>
      <c r="E66" s="1040" t="s">
        <v>782</v>
      </c>
      <c r="F66" s="1026" t="s">
        <v>804</v>
      </c>
      <c r="G66" s="1041">
        <v>44575</v>
      </c>
      <c r="H66" s="1041">
        <v>44575</v>
      </c>
      <c r="I66" s="1042" t="s">
        <v>1478</v>
      </c>
      <c r="J66" s="1043" t="s">
        <v>1479</v>
      </c>
      <c r="K66" s="1027" t="s">
        <v>676</v>
      </c>
      <c r="L66" s="1029" t="s">
        <v>677</v>
      </c>
      <c r="M66" s="1030">
        <v>44275000</v>
      </c>
      <c r="N66" s="1044" t="s">
        <v>732</v>
      </c>
      <c r="O66" s="1044" t="s">
        <v>1480</v>
      </c>
      <c r="P66" s="1044"/>
      <c r="Q66" s="1027"/>
      <c r="R66" s="1022"/>
      <c r="S66" s="1130">
        <v>248</v>
      </c>
      <c r="T66" s="1156">
        <v>44275000</v>
      </c>
    </row>
    <row r="67" spans="1:103" s="995" customFormat="1" ht="76.5" x14ac:dyDescent="0.25">
      <c r="A67" s="1023">
        <v>2022061</v>
      </c>
      <c r="B67" s="1023">
        <v>7655</v>
      </c>
      <c r="C67" s="1023" t="s">
        <v>670</v>
      </c>
      <c r="D67" s="1039" t="s">
        <v>691</v>
      </c>
      <c r="E67" s="1040" t="s">
        <v>782</v>
      </c>
      <c r="F67" s="1026" t="s">
        <v>805</v>
      </c>
      <c r="G67" s="1041">
        <v>44575</v>
      </c>
      <c r="H67" s="1041">
        <v>44575</v>
      </c>
      <c r="I67" s="1042" t="s">
        <v>1478</v>
      </c>
      <c r="J67" s="1043" t="s">
        <v>1479</v>
      </c>
      <c r="K67" s="1027" t="s">
        <v>676</v>
      </c>
      <c r="L67" s="1029" t="s">
        <v>677</v>
      </c>
      <c r="M67" s="1030">
        <v>51750000</v>
      </c>
      <c r="N67" s="1044" t="s">
        <v>732</v>
      </c>
      <c r="O67" s="1044" t="s">
        <v>1480</v>
      </c>
      <c r="P67" s="1044"/>
      <c r="Q67" s="1027"/>
      <c r="R67" s="1022"/>
      <c r="S67" s="1130">
        <v>309</v>
      </c>
      <c r="T67" s="1156">
        <v>51750000</v>
      </c>
    </row>
    <row r="68" spans="1:103" s="995" customFormat="1" ht="89.25" x14ac:dyDescent="0.25">
      <c r="A68" s="1023">
        <v>2022062</v>
      </c>
      <c r="B68" s="1023">
        <v>7655</v>
      </c>
      <c r="C68" s="1023" t="s">
        <v>670</v>
      </c>
      <c r="D68" s="1039" t="s">
        <v>691</v>
      </c>
      <c r="E68" s="1040" t="s">
        <v>782</v>
      </c>
      <c r="F68" s="1026" t="s">
        <v>806</v>
      </c>
      <c r="G68" s="1041">
        <v>44575</v>
      </c>
      <c r="H68" s="1041">
        <v>44575</v>
      </c>
      <c r="I68" s="1042" t="s">
        <v>1482</v>
      </c>
      <c r="J68" s="1043" t="s">
        <v>1479</v>
      </c>
      <c r="K68" s="1027" t="s">
        <v>676</v>
      </c>
      <c r="L68" s="1029" t="s">
        <v>677</v>
      </c>
      <c r="M68" s="1030">
        <v>51100000</v>
      </c>
      <c r="N68" s="1044" t="s">
        <v>732</v>
      </c>
      <c r="O68" s="1044" t="s">
        <v>1480</v>
      </c>
      <c r="P68" s="1044"/>
      <c r="Q68" s="1027"/>
      <c r="R68" s="1022"/>
      <c r="S68" s="1130">
        <v>265</v>
      </c>
      <c r="T68" s="1156">
        <v>51100000</v>
      </c>
    </row>
    <row r="69" spans="1:103" s="995" customFormat="1" ht="63.75" x14ac:dyDescent="0.25">
      <c r="A69" s="1013">
        <v>2022063</v>
      </c>
      <c r="B69" s="1013">
        <v>7655</v>
      </c>
      <c r="C69" s="1013" t="s">
        <v>670</v>
      </c>
      <c r="D69" s="1045" t="s">
        <v>691</v>
      </c>
      <c r="E69" s="1051" t="s">
        <v>807</v>
      </c>
      <c r="F69" s="1016" t="s">
        <v>808</v>
      </c>
      <c r="G69" s="1047">
        <v>44630</v>
      </c>
      <c r="H69" s="1047">
        <v>44630</v>
      </c>
      <c r="I69" s="1048" t="s">
        <v>1483</v>
      </c>
      <c r="J69" s="1049" t="s">
        <v>1456</v>
      </c>
      <c r="K69" s="1017" t="s">
        <v>676</v>
      </c>
      <c r="L69" s="1019" t="s">
        <v>809</v>
      </c>
      <c r="M69" s="1020">
        <v>20000000</v>
      </c>
      <c r="N69" s="1050" t="s">
        <v>732</v>
      </c>
      <c r="O69" s="1050" t="s">
        <v>1480</v>
      </c>
      <c r="P69" s="1050"/>
      <c r="Q69" s="1017"/>
      <c r="R69" s="1022"/>
      <c r="S69" s="1130"/>
      <c r="T69" s="1156"/>
    </row>
    <row r="70" spans="1:103" s="1034" customFormat="1" ht="63.75" x14ac:dyDescent="0.25">
      <c r="A70" s="1023">
        <v>2022064</v>
      </c>
      <c r="B70" s="1023">
        <v>7655</v>
      </c>
      <c r="C70" s="1023" t="s">
        <v>670</v>
      </c>
      <c r="D70" s="1039" t="s">
        <v>691</v>
      </c>
      <c r="E70" s="1086" t="s">
        <v>810</v>
      </c>
      <c r="F70" s="1026" t="s">
        <v>811</v>
      </c>
      <c r="G70" s="1041">
        <v>44576</v>
      </c>
      <c r="H70" s="1041">
        <v>44576</v>
      </c>
      <c r="I70" s="1042" t="s">
        <v>97</v>
      </c>
      <c r="J70" s="1043" t="s">
        <v>1447</v>
      </c>
      <c r="K70" s="1027" t="s">
        <v>676</v>
      </c>
      <c r="L70" s="1029" t="s">
        <v>677</v>
      </c>
      <c r="M70" s="1030">
        <v>20000000</v>
      </c>
      <c r="N70" s="1044" t="s">
        <v>732</v>
      </c>
      <c r="O70" s="1044" t="s">
        <v>1480</v>
      </c>
      <c r="P70" s="1044"/>
      <c r="Q70" s="1027"/>
      <c r="R70" s="1130"/>
      <c r="S70" s="1130">
        <v>542</v>
      </c>
      <c r="T70" s="1156">
        <v>16142292</v>
      </c>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row>
    <row r="71" spans="1:103" s="995" customFormat="1" ht="63.75" x14ac:dyDescent="0.25">
      <c r="A71" s="1131">
        <v>2022065</v>
      </c>
      <c r="B71" s="1131">
        <v>7655</v>
      </c>
      <c r="C71" s="1131" t="s">
        <v>670</v>
      </c>
      <c r="D71" s="1139" t="s">
        <v>691</v>
      </c>
      <c r="E71" s="1140" t="s">
        <v>810</v>
      </c>
      <c r="F71" s="1134" t="s">
        <v>812</v>
      </c>
      <c r="G71" s="1141">
        <v>44607</v>
      </c>
      <c r="H71" s="1141">
        <v>44607</v>
      </c>
      <c r="I71" s="1048" t="s">
        <v>1484</v>
      </c>
      <c r="J71" s="1143" t="s">
        <v>1447</v>
      </c>
      <c r="K71" s="1135" t="s">
        <v>676</v>
      </c>
      <c r="L71" s="1132" t="s">
        <v>677</v>
      </c>
      <c r="M71" s="1136">
        <v>140000000</v>
      </c>
      <c r="N71" s="1144" t="s">
        <v>732</v>
      </c>
      <c r="O71" s="1144" t="s">
        <v>1480</v>
      </c>
      <c r="P71" s="1144"/>
      <c r="Q71" s="1135"/>
      <c r="R71" s="1130">
        <v>595</v>
      </c>
      <c r="S71" s="1130"/>
      <c r="T71" s="1156"/>
    </row>
    <row r="72" spans="1:103" s="995" customFormat="1" ht="63.75" x14ac:dyDescent="0.25">
      <c r="A72" s="1013">
        <v>2022066</v>
      </c>
      <c r="B72" s="1013">
        <v>7655</v>
      </c>
      <c r="C72" s="1013" t="s">
        <v>670</v>
      </c>
      <c r="D72" s="1045" t="s">
        <v>691</v>
      </c>
      <c r="E72" s="1046">
        <v>76121900</v>
      </c>
      <c r="F72" s="1016" t="s">
        <v>813</v>
      </c>
      <c r="G72" s="1047">
        <v>44635</v>
      </c>
      <c r="H72" s="1047">
        <v>44635</v>
      </c>
      <c r="I72" s="1048" t="s">
        <v>1485</v>
      </c>
      <c r="J72" s="1049" t="s">
        <v>1456</v>
      </c>
      <c r="K72" s="1017" t="s">
        <v>676</v>
      </c>
      <c r="L72" s="1019" t="s">
        <v>677</v>
      </c>
      <c r="M72" s="1020">
        <v>2060000</v>
      </c>
      <c r="N72" s="1050" t="s">
        <v>732</v>
      </c>
      <c r="O72" s="1050" t="s">
        <v>1480</v>
      </c>
      <c r="P72" s="1050"/>
      <c r="Q72" s="1017"/>
      <c r="R72" s="1022"/>
      <c r="S72" s="1130"/>
      <c r="T72" s="1156"/>
    </row>
    <row r="73" spans="1:103" s="995" customFormat="1" ht="63.75" x14ac:dyDescent="0.25">
      <c r="A73" s="1013">
        <v>2022067</v>
      </c>
      <c r="B73" s="1013">
        <v>7655</v>
      </c>
      <c r="C73" s="1013" t="s">
        <v>670</v>
      </c>
      <c r="D73" s="1045" t="s">
        <v>691</v>
      </c>
      <c r="E73" s="1051" t="s">
        <v>814</v>
      </c>
      <c r="F73" s="1016" t="s">
        <v>815</v>
      </c>
      <c r="G73" s="1047">
        <v>44635</v>
      </c>
      <c r="H73" s="1047">
        <v>44635</v>
      </c>
      <c r="I73" s="1049" t="s">
        <v>816</v>
      </c>
      <c r="J73" s="1049" t="s">
        <v>816</v>
      </c>
      <c r="K73" s="1017" t="s">
        <v>676</v>
      </c>
      <c r="L73" s="1019" t="s">
        <v>677</v>
      </c>
      <c r="M73" s="1020">
        <v>1110000</v>
      </c>
      <c r="N73" s="1050" t="s">
        <v>732</v>
      </c>
      <c r="O73" s="1050" t="s">
        <v>1480</v>
      </c>
      <c r="P73" s="1050"/>
      <c r="Q73" s="1017"/>
      <c r="R73" s="1022"/>
      <c r="S73" s="1130"/>
      <c r="T73" s="1156"/>
    </row>
    <row r="74" spans="1:103" s="995" customFormat="1" ht="76.5" x14ac:dyDescent="0.25">
      <c r="A74" s="1023">
        <v>2022068</v>
      </c>
      <c r="B74" s="1023">
        <v>7655</v>
      </c>
      <c r="C74" s="1023" t="s">
        <v>670</v>
      </c>
      <c r="D74" s="1039" t="s">
        <v>691</v>
      </c>
      <c r="E74" s="1040" t="s">
        <v>782</v>
      </c>
      <c r="F74" s="1026" t="s">
        <v>817</v>
      </c>
      <c r="G74" s="1041">
        <v>44575</v>
      </c>
      <c r="H74" s="1041">
        <v>44575</v>
      </c>
      <c r="I74" s="1042" t="s">
        <v>1478</v>
      </c>
      <c r="J74" s="1043" t="s">
        <v>1479</v>
      </c>
      <c r="K74" s="1027" t="s">
        <v>676</v>
      </c>
      <c r="L74" s="1029" t="s">
        <v>677</v>
      </c>
      <c r="M74" s="1030">
        <v>44275000</v>
      </c>
      <c r="N74" s="1044" t="s">
        <v>732</v>
      </c>
      <c r="O74" s="1044" t="s">
        <v>1480</v>
      </c>
      <c r="P74" s="1044"/>
      <c r="Q74" s="1027"/>
      <c r="R74" s="1022"/>
      <c r="S74" s="1130">
        <v>382</v>
      </c>
      <c r="T74" s="1156">
        <v>44275000</v>
      </c>
    </row>
    <row r="75" spans="1:103" s="995" customFormat="1" ht="63.75" x14ac:dyDescent="0.25">
      <c r="A75" s="1023">
        <v>2022069</v>
      </c>
      <c r="B75" s="1023">
        <v>7655</v>
      </c>
      <c r="C75" s="1023" t="s">
        <v>670</v>
      </c>
      <c r="D75" s="1039" t="s">
        <v>691</v>
      </c>
      <c r="E75" s="1040" t="s">
        <v>782</v>
      </c>
      <c r="F75" s="1026" t="s">
        <v>818</v>
      </c>
      <c r="G75" s="1041">
        <v>44575</v>
      </c>
      <c r="H75" s="1041">
        <v>44575</v>
      </c>
      <c r="I75" s="1042" t="s">
        <v>1478</v>
      </c>
      <c r="J75" s="1043" t="s">
        <v>1479</v>
      </c>
      <c r="K75" s="1027" t="s">
        <v>676</v>
      </c>
      <c r="L75" s="1029" t="s">
        <v>784</v>
      </c>
      <c r="M75" s="1030">
        <v>47150000</v>
      </c>
      <c r="N75" s="1044" t="s">
        <v>732</v>
      </c>
      <c r="O75" s="1044" t="s">
        <v>1480</v>
      </c>
      <c r="P75" s="1044"/>
      <c r="Q75" s="1027"/>
      <c r="R75" s="1022"/>
      <c r="S75" s="1130">
        <v>212</v>
      </c>
      <c r="T75" s="1156">
        <v>47150000</v>
      </c>
    </row>
    <row r="76" spans="1:103" s="995" customFormat="1" ht="63.75" x14ac:dyDescent="0.25">
      <c r="A76" s="1023">
        <v>2022070</v>
      </c>
      <c r="B76" s="1023">
        <v>7655</v>
      </c>
      <c r="C76" s="1023" t="s">
        <v>670</v>
      </c>
      <c r="D76" s="1039" t="s">
        <v>691</v>
      </c>
      <c r="E76" s="1040" t="s">
        <v>782</v>
      </c>
      <c r="F76" s="1026" t="s">
        <v>818</v>
      </c>
      <c r="G76" s="1041">
        <v>44575</v>
      </c>
      <c r="H76" s="1041">
        <v>44575</v>
      </c>
      <c r="I76" s="1042" t="s">
        <v>1478</v>
      </c>
      <c r="J76" s="1043" t="s">
        <v>1479</v>
      </c>
      <c r="K76" s="1027" t="s">
        <v>676</v>
      </c>
      <c r="L76" s="1029" t="s">
        <v>677</v>
      </c>
      <c r="M76" s="1030">
        <v>63250000</v>
      </c>
      <c r="N76" s="1044" t="s">
        <v>732</v>
      </c>
      <c r="O76" s="1044" t="s">
        <v>1480</v>
      </c>
      <c r="P76" s="1044"/>
      <c r="Q76" s="1027"/>
      <c r="R76" s="1022"/>
      <c r="S76" s="1130">
        <v>122</v>
      </c>
      <c r="T76" s="1156">
        <v>63250000</v>
      </c>
    </row>
    <row r="77" spans="1:103" s="995" customFormat="1" ht="63.75" x14ac:dyDescent="0.25">
      <c r="A77" s="1023">
        <v>2022071</v>
      </c>
      <c r="B77" s="1023">
        <v>7655</v>
      </c>
      <c r="C77" s="1023" t="s">
        <v>670</v>
      </c>
      <c r="D77" s="1039" t="s">
        <v>691</v>
      </c>
      <c r="E77" s="1040" t="s">
        <v>782</v>
      </c>
      <c r="F77" s="1026" t="s">
        <v>818</v>
      </c>
      <c r="G77" s="1041">
        <v>44575</v>
      </c>
      <c r="H77" s="1041">
        <v>44575</v>
      </c>
      <c r="I77" s="1042" t="s">
        <v>1478</v>
      </c>
      <c r="J77" s="1043" t="s">
        <v>1479</v>
      </c>
      <c r="K77" s="1027" t="s">
        <v>676</v>
      </c>
      <c r="L77" s="1029" t="s">
        <v>677</v>
      </c>
      <c r="M77" s="1030">
        <v>63250000</v>
      </c>
      <c r="N77" s="1044" t="s">
        <v>732</v>
      </c>
      <c r="O77" s="1044" t="s">
        <v>1480</v>
      </c>
      <c r="P77" s="1044"/>
      <c r="Q77" s="1027"/>
      <c r="R77" s="1022"/>
      <c r="S77" s="1130">
        <v>205</v>
      </c>
      <c r="T77" s="1156">
        <v>63250000</v>
      </c>
    </row>
    <row r="78" spans="1:103" s="995" customFormat="1" ht="76.5" x14ac:dyDescent="0.25">
      <c r="A78" s="1023">
        <v>2022072</v>
      </c>
      <c r="B78" s="1023">
        <v>7655</v>
      </c>
      <c r="C78" s="1023" t="s">
        <v>670</v>
      </c>
      <c r="D78" s="1039" t="s">
        <v>691</v>
      </c>
      <c r="E78" s="1040" t="s">
        <v>782</v>
      </c>
      <c r="F78" s="1026" t="s">
        <v>819</v>
      </c>
      <c r="G78" s="1041">
        <v>44575</v>
      </c>
      <c r="H78" s="1041">
        <v>44575</v>
      </c>
      <c r="I78" s="1042" t="s">
        <v>1481</v>
      </c>
      <c r="J78" s="1043" t="s">
        <v>1479</v>
      </c>
      <c r="K78" s="1027" t="s">
        <v>676</v>
      </c>
      <c r="L78" s="1029" t="s">
        <v>677</v>
      </c>
      <c r="M78" s="1030">
        <v>16500000</v>
      </c>
      <c r="N78" s="1044" t="s">
        <v>732</v>
      </c>
      <c r="O78" s="1044" t="s">
        <v>1480</v>
      </c>
      <c r="P78" s="1044"/>
      <c r="Q78" s="1027"/>
      <c r="R78" s="1022"/>
      <c r="S78" s="1130">
        <v>280</v>
      </c>
      <c r="T78" s="1156">
        <v>16500000</v>
      </c>
    </row>
    <row r="79" spans="1:103" s="995" customFormat="1" ht="63.75" x14ac:dyDescent="0.25">
      <c r="A79" s="1023">
        <v>2022073</v>
      </c>
      <c r="B79" s="1023">
        <v>7655</v>
      </c>
      <c r="C79" s="1023" t="s">
        <v>670</v>
      </c>
      <c r="D79" s="1039" t="s">
        <v>691</v>
      </c>
      <c r="E79" s="1040" t="s">
        <v>782</v>
      </c>
      <c r="F79" s="1026" t="s">
        <v>818</v>
      </c>
      <c r="G79" s="1041">
        <v>44575</v>
      </c>
      <c r="H79" s="1041">
        <v>44575</v>
      </c>
      <c r="I79" s="1042" t="s">
        <v>1478</v>
      </c>
      <c r="J79" s="1043" t="s">
        <v>1479</v>
      </c>
      <c r="K79" s="1027" t="s">
        <v>676</v>
      </c>
      <c r="L79" s="1029" t="s">
        <v>677</v>
      </c>
      <c r="M79" s="1030">
        <v>63250000</v>
      </c>
      <c r="N79" s="1044" t="s">
        <v>732</v>
      </c>
      <c r="O79" s="1044" t="s">
        <v>1480</v>
      </c>
      <c r="P79" s="1044"/>
      <c r="Q79" s="1027"/>
      <c r="R79" s="1022"/>
      <c r="S79" s="1130">
        <v>408</v>
      </c>
      <c r="T79" s="1156">
        <v>63250000</v>
      </c>
    </row>
    <row r="80" spans="1:103" s="995" customFormat="1" ht="63.75" x14ac:dyDescent="0.25">
      <c r="A80" s="1023">
        <v>2022074</v>
      </c>
      <c r="B80" s="1023">
        <v>7655</v>
      </c>
      <c r="C80" s="1023" t="s">
        <v>670</v>
      </c>
      <c r="D80" s="1039" t="s">
        <v>691</v>
      </c>
      <c r="E80" s="1040" t="s">
        <v>782</v>
      </c>
      <c r="F80" s="1026" t="s">
        <v>818</v>
      </c>
      <c r="G80" s="1041">
        <v>44575</v>
      </c>
      <c r="H80" s="1041">
        <v>44575</v>
      </c>
      <c r="I80" s="1042" t="s">
        <v>1478</v>
      </c>
      <c r="J80" s="1043" t="s">
        <v>1479</v>
      </c>
      <c r="K80" s="1027" t="s">
        <v>676</v>
      </c>
      <c r="L80" s="1029" t="s">
        <v>677</v>
      </c>
      <c r="M80" s="1030">
        <v>58650000</v>
      </c>
      <c r="N80" s="1044" t="s">
        <v>732</v>
      </c>
      <c r="O80" s="1044" t="s">
        <v>1480</v>
      </c>
      <c r="P80" s="1044"/>
      <c r="Q80" s="1027"/>
      <c r="R80" s="1022"/>
      <c r="S80" s="1130">
        <v>424</v>
      </c>
      <c r="T80" s="1156">
        <v>58650000</v>
      </c>
    </row>
    <row r="81" spans="1:20" s="995" customFormat="1" ht="76.5" x14ac:dyDescent="0.25">
      <c r="A81" s="1023">
        <v>2022075</v>
      </c>
      <c r="B81" s="1023">
        <v>7655</v>
      </c>
      <c r="C81" s="1023" t="s">
        <v>670</v>
      </c>
      <c r="D81" s="1039" t="s">
        <v>691</v>
      </c>
      <c r="E81" s="1040" t="s">
        <v>782</v>
      </c>
      <c r="F81" s="1026" t="s">
        <v>819</v>
      </c>
      <c r="G81" s="1041">
        <v>44575</v>
      </c>
      <c r="H81" s="1041">
        <v>44575</v>
      </c>
      <c r="I81" s="1042" t="s">
        <v>1478</v>
      </c>
      <c r="J81" s="1043" t="s">
        <v>1479</v>
      </c>
      <c r="K81" s="1027" t="s">
        <v>676</v>
      </c>
      <c r="L81" s="1029" t="s">
        <v>677</v>
      </c>
      <c r="M81" s="1030">
        <v>31625000</v>
      </c>
      <c r="N81" s="1044" t="s">
        <v>732</v>
      </c>
      <c r="O81" s="1044" t="s">
        <v>1480</v>
      </c>
      <c r="P81" s="1044"/>
      <c r="Q81" s="1027"/>
      <c r="R81" s="1022"/>
      <c r="S81" s="1130">
        <v>324</v>
      </c>
      <c r="T81" s="1156">
        <v>31625000</v>
      </c>
    </row>
    <row r="82" spans="1:20" s="995" customFormat="1" ht="63.75" x14ac:dyDescent="0.25">
      <c r="A82" s="1023">
        <v>2022076</v>
      </c>
      <c r="B82" s="1023">
        <v>7655</v>
      </c>
      <c r="C82" s="1023" t="s">
        <v>670</v>
      </c>
      <c r="D82" s="1039" t="s">
        <v>691</v>
      </c>
      <c r="E82" s="1040" t="s">
        <v>782</v>
      </c>
      <c r="F82" s="1026" t="s">
        <v>820</v>
      </c>
      <c r="G82" s="1041">
        <v>44575</v>
      </c>
      <c r="H82" s="1041">
        <v>44575</v>
      </c>
      <c r="I82" s="1042" t="s">
        <v>1478</v>
      </c>
      <c r="J82" s="1043" t="s">
        <v>1479</v>
      </c>
      <c r="K82" s="1027" t="s">
        <v>676</v>
      </c>
      <c r="L82" s="1029" t="s">
        <v>677</v>
      </c>
      <c r="M82" s="1030">
        <v>28175000</v>
      </c>
      <c r="N82" s="1044" t="s">
        <v>732</v>
      </c>
      <c r="O82" s="1044" t="s">
        <v>1480</v>
      </c>
      <c r="P82" s="1044"/>
      <c r="Q82" s="1027"/>
      <c r="R82" s="1022"/>
      <c r="S82" s="1130">
        <v>268</v>
      </c>
      <c r="T82" s="1156">
        <v>28175000</v>
      </c>
    </row>
    <row r="83" spans="1:20" s="995" customFormat="1" ht="63.75" x14ac:dyDescent="0.25">
      <c r="A83" s="1023">
        <v>2022077</v>
      </c>
      <c r="B83" s="1023">
        <v>7655</v>
      </c>
      <c r="C83" s="1023" t="s">
        <v>670</v>
      </c>
      <c r="D83" s="1039" t="s">
        <v>691</v>
      </c>
      <c r="E83" s="1040" t="s">
        <v>782</v>
      </c>
      <c r="F83" s="1026" t="s">
        <v>820</v>
      </c>
      <c r="G83" s="1041">
        <v>44575</v>
      </c>
      <c r="H83" s="1041">
        <v>44575</v>
      </c>
      <c r="I83" s="1042" t="s">
        <v>1478</v>
      </c>
      <c r="J83" s="1043" t="s">
        <v>1479</v>
      </c>
      <c r="K83" s="1027" t="s">
        <v>676</v>
      </c>
      <c r="L83" s="1029" t="s">
        <v>677</v>
      </c>
      <c r="M83" s="1030">
        <v>28175000</v>
      </c>
      <c r="N83" s="1044" t="s">
        <v>732</v>
      </c>
      <c r="O83" s="1044" t="s">
        <v>1480</v>
      </c>
      <c r="P83" s="1044"/>
      <c r="Q83" s="1027"/>
      <c r="R83" s="1022"/>
      <c r="S83" s="1130">
        <v>240</v>
      </c>
      <c r="T83" s="1156">
        <v>28175000</v>
      </c>
    </row>
    <row r="84" spans="1:20" s="995" customFormat="1" ht="63.75" x14ac:dyDescent="0.25">
      <c r="A84" s="1023">
        <v>2022078</v>
      </c>
      <c r="B84" s="1023">
        <v>7655</v>
      </c>
      <c r="C84" s="1023" t="s">
        <v>670</v>
      </c>
      <c r="D84" s="1039" t="s">
        <v>691</v>
      </c>
      <c r="E84" s="1040" t="s">
        <v>782</v>
      </c>
      <c r="F84" s="1026" t="s">
        <v>821</v>
      </c>
      <c r="G84" s="1041">
        <v>44575</v>
      </c>
      <c r="H84" s="1041">
        <v>44575</v>
      </c>
      <c r="I84" s="1042" t="s">
        <v>1478</v>
      </c>
      <c r="J84" s="1043" t="s">
        <v>1479</v>
      </c>
      <c r="K84" s="1027" t="s">
        <v>676</v>
      </c>
      <c r="L84" s="1029" t="s">
        <v>677</v>
      </c>
      <c r="M84" s="1030">
        <v>24150000</v>
      </c>
      <c r="N84" s="1044" t="s">
        <v>732</v>
      </c>
      <c r="O84" s="1044" t="s">
        <v>1480</v>
      </c>
      <c r="P84" s="1044"/>
      <c r="Q84" s="1027"/>
      <c r="R84" s="1022"/>
      <c r="S84" s="1130">
        <v>236</v>
      </c>
      <c r="T84" s="1156">
        <v>24150000</v>
      </c>
    </row>
    <row r="85" spans="1:20" s="995" customFormat="1" ht="63.75" x14ac:dyDescent="0.25">
      <c r="A85" s="1023">
        <v>2022079</v>
      </c>
      <c r="B85" s="1023">
        <v>7655</v>
      </c>
      <c r="C85" s="1023" t="s">
        <v>670</v>
      </c>
      <c r="D85" s="1039" t="s">
        <v>691</v>
      </c>
      <c r="E85" s="1040" t="s">
        <v>782</v>
      </c>
      <c r="F85" s="1026" t="s">
        <v>822</v>
      </c>
      <c r="G85" s="1041">
        <v>44575</v>
      </c>
      <c r="H85" s="1041">
        <v>44575</v>
      </c>
      <c r="I85" s="1042" t="s">
        <v>1478</v>
      </c>
      <c r="J85" s="1043" t="s">
        <v>1479</v>
      </c>
      <c r="K85" s="1027" t="s">
        <v>676</v>
      </c>
      <c r="L85" s="1029" t="s">
        <v>677</v>
      </c>
      <c r="M85" s="1030">
        <v>57500000</v>
      </c>
      <c r="N85" s="1044" t="s">
        <v>732</v>
      </c>
      <c r="O85" s="1044" t="s">
        <v>1480</v>
      </c>
      <c r="P85" s="1044"/>
      <c r="Q85" s="1027"/>
      <c r="R85" s="1022"/>
      <c r="S85" s="1130">
        <v>90</v>
      </c>
      <c r="T85" s="1156">
        <v>57500000</v>
      </c>
    </row>
    <row r="86" spans="1:20" s="995" customFormat="1" ht="63.75" x14ac:dyDescent="0.25">
      <c r="A86" s="1023">
        <v>2022080</v>
      </c>
      <c r="B86" s="1023">
        <v>7655</v>
      </c>
      <c r="C86" s="1023" t="s">
        <v>670</v>
      </c>
      <c r="D86" s="1039" t="s">
        <v>691</v>
      </c>
      <c r="E86" s="1040" t="s">
        <v>782</v>
      </c>
      <c r="F86" s="1026" t="s">
        <v>823</v>
      </c>
      <c r="G86" s="1041">
        <v>44575</v>
      </c>
      <c r="H86" s="1041">
        <v>44575</v>
      </c>
      <c r="I86" s="1042" t="s">
        <v>1478</v>
      </c>
      <c r="J86" s="1043" t="s">
        <v>1479</v>
      </c>
      <c r="K86" s="1027" t="s">
        <v>676</v>
      </c>
      <c r="L86" s="1029" t="s">
        <v>677</v>
      </c>
      <c r="M86" s="1030">
        <v>83950000</v>
      </c>
      <c r="N86" s="1044" t="s">
        <v>732</v>
      </c>
      <c r="O86" s="1044" t="s">
        <v>1480</v>
      </c>
      <c r="P86" s="1044"/>
      <c r="Q86" s="1027"/>
      <c r="R86" s="1022"/>
      <c r="S86" s="1130">
        <v>124</v>
      </c>
      <c r="T86" s="1156">
        <v>83950000</v>
      </c>
    </row>
    <row r="87" spans="1:20" s="995" customFormat="1" ht="63.75" x14ac:dyDescent="0.25">
      <c r="A87" s="1023">
        <v>2022081</v>
      </c>
      <c r="B87" s="1023">
        <v>7655</v>
      </c>
      <c r="C87" s="1023" t="s">
        <v>670</v>
      </c>
      <c r="D87" s="1039" t="s">
        <v>691</v>
      </c>
      <c r="E87" s="1040" t="s">
        <v>782</v>
      </c>
      <c r="F87" s="1026" t="s">
        <v>824</v>
      </c>
      <c r="G87" s="1041">
        <v>44575</v>
      </c>
      <c r="H87" s="1041">
        <v>44575</v>
      </c>
      <c r="I87" s="1042" t="s">
        <v>1478</v>
      </c>
      <c r="J87" s="1043" t="s">
        <v>1479</v>
      </c>
      <c r="K87" s="1027" t="s">
        <v>676</v>
      </c>
      <c r="L87" s="1029" t="s">
        <v>677</v>
      </c>
      <c r="M87" s="1030">
        <v>28175000</v>
      </c>
      <c r="N87" s="1044" t="s">
        <v>732</v>
      </c>
      <c r="O87" s="1044" t="s">
        <v>1480</v>
      </c>
      <c r="P87" s="1044"/>
      <c r="Q87" s="1027"/>
      <c r="R87" s="1022"/>
      <c r="S87" s="1130">
        <v>318</v>
      </c>
      <c r="T87" s="1156">
        <v>28175000</v>
      </c>
    </row>
    <row r="88" spans="1:20" s="995" customFormat="1" ht="63.75" x14ac:dyDescent="0.25">
      <c r="A88" s="1023">
        <v>2022082</v>
      </c>
      <c r="B88" s="1023">
        <v>7655</v>
      </c>
      <c r="C88" s="1023" t="s">
        <v>670</v>
      </c>
      <c r="D88" s="1039" t="s">
        <v>691</v>
      </c>
      <c r="E88" s="1040" t="s">
        <v>782</v>
      </c>
      <c r="F88" s="1026" t="s">
        <v>820</v>
      </c>
      <c r="G88" s="1041">
        <v>44575</v>
      </c>
      <c r="H88" s="1041">
        <v>44575</v>
      </c>
      <c r="I88" s="1042" t="s">
        <v>1478</v>
      </c>
      <c r="J88" s="1043" t="s">
        <v>1479</v>
      </c>
      <c r="K88" s="1027" t="s">
        <v>676</v>
      </c>
      <c r="L88" s="1029" t="s">
        <v>677</v>
      </c>
      <c r="M88" s="1030">
        <v>28175000</v>
      </c>
      <c r="N88" s="1044" t="s">
        <v>732</v>
      </c>
      <c r="O88" s="1044" t="s">
        <v>1480</v>
      </c>
      <c r="P88" s="1044"/>
      <c r="Q88" s="1027"/>
      <c r="R88" s="1022"/>
      <c r="S88" s="1130">
        <v>237</v>
      </c>
      <c r="T88" s="1156">
        <v>28175000</v>
      </c>
    </row>
    <row r="89" spans="1:20" s="995" customFormat="1" ht="63.75" x14ac:dyDescent="0.25">
      <c r="A89" s="1023">
        <v>2022083</v>
      </c>
      <c r="B89" s="1023">
        <v>7655</v>
      </c>
      <c r="C89" s="1023" t="s">
        <v>670</v>
      </c>
      <c r="D89" s="1039" t="s">
        <v>691</v>
      </c>
      <c r="E89" s="1040" t="s">
        <v>782</v>
      </c>
      <c r="F89" s="1026" t="s">
        <v>820</v>
      </c>
      <c r="G89" s="1041">
        <v>44575</v>
      </c>
      <c r="H89" s="1041">
        <v>44575</v>
      </c>
      <c r="I89" s="1042" t="s">
        <v>1478</v>
      </c>
      <c r="J89" s="1043" t="s">
        <v>1479</v>
      </c>
      <c r="K89" s="1027" t="s">
        <v>676</v>
      </c>
      <c r="L89" s="1029" t="s">
        <v>677</v>
      </c>
      <c r="M89" s="1030">
        <v>28175000</v>
      </c>
      <c r="N89" s="1044" t="s">
        <v>732</v>
      </c>
      <c r="O89" s="1044" t="s">
        <v>1480</v>
      </c>
      <c r="P89" s="1044"/>
      <c r="Q89" s="1027"/>
      <c r="R89" s="1022"/>
      <c r="S89" s="1130">
        <v>275</v>
      </c>
      <c r="T89" s="1156">
        <v>28175000</v>
      </c>
    </row>
    <row r="90" spans="1:20" s="995" customFormat="1" ht="63.75" x14ac:dyDescent="0.25">
      <c r="A90" s="1023">
        <v>2022084</v>
      </c>
      <c r="B90" s="1023">
        <v>7655</v>
      </c>
      <c r="C90" s="1023" t="s">
        <v>670</v>
      </c>
      <c r="D90" s="1039" t="s">
        <v>691</v>
      </c>
      <c r="E90" s="1040" t="s">
        <v>782</v>
      </c>
      <c r="F90" s="1026" t="s">
        <v>820</v>
      </c>
      <c r="G90" s="1041">
        <v>44575</v>
      </c>
      <c r="H90" s="1041">
        <v>44575</v>
      </c>
      <c r="I90" s="1042" t="s">
        <v>1478</v>
      </c>
      <c r="J90" s="1043" t="s">
        <v>1479</v>
      </c>
      <c r="K90" s="1027" t="s">
        <v>676</v>
      </c>
      <c r="L90" s="1029" t="s">
        <v>677</v>
      </c>
      <c r="M90" s="1030">
        <v>28175000</v>
      </c>
      <c r="N90" s="1044" t="s">
        <v>732</v>
      </c>
      <c r="O90" s="1044" t="s">
        <v>1480</v>
      </c>
      <c r="P90" s="1044"/>
      <c r="Q90" s="1027"/>
      <c r="R90" s="1022"/>
      <c r="S90" s="1130">
        <v>341</v>
      </c>
      <c r="T90" s="1156">
        <v>28175000</v>
      </c>
    </row>
    <row r="91" spans="1:20" s="995" customFormat="1" ht="63.75" x14ac:dyDescent="0.25">
      <c r="A91" s="1023">
        <v>2022085</v>
      </c>
      <c r="B91" s="1023">
        <v>7655</v>
      </c>
      <c r="C91" s="1023" t="s">
        <v>670</v>
      </c>
      <c r="D91" s="1039" t="s">
        <v>691</v>
      </c>
      <c r="E91" s="1040" t="s">
        <v>782</v>
      </c>
      <c r="F91" s="1026" t="s">
        <v>825</v>
      </c>
      <c r="G91" s="1041">
        <v>44575</v>
      </c>
      <c r="H91" s="1041">
        <v>44575</v>
      </c>
      <c r="I91" s="1042" t="s">
        <v>1478</v>
      </c>
      <c r="J91" s="1043" t="s">
        <v>1479</v>
      </c>
      <c r="K91" s="1027" t="s">
        <v>676</v>
      </c>
      <c r="L91" s="1029" t="s">
        <v>677</v>
      </c>
      <c r="M91" s="1030">
        <v>78200000</v>
      </c>
      <c r="N91" s="1044" t="s">
        <v>732</v>
      </c>
      <c r="O91" s="1044" t="s">
        <v>1480</v>
      </c>
      <c r="P91" s="1044"/>
      <c r="Q91" s="1027"/>
      <c r="R91" s="1022"/>
      <c r="S91" s="1130">
        <v>104</v>
      </c>
      <c r="T91" s="1156">
        <v>78200000</v>
      </c>
    </row>
    <row r="92" spans="1:20" s="995" customFormat="1" ht="63.75" x14ac:dyDescent="0.25">
      <c r="A92" s="1023">
        <v>2022086</v>
      </c>
      <c r="B92" s="1023">
        <v>7655</v>
      </c>
      <c r="C92" s="1023" t="s">
        <v>670</v>
      </c>
      <c r="D92" s="1039" t="s">
        <v>691</v>
      </c>
      <c r="E92" s="1040" t="s">
        <v>782</v>
      </c>
      <c r="F92" s="1026" t="s">
        <v>826</v>
      </c>
      <c r="G92" s="1041">
        <v>44575</v>
      </c>
      <c r="H92" s="1041">
        <v>44575</v>
      </c>
      <c r="I92" s="1042" t="s">
        <v>1478</v>
      </c>
      <c r="J92" s="1043" t="s">
        <v>1479</v>
      </c>
      <c r="K92" s="1027" t="s">
        <v>676</v>
      </c>
      <c r="L92" s="1029" t="s">
        <v>677</v>
      </c>
      <c r="M92" s="1030">
        <v>36800000</v>
      </c>
      <c r="N92" s="1044" t="s">
        <v>732</v>
      </c>
      <c r="O92" s="1044" t="s">
        <v>1480</v>
      </c>
      <c r="P92" s="1044"/>
      <c r="Q92" s="1027"/>
      <c r="R92" s="1022"/>
      <c r="S92" s="1130">
        <v>123</v>
      </c>
      <c r="T92" s="1156">
        <v>36800000</v>
      </c>
    </row>
    <row r="93" spans="1:20" s="995" customFormat="1" ht="76.5" x14ac:dyDescent="0.25">
      <c r="A93" s="1023">
        <v>2022087</v>
      </c>
      <c r="B93" s="1023">
        <v>7655</v>
      </c>
      <c r="C93" s="1023" t="s">
        <v>670</v>
      </c>
      <c r="D93" s="1039" t="s">
        <v>691</v>
      </c>
      <c r="E93" s="1040" t="s">
        <v>782</v>
      </c>
      <c r="F93" s="1026" t="s">
        <v>827</v>
      </c>
      <c r="G93" s="1041">
        <v>44575</v>
      </c>
      <c r="H93" s="1041">
        <v>44575</v>
      </c>
      <c r="I93" s="1042" t="s">
        <v>1478</v>
      </c>
      <c r="J93" s="1043" t="s">
        <v>1479</v>
      </c>
      <c r="K93" s="1027" t="s">
        <v>676</v>
      </c>
      <c r="L93" s="1029" t="s">
        <v>677</v>
      </c>
      <c r="M93" s="1030">
        <v>58650000</v>
      </c>
      <c r="N93" s="1044" t="s">
        <v>732</v>
      </c>
      <c r="O93" s="1044" t="s">
        <v>1480</v>
      </c>
      <c r="P93" s="1044"/>
      <c r="Q93" s="1027"/>
      <c r="R93" s="1022"/>
      <c r="S93" s="1130">
        <v>132</v>
      </c>
      <c r="T93" s="1156">
        <v>58650000</v>
      </c>
    </row>
    <row r="94" spans="1:20" s="995" customFormat="1" ht="63.75" x14ac:dyDescent="0.25">
      <c r="A94" s="1023">
        <v>2022088</v>
      </c>
      <c r="B94" s="1023">
        <v>7655</v>
      </c>
      <c r="C94" s="1023" t="s">
        <v>670</v>
      </c>
      <c r="D94" s="1039" t="s">
        <v>691</v>
      </c>
      <c r="E94" s="1040" t="s">
        <v>782</v>
      </c>
      <c r="F94" s="1026" t="s">
        <v>828</v>
      </c>
      <c r="G94" s="1041">
        <v>44575</v>
      </c>
      <c r="H94" s="1041">
        <v>44575</v>
      </c>
      <c r="I94" s="1042" t="s">
        <v>1478</v>
      </c>
      <c r="J94" s="1043" t="s">
        <v>1479</v>
      </c>
      <c r="K94" s="1027" t="s">
        <v>676</v>
      </c>
      <c r="L94" s="1029" t="s">
        <v>677</v>
      </c>
      <c r="M94" s="1030">
        <v>38525000</v>
      </c>
      <c r="N94" s="1044" t="s">
        <v>732</v>
      </c>
      <c r="O94" s="1044" t="s">
        <v>1480</v>
      </c>
      <c r="P94" s="1044"/>
      <c r="Q94" s="1027"/>
      <c r="R94" s="1022"/>
      <c r="S94" s="1130">
        <v>72</v>
      </c>
      <c r="T94" s="1156">
        <v>38525000</v>
      </c>
    </row>
    <row r="95" spans="1:20" s="995" customFormat="1" ht="76.5" x14ac:dyDescent="0.25">
      <c r="A95" s="1023">
        <v>2022089</v>
      </c>
      <c r="B95" s="1023">
        <v>7655</v>
      </c>
      <c r="C95" s="1023" t="s">
        <v>670</v>
      </c>
      <c r="D95" s="1039" t="s">
        <v>691</v>
      </c>
      <c r="E95" s="1040" t="s">
        <v>782</v>
      </c>
      <c r="F95" s="1026" t="s">
        <v>829</v>
      </c>
      <c r="G95" s="1041">
        <v>44575</v>
      </c>
      <c r="H95" s="1041">
        <v>44575</v>
      </c>
      <c r="I95" s="1042" t="s">
        <v>1478</v>
      </c>
      <c r="J95" s="1043" t="s">
        <v>1479</v>
      </c>
      <c r="K95" s="1027" t="s">
        <v>676</v>
      </c>
      <c r="L95" s="1029" t="s">
        <v>677</v>
      </c>
      <c r="M95" s="1030">
        <v>48300000</v>
      </c>
      <c r="N95" s="1044" t="s">
        <v>732</v>
      </c>
      <c r="O95" s="1044" t="s">
        <v>1480</v>
      </c>
      <c r="P95" s="1044"/>
      <c r="Q95" s="1027"/>
      <c r="R95" s="1022"/>
      <c r="S95" s="1130">
        <v>71</v>
      </c>
      <c r="T95" s="1156">
        <v>48300000</v>
      </c>
    </row>
    <row r="96" spans="1:20" s="995" customFormat="1" ht="63.75" x14ac:dyDescent="0.25">
      <c r="A96" s="1013">
        <v>2022090</v>
      </c>
      <c r="B96" s="1013">
        <v>7655</v>
      </c>
      <c r="C96" s="1013" t="s">
        <v>670</v>
      </c>
      <c r="D96" s="1045" t="s">
        <v>691</v>
      </c>
      <c r="E96" s="1046" t="s">
        <v>782</v>
      </c>
      <c r="F96" s="1016" t="s">
        <v>830</v>
      </c>
      <c r="G96" s="1047">
        <v>44575</v>
      </c>
      <c r="H96" s="1047">
        <v>44575</v>
      </c>
      <c r="I96" s="1048" t="s">
        <v>1481</v>
      </c>
      <c r="J96" s="1049" t="s">
        <v>1479</v>
      </c>
      <c r="K96" s="1017" t="s">
        <v>676</v>
      </c>
      <c r="L96" s="1019" t="s">
        <v>677</v>
      </c>
      <c r="M96" s="1020">
        <v>36000000</v>
      </c>
      <c r="N96" s="1050" t="s">
        <v>732</v>
      </c>
      <c r="O96" s="1050" t="s">
        <v>1480</v>
      </c>
      <c r="P96" s="1050"/>
      <c r="Q96" s="1017"/>
      <c r="R96" s="1022"/>
      <c r="S96" s="1130"/>
      <c r="T96" s="1156"/>
    </row>
    <row r="97" spans="1:20" s="995" customFormat="1" ht="63.75" x14ac:dyDescent="0.25">
      <c r="A97" s="1023">
        <v>2022091</v>
      </c>
      <c r="B97" s="1023">
        <v>7655</v>
      </c>
      <c r="C97" s="1023" t="s">
        <v>670</v>
      </c>
      <c r="D97" s="1039" t="s">
        <v>691</v>
      </c>
      <c r="E97" s="1040" t="s">
        <v>782</v>
      </c>
      <c r="F97" s="1026" t="s">
        <v>831</v>
      </c>
      <c r="G97" s="1041">
        <v>44575</v>
      </c>
      <c r="H97" s="1041">
        <v>44575</v>
      </c>
      <c r="I97" s="1042" t="s">
        <v>1478</v>
      </c>
      <c r="J97" s="1043" t="s">
        <v>1479</v>
      </c>
      <c r="K97" s="1027" t="s">
        <v>676</v>
      </c>
      <c r="L97" s="1029" t="s">
        <v>677</v>
      </c>
      <c r="M97" s="1030">
        <v>80500000</v>
      </c>
      <c r="N97" s="1044" t="s">
        <v>732</v>
      </c>
      <c r="O97" s="1044" t="s">
        <v>1480</v>
      </c>
      <c r="P97" s="1044"/>
      <c r="Q97" s="1027"/>
      <c r="R97" s="1022"/>
      <c r="S97" s="1130">
        <v>434</v>
      </c>
      <c r="T97" s="1156">
        <v>80500000</v>
      </c>
    </row>
    <row r="98" spans="1:20" s="995" customFormat="1" ht="63.75" x14ac:dyDescent="0.25">
      <c r="A98" s="1023">
        <v>2022092</v>
      </c>
      <c r="B98" s="1023">
        <v>7655</v>
      </c>
      <c r="C98" s="1023" t="s">
        <v>670</v>
      </c>
      <c r="D98" s="1039" t="s">
        <v>691</v>
      </c>
      <c r="E98" s="1040" t="s">
        <v>782</v>
      </c>
      <c r="F98" s="1026" t="s">
        <v>832</v>
      </c>
      <c r="G98" s="1041">
        <v>44575</v>
      </c>
      <c r="H98" s="1041">
        <v>44575</v>
      </c>
      <c r="I98" s="1042" t="s">
        <v>1478</v>
      </c>
      <c r="J98" s="1043" t="s">
        <v>1479</v>
      </c>
      <c r="K98" s="1027" t="s">
        <v>676</v>
      </c>
      <c r="L98" s="1029" t="s">
        <v>677</v>
      </c>
      <c r="M98" s="1030">
        <v>28175000</v>
      </c>
      <c r="N98" s="1044" t="s">
        <v>732</v>
      </c>
      <c r="O98" s="1044" t="s">
        <v>1480</v>
      </c>
      <c r="P98" s="1044"/>
      <c r="Q98" s="1027"/>
      <c r="R98" s="1022"/>
      <c r="S98" s="1130">
        <v>213</v>
      </c>
      <c r="T98" s="1156">
        <v>28175000</v>
      </c>
    </row>
    <row r="99" spans="1:20" s="995" customFormat="1" ht="63.75" x14ac:dyDescent="0.25">
      <c r="A99" s="1023">
        <v>2022093</v>
      </c>
      <c r="B99" s="1023">
        <v>7655</v>
      </c>
      <c r="C99" s="1023" t="s">
        <v>670</v>
      </c>
      <c r="D99" s="1039" t="s">
        <v>691</v>
      </c>
      <c r="E99" s="1040" t="s">
        <v>782</v>
      </c>
      <c r="F99" s="1026" t="s">
        <v>833</v>
      </c>
      <c r="G99" s="1041">
        <v>44575</v>
      </c>
      <c r="H99" s="1041">
        <v>44575</v>
      </c>
      <c r="I99" s="1042" t="s">
        <v>1478</v>
      </c>
      <c r="J99" s="1043" t="s">
        <v>1479</v>
      </c>
      <c r="K99" s="1027" t="s">
        <v>676</v>
      </c>
      <c r="L99" s="1029" t="s">
        <v>677</v>
      </c>
      <c r="M99" s="1030">
        <v>48300000</v>
      </c>
      <c r="N99" s="1044" t="s">
        <v>732</v>
      </c>
      <c r="O99" s="1044" t="s">
        <v>1480</v>
      </c>
      <c r="P99" s="1044"/>
      <c r="Q99" s="1027"/>
      <c r="R99" s="1022"/>
      <c r="S99" s="1130">
        <v>91</v>
      </c>
      <c r="T99" s="1156">
        <v>48300000</v>
      </c>
    </row>
    <row r="100" spans="1:20" s="995" customFormat="1" ht="63.75" x14ac:dyDescent="0.25">
      <c r="A100" s="1023">
        <v>2022094</v>
      </c>
      <c r="B100" s="1023">
        <v>7655</v>
      </c>
      <c r="C100" s="1023" t="s">
        <v>670</v>
      </c>
      <c r="D100" s="1039" t="s">
        <v>691</v>
      </c>
      <c r="E100" s="1040" t="s">
        <v>782</v>
      </c>
      <c r="F100" s="1026" t="s">
        <v>832</v>
      </c>
      <c r="G100" s="1041">
        <v>44575</v>
      </c>
      <c r="H100" s="1041">
        <v>44575</v>
      </c>
      <c r="I100" s="1042" t="s">
        <v>1478</v>
      </c>
      <c r="J100" s="1043" t="s">
        <v>1479</v>
      </c>
      <c r="K100" s="1027" t="s">
        <v>676</v>
      </c>
      <c r="L100" s="1029" t="s">
        <v>677</v>
      </c>
      <c r="M100" s="1030">
        <v>28175000</v>
      </c>
      <c r="N100" s="1044" t="s">
        <v>732</v>
      </c>
      <c r="O100" s="1044" t="s">
        <v>1480</v>
      </c>
      <c r="P100" s="1044"/>
      <c r="Q100" s="1027"/>
      <c r="R100" s="1022"/>
      <c r="S100" s="1130">
        <v>94</v>
      </c>
      <c r="T100" s="1156">
        <v>28175000</v>
      </c>
    </row>
    <row r="101" spans="1:20" s="995" customFormat="1" ht="63.75" x14ac:dyDescent="0.25">
      <c r="A101" s="1023">
        <v>2022095</v>
      </c>
      <c r="B101" s="1023">
        <v>7655</v>
      </c>
      <c r="C101" s="1023" t="s">
        <v>670</v>
      </c>
      <c r="D101" s="1039" t="s">
        <v>691</v>
      </c>
      <c r="E101" s="1040" t="s">
        <v>782</v>
      </c>
      <c r="F101" s="1026" t="s">
        <v>834</v>
      </c>
      <c r="G101" s="1041">
        <v>44575</v>
      </c>
      <c r="H101" s="1041">
        <v>44575</v>
      </c>
      <c r="I101" s="1042" t="s">
        <v>1478</v>
      </c>
      <c r="J101" s="1043" t="s">
        <v>1479</v>
      </c>
      <c r="K101" s="1027" t="s">
        <v>676</v>
      </c>
      <c r="L101" s="1029" t="s">
        <v>677</v>
      </c>
      <c r="M101" s="1030">
        <v>31625000</v>
      </c>
      <c r="N101" s="1044" t="s">
        <v>732</v>
      </c>
      <c r="O101" s="1044" t="s">
        <v>1480</v>
      </c>
      <c r="P101" s="1044"/>
      <c r="Q101" s="1027"/>
      <c r="R101" s="1022"/>
      <c r="S101" s="1130">
        <v>316</v>
      </c>
      <c r="T101" s="1156">
        <v>31625000</v>
      </c>
    </row>
    <row r="102" spans="1:20" s="995" customFormat="1" ht="63.75" x14ac:dyDescent="0.25">
      <c r="A102" s="1023">
        <v>2022096</v>
      </c>
      <c r="B102" s="1023">
        <v>7655</v>
      </c>
      <c r="C102" s="1023" t="s">
        <v>670</v>
      </c>
      <c r="D102" s="1039" t="s">
        <v>691</v>
      </c>
      <c r="E102" s="1040" t="s">
        <v>782</v>
      </c>
      <c r="F102" s="1026" t="s">
        <v>835</v>
      </c>
      <c r="G102" s="1041">
        <v>44575</v>
      </c>
      <c r="H102" s="1041">
        <v>44575</v>
      </c>
      <c r="I102" s="1042" t="s">
        <v>1478</v>
      </c>
      <c r="J102" s="1043" t="s">
        <v>1479</v>
      </c>
      <c r="K102" s="1027" t="s">
        <v>676</v>
      </c>
      <c r="L102" s="1029" t="s">
        <v>677</v>
      </c>
      <c r="M102" s="1030">
        <v>69000000</v>
      </c>
      <c r="N102" s="1044" t="s">
        <v>732</v>
      </c>
      <c r="O102" s="1044" t="s">
        <v>1480</v>
      </c>
      <c r="P102" s="1044"/>
      <c r="Q102" s="1027"/>
      <c r="R102" s="1022"/>
      <c r="S102" s="1130">
        <v>130</v>
      </c>
      <c r="T102" s="1156">
        <v>69000000</v>
      </c>
    </row>
    <row r="103" spans="1:20" s="995" customFormat="1" ht="63.75" x14ac:dyDescent="0.25">
      <c r="A103" s="1023">
        <v>2022097</v>
      </c>
      <c r="B103" s="1023">
        <v>7655</v>
      </c>
      <c r="C103" s="1023" t="s">
        <v>670</v>
      </c>
      <c r="D103" s="1039" t="s">
        <v>691</v>
      </c>
      <c r="E103" s="1040" t="s">
        <v>782</v>
      </c>
      <c r="F103" s="1026" t="s">
        <v>832</v>
      </c>
      <c r="G103" s="1041">
        <v>44575</v>
      </c>
      <c r="H103" s="1041">
        <v>44575</v>
      </c>
      <c r="I103" s="1042" t="s">
        <v>1478</v>
      </c>
      <c r="J103" s="1043" t="s">
        <v>1479</v>
      </c>
      <c r="K103" s="1027" t="s">
        <v>676</v>
      </c>
      <c r="L103" s="1029" t="s">
        <v>677</v>
      </c>
      <c r="M103" s="1030">
        <v>24150000</v>
      </c>
      <c r="N103" s="1044" t="s">
        <v>732</v>
      </c>
      <c r="O103" s="1044" t="s">
        <v>1480</v>
      </c>
      <c r="P103" s="1044"/>
      <c r="Q103" s="1027"/>
      <c r="R103" s="1022"/>
      <c r="S103" s="1130">
        <v>112</v>
      </c>
      <c r="T103" s="1156">
        <v>24150000</v>
      </c>
    </row>
    <row r="104" spans="1:20" s="995" customFormat="1" ht="63.75" x14ac:dyDescent="0.25">
      <c r="A104" s="1023">
        <v>2022098</v>
      </c>
      <c r="B104" s="1023">
        <v>7655</v>
      </c>
      <c r="C104" s="1023" t="s">
        <v>670</v>
      </c>
      <c r="D104" s="1039" t="s">
        <v>691</v>
      </c>
      <c r="E104" s="1040" t="s">
        <v>782</v>
      </c>
      <c r="F104" s="1026" t="s">
        <v>832</v>
      </c>
      <c r="G104" s="1041">
        <v>44575</v>
      </c>
      <c r="H104" s="1041">
        <v>44575</v>
      </c>
      <c r="I104" s="1042" t="s">
        <v>1478</v>
      </c>
      <c r="J104" s="1043" t="s">
        <v>1479</v>
      </c>
      <c r="K104" s="1027" t="s">
        <v>676</v>
      </c>
      <c r="L104" s="1029" t="s">
        <v>677</v>
      </c>
      <c r="M104" s="1030">
        <v>28175000</v>
      </c>
      <c r="N104" s="1044" t="s">
        <v>732</v>
      </c>
      <c r="O104" s="1044" t="s">
        <v>1480</v>
      </c>
      <c r="P104" s="1044"/>
      <c r="Q104" s="1027"/>
      <c r="R104" s="1022"/>
      <c r="S104" s="1130">
        <v>121</v>
      </c>
      <c r="T104" s="1156">
        <v>28175000</v>
      </c>
    </row>
    <row r="105" spans="1:20" s="995" customFormat="1" ht="63.75" x14ac:dyDescent="0.25">
      <c r="A105" s="1023">
        <v>2022099</v>
      </c>
      <c r="B105" s="1023">
        <v>7655</v>
      </c>
      <c r="C105" s="1023" t="s">
        <v>670</v>
      </c>
      <c r="D105" s="1039" t="s">
        <v>691</v>
      </c>
      <c r="E105" s="1040" t="s">
        <v>782</v>
      </c>
      <c r="F105" s="1026" t="s">
        <v>832</v>
      </c>
      <c r="G105" s="1041">
        <v>44575</v>
      </c>
      <c r="H105" s="1041">
        <v>44575</v>
      </c>
      <c r="I105" s="1042" t="s">
        <v>1478</v>
      </c>
      <c r="J105" s="1043" t="s">
        <v>1479</v>
      </c>
      <c r="K105" s="1027" t="s">
        <v>676</v>
      </c>
      <c r="L105" s="1029" t="s">
        <v>677</v>
      </c>
      <c r="M105" s="1030">
        <v>28175000</v>
      </c>
      <c r="N105" s="1044" t="s">
        <v>732</v>
      </c>
      <c r="O105" s="1044" t="s">
        <v>1480</v>
      </c>
      <c r="P105" s="1044"/>
      <c r="Q105" s="1027"/>
      <c r="R105" s="1022"/>
      <c r="S105" s="1130">
        <v>73</v>
      </c>
      <c r="T105" s="1156">
        <v>28175000</v>
      </c>
    </row>
    <row r="106" spans="1:20" s="995" customFormat="1" ht="89.25" x14ac:dyDescent="0.25">
      <c r="A106" s="1023">
        <v>2022100</v>
      </c>
      <c r="B106" s="1023">
        <v>7655</v>
      </c>
      <c r="C106" s="1023" t="s">
        <v>670</v>
      </c>
      <c r="D106" s="1039" t="s">
        <v>691</v>
      </c>
      <c r="E106" s="1040" t="s">
        <v>782</v>
      </c>
      <c r="F106" s="1026" t="s">
        <v>836</v>
      </c>
      <c r="G106" s="1041">
        <v>44575</v>
      </c>
      <c r="H106" s="1041">
        <v>44575</v>
      </c>
      <c r="I106" s="1042" t="s">
        <v>1478</v>
      </c>
      <c r="J106" s="1043" t="s">
        <v>1479</v>
      </c>
      <c r="K106" s="1027" t="s">
        <v>676</v>
      </c>
      <c r="L106" s="1029" t="s">
        <v>784</v>
      </c>
      <c r="M106" s="1030">
        <v>63250000</v>
      </c>
      <c r="N106" s="1044" t="s">
        <v>732</v>
      </c>
      <c r="O106" s="1044" t="s">
        <v>1480</v>
      </c>
      <c r="P106" s="1044"/>
      <c r="Q106" s="1027"/>
      <c r="R106" s="1022"/>
      <c r="S106" s="1130">
        <v>267</v>
      </c>
      <c r="T106" s="1156">
        <v>63250000</v>
      </c>
    </row>
    <row r="107" spans="1:20" s="995" customFormat="1" ht="89.25" x14ac:dyDescent="0.25">
      <c r="A107" s="1023">
        <v>2022101</v>
      </c>
      <c r="B107" s="1023">
        <v>7655</v>
      </c>
      <c r="C107" s="1023" t="s">
        <v>670</v>
      </c>
      <c r="D107" s="1039" t="s">
        <v>691</v>
      </c>
      <c r="E107" s="1040" t="s">
        <v>782</v>
      </c>
      <c r="F107" s="1026" t="s">
        <v>837</v>
      </c>
      <c r="G107" s="1041">
        <v>44575</v>
      </c>
      <c r="H107" s="1041">
        <v>44575</v>
      </c>
      <c r="I107" s="1042" t="s">
        <v>1478</v>
      </c>
      <c r="J107" s="1043" t="s">
        <v>1479</v>
      </c>
      <c r="K107" s="1027" t="s">
        <v>676</v>
      </c>
      <c r="L107" s="1029" t="s">
        <v>784</v>
      </c>
      <c r="M107" s="1030">
        <v>63250000</v>
      </c>
      <c r="N107" s="1044" t="s">
        <v>732</v>
      </c>
      <c r="O107" s="1044" t="s">
        <v>1480</v>
      </c>
      <c r="P107" s="1044"/>
      <c r="Q107" s="1027"/>
      <c r="R107" s="1022"/>
      <c r="S107" s="1130">
        <v>362</v>
      </c>
      <c r="T107" s="1156">
        <v>63250000</v>
      </c>
    </row>
    <row r="108" spans="1:20" s="995" customFormat="1" ht="63.75" x14ac:dyDescent="0.25">
      <c r="A108" s="1013">
        <v>2022102</v>
      </c>
      <c r="B108" s="1013">
        <v>7655</v>
      </c>
      <c r="C108" s="1013" t="s">
        <v>670</v>
      </c>
      <c r="D108" s="1045" t="s">
        <v>691</v>
      </c>
      <c r="E108" s="1046" t="s">
        <v>97</v>
      </c>
      <c r="F108" s="1052" t="s">
        <v>838</v>
      </c>
      <c r="G108" s="1047" t="s">
        <v>97</v>
      </c>
      <c r="H108" s="1047" t="s">
        <v>97</v>
      </c>
      <c r="I108" s="1047" t="s">
        <v>97</v>
      </c>
      <c r="J108" s="1049" t="s">
        <v>1479</v>
      </c>
      <c r="K108" s="1017" t="s">
        <v>676</v>
      </c>
      <c r="L108" s="1019" t="s">
        <v>677</v>
      </c>
      <c r="M108" s="1020">
        <v>138627500</v>
      </c>
      <c r="N108" s="1050" t="s">
        <v>732</v>
      </c>
      <c r="O108" s="1050" t="s">
        <v>1480</v>
      </c>
      <c r="P108" s="1050"/>
      <c r="Q108" s="1017"/>
      <c r="R108" s="1022"/>
      <c r="S108" s="1130"/>
      <c r="T108" s="1156"/>
    </row>
    <row r="109" spans="1:20" s="995" customFormat="1" ht="63.75" x14ac:dyDescent="0.25">
      <c r="A109" s="1023">
        <v>2022103</v>
      </c>
      <c r="B109" s="1023">
        <v>7655</v>
      </c>
      <c r="C109" s="1023" t="s">
        <v>670</v>
      </c>
      <c r="D109" s="1039" t="s">
        <v>691</v>
      </c>
      <c r="E109" s="1040" t="s">
        <v>782</v>
      </c>
      <c r="F109" s="1026" t="s">
        <v>839</v>
      </c>
      <c r="G109" s="1041">
        <v>44575</v>
      </c>
      <c r="H109" s="1041">
        <v>44575</v>
      </c>
      <c r="I109" s="1042" t="s">
        <v>1482</v>
      </c>
      <c r="J109" s="1043" t="s">
        <v>1479</v>
      </c>
      <c r="K109" s="1027" t="s">
        <v>676</v>
      </c>
      <c r="L109" s="1029" t="s">
        <v>677</v>
      </c>
      <c r="M109" s="1030">
        <v>31500000</v>
      </c>
      <c r="N109" s="1044" t="s">
        <v>732</v>
      </c>
      <c r="O109" s="1044" t="s">
        <v>1480</v>
      </c>
      <c r="P109" s="1044"/>
      <c r="Q109" s="1027"/>
      <c r="R109" s="1022"/>
      <c r="S109" s="1130">
        <v>289</v>
      </c>
      <c r="T109" s="1156">
        <v>31500000</v>
      </c>
    </row>
    <row r="110" spans="1:20" s="995" customFormat="1" ht="63.75" x14ac:dyDescent="0.25">
      <c r="A110" s="1023">
        <v>2022104</v>
      </c>
      <c r="B110" s="1023">
        <v>7655</v>
      </c>
      <c r="C110" s="1023" t="s">
        <v>670</v>
      </c>
      <c r="D110" s="1039" t="s">
        <v>691</v>
      </c>
      <c r="E110" s="1040" t="s">
        <v>782</v>
      </c>
      <c r="F110" s="1026" t="s">
        <v>840</v>
      </c>
      <c r="G110" s="1041">
        <v>44575</v>
      </c>
      <c r="H110" s="1041">
        <v>44575</v>
      </c>
      <c r="I110" s="1042" t="s">
        <v>1478</v>
      </c>
      <c r="J110" s="1043" t="s">
        <v>1479</v>
      </c>
      <c r="K110" s="1027" t="s">
        <v>676</v>
      </c>
      <c r="L110" s="1029" t="s">
        <v>677</v>
      </c>
      <c r="M110" s="1030">
        <v>38525000</v>
      </c>
      <c r="N110" s="1044" t="s">
        <v>732</v>
      </c>
      <c r="O110" s="1044" t="s">
        <v>1480</v>
      </c>
      <c r="P110" s="1044"/>
      <c r="Q110" s="1027"/>
      <c r="R110" s="1022"/>
      <c r="S110" s="1130">
        <v>204</v>
      </c>
      <c r="T110" s="1156">
        <v>38525000</v>
      </c>
    </row>
    <row r="111" spans="1:20" s="995" customFormat="1" ht="63.75" x14ac:dyDescent="0.25">
      <c r="A111" s="1023">
        <v>2022105</v>
      </c>
      <c r="B111" s="1023">
        <v>7655</v>
      </c>
      <c r="C111" s="1023" t="s">
        <v>670</v>
      </c>
      <c r="D111" s="1039" t="s">
        <v>691</v>
      </c>
      <c r="E111" s="1040" t="s">
        <v>782</v>
      </c>
      <c r="F111" s="1026" t="s">
        <v>840</v>
      </c>
      <c r="G111" s="1041">
        <v>44575</v>
      </c>
      <c r="H111" s="1041">
        <v>44575</v>
      </c>
      <c r="I111" s="1042" t="s">
        <v>1478</v>
      </c>
      <c r="J111" s="1043" t="s">
        <v>1479</v>
      </c>
      <c r="K111" s="1027" t="s">
        <v>676</v>
      </c>
      <c r="L111" s="1029" t="s">
        <v>677</v>
      </c>
      <c r="M111" s="1030">
        <v>28175000</v>
      </c>
      <c r="N111" s="1044" t="s">
        <v>732</v>
      </c>
      <c r="O111" s="1044" t="s">
        <v>1480</v>
      </c>
      <c r="P111" s="1044"/>
      <c r="Q111" s="1027"/>
      <c r="R111" s="1022"/>
      <c r="S111" s="1130">
        <v>256</v>
      </c>
      <c r="T111" s="1156">
        <v>28175000</v>
      </c>
    </row>
    <row r="112" spans="1:20" s="995" customFormat="1" ht="63.75" x14ac:dyDescent="0.25">
      <c r="A112" s="1023">
        <v>2022106</v>
      </c>
      <c r="B112" s="1023">
        <v>7655</v>
      </c>
      <c r="C112" s="1023" t="s">
        <v>670</v>
      </c>
      <c r="D112" s="1039" t="s">
        <v>691</v>
      </c>
      <c r="E112" s="1040" t="s">
        <v>782</v>
      </c>
      <c r="F112" s="1026" t="s">
        <v>841</v>
      </c>
      <c r="G112" s="1041">
        <v>44575</v>
      </c>
      <c r="H112" s="1041">
        <v>44575</v>
      </c>
      <c r="I112" s="1042" t="s">
        <v>1478</v>
      </c>
      <c r="J112" s="1043" t="s">
        <v>1479</v>
      </c>
      <c r="K112" s="1027" t="s">
        <v>676</v>
      </c>
      <c r="L112" s="1029" t="s">
        <v>677</v>
      </c>
      <c r="M112" s="1030">
        <v>44275000</v>
      </c>
      <c r="N112" s="1044" t="s">
        <v>732</v>
      </c>
      <c r="O112" s="1044" t="s">
        <v>1480</v>
      </c>
      <c r="P112" s="1044"/>
      <c r="Q112" s="1027"/>
      <c r="R112" s="1022"/>
      <c r="S112" s="1130">
        <v>219</v>
      </c>
      <c r="T112" s="1156">
        <v>44275000</v>
      </c>
    </row>
    <row r="113" spans="1:20" s="995" customFormat="1" ht="76.5" x14ac:dyDescent="0.25">
      <c r="A113" s="1023">
        <v>2022107</v>
      </c>
      <c r="B113" s="1023">
        <v>7655</v>
      </c>
      <c r="C113" s="1023" t="s">
        <v>670</v>
      </c>
      <c r="D113" s="1039" t="s">
        <v>691</v>
      </c>
      <c r="E113" s="1040" t="s">
        <v>782</v>
      </c>
      <c r="F113" s="1026" t="s">
        <v>842</v>
      </c>
      <c r="G113" s="1041">
        <v>44575</v>
      </c>
      <c r="H113" s="1041">
        <v>44575</v>
      </c>
      <c r="I113" s="1042" t="s">
        <v>1482</v>
      </c>
      <c r="J113" s="1043" t="s">
        <v>1479</v>
      </c>
      <c r="K113" s="1027" t="s">
        <v>676</v>
      </c>
      <c r="L113" s="1029" t="s">
        <v>677</v>
      </c>
      <c r="M113" s="1030">
        <v>31500000</v>
      </c>
      <c r="N113" s="1044" t="s">
        <v>732</v>
      </c>
      <c r="O113" s="1044" t="s">
        <v>1480</v>
      </c>
      <c r="P113" s="1044"/>
      <c r="Q113" s="1027"/>
      <c r="R113" s="1022"/>
      <c r="S113" s="1130">
        <v>374</v>
      </c>
      <c r="T113" s="1156">
        <v>31500000</v>
      </c>
    </row>
    <row r="114" spans="1:20" s="995" customFormat="1" ht="63.75" x14ac:dyDescent="0.25">
      <c r="A114" s="1023">
        <v>2022108</v>
      </c>
      <c r="B114" s="1023">
        <v>7655</v>
      </c>
      <c r="C114" s="1023" t="s">
        <v>670</v>
      </c>
      <c r="D114" s="1039" t="s">
        <v>691</v>
      </c>
      <c r="E114" s="1040" t="s">
        <v>782</v>
      </c>
      <c r="F114" s="1026" t="s">
        <v>843</v>
      </c>
      <c r="G114" s="1041">
        <v>44575</v>
      </c>
      <c r="H114" s="1041">
        <v>44575</v>
      </c>
      <c r="I114" s="1042" t="s">
        <v>1485</v>
      </c>
      <c r="J114" s="1043" t="s">
        <v>1479</v>
      </c>
      <c r="K114" s="1027" t="s">
        <v>676</v>
      </c>
      <c r="L114" s="1029" t="s">
        <v>677</v>
      </c>
      <c r="M114" s="1030">
        <v>29400000</v>
      </c>
      <c r="N114" s="1044" t="s">
        <v>732</v>
      </c>
      <c r="O114" s="1044" t="s">
        <v>1480</v>
      </c>
      <c r="P114" s="1044"/>
      <c r="Q114" s="1027"/>
      <c r="R114" s="1022"/>
      <c r="S114" s="1130">
        <v>258</v>
      </c>
      <c r="T114" s="1156">
        <v>29400000</v>
      </c>
    </row>
    <row r="115" spans="1:20" s="995" customFormat="1" ht="63.75" x14ac:dyDescent="0.25">
      <c r="A115" s="1023">
        <v>2022109</v>
      </c>
      <c r="B115" s="1023">
        <v>7655</v>
      </c>
      <c r="C115" s="1023" t="s">
        <v>670</v>
      </c>
      <c r="D115" s="1039" t="s">
        <v>691</v>
      </c>
      <c r="E115" s="1040" t="s">
        <v>782</v>
      </c>
      <c r="F115" s="1026" t="s">
        <v>844</v>
      </c>
      <c r="G115" s="1041">
        <v>44575</v>
      </c>
      <c r="H115" s="1041">
        <v>44575</v>
      </c>
      <c r="I115" s="1042" t="s">
        <v>1485</v>
      </c>
      <c r="J115" s="1043" t="s">
        <v>1479</v>
      </c>
      <c r="K115" s="1027" t="s">
        <v>676</v>
      </c>
      <c r="L115" s="1029" t="s">
        <v>677</v>
      </c>
      <c r="M115" s="1030">
        <v>84000000</v>
      </c>
      <c r="N115" s="1044" t="s">
        <v>732</v>
      </c>
      <c r="O115" s="1044" t="s">
        <v>1480</v>
      </c>
      <c r="P115" s="1044"/>
      <c r="Q115" s="1027"/>
      <c r="R115" s="1022"/>
      <c r="S115" s="1130">
        <v>149</v>
      </c>
      <c r="T115" s="1156">
        <v>84000000</v>
      </c>
    </row>
    <row r="116" spans="1:20" s="995" customFormat="1" ht="63.75" x14ac:dyDescent="0.25">
      <c r="A116" s="1023">
        <v>2022110</v>
      </c>
      <c r="B116" s="1023">
        <v>7655</v>
      </c>
      <c r="C116" s="1023" t="s">
        <v>670</v>
      </c>
      <c r="D116" s="1039" t="s">
        <v>691</v>
      </c>
      <c r="E116" s="1040" t="s">
        <v>782</v>
      </c>
      <c r="F116" s="1026" t="s">
        <v>845</v>
      </c>
      <c r="G116" s="1041">
        <v>44575</v>
      </c>
      <c r="H116" s="1041">
        <v>44575</v>
      </c>
      <c r="I116" s="1042" t="s">
        <v>1485</v>
      </c>
      <c r="J116" s="1043" t="s">
        <v>1479</v>
      </c>
      <c r="K116" s="1027" t="s">
        <v>676</v>
      </c>
      <c r="L116" s="1029" t="s">
        <v>677</v>
      </c>
      <c r="M116" s="1030">
        <v>40200000</v>
      </c>
      <c r="N116" s="1044" t="s">
        <v>732</v>
      </c>
      <c r="O116" s="1044" t="s">
        <v>1480</v>
      </c>
      <c r="P116" s="1044"/>
      <c r="Q116" s="1027"/>
      <c r="R116" s="1022"/>
      <c r="S116" s="1130">
        <v>431</v>
      </c>
      <c r="T116" s="1156">
        <v>29400000</v>
      </c>
    </row>
    <row r="117" spans="1:20" s="995" customFormat="1" ht="63.75" x14ac:dyDescent="0.25">
      <c r="A117" s="1023">
        <v>2022111</v>
      </c>
      <c r="B117" s="1023">
        <v>7655</v>
      </c>
      <c r="C117" s="1023" t="s">
        <v>670</v>
      </c>
      <c r="D117" s="1039" t="s">
        <v>691</v>
      </c>
      <c r="E117" s="1040" t="s">
        <v>782</v>
      </c>
      <c r="F117" s="1026" t="s">
        <v>843</v>
      </c>
      <c r="G117" s="1041">
        <v>44575</v>
      </c>
      <c r="H117" s="1041">
        <v>44575</v>
      </c>
      <c r="I117" s="1042" t="s">
        <v>1485</v>
      </c>
      <c r="J117" s="1043" t="s">
        <v>1479</v>
      </c>
      <c r="K117" s="1027" t="s">
        <v>676</v>
      </c>
      <c r="L117" s="1029" t="s">
        <v>677</v>
      </c>
      <c r="M117" s="1030">
        <v>29400000</v>
      </c>
      <c r="N117" s="1044" t="s">
        <v>732</v>
      </c>
      <c r="O117" s="1044" t="s">
        <v>1480</v>
      </c>
      <c r="P117" s="1044"/>
      <c r="Q117" s="1027"/>
      <c r="R117" s="1022"/>
      <c r="S117" s="1130">
        <v>185</v>
      </c>
      <c r="T117" s="1156">
        <v>29400000</v>
      </c>
    </row>
    <row r="118" spans="1:20" s="995" customFormat="1" ht="63.75" x14ac:dyDescent="0.25">
      <c r="A118" s="1023">
        <v>2022112</v>
      </c>
      <c r="B118" s="1023">
        <v>7655</v>
      </c>
      <c r="C118" s="1023" t="s">
        <v>670</v>
      </c>
      <c r="D118" s="1039" t="s">
        <v>691</v>
      </c>
      <c r="E118" s="1040" t="s">
        <v>782</v>
      </c>
      <c r="F118" s="1026" t="s">
        <v>846</v>
      </c>
      <c r="G118" s="1041">
        <v>44575</v>
      </c>
      <c r="H118" s="1041">
        <v>44575</v>
      </c>
      <c r="I118" s="1042" t="s">
        <v>1485</v>
      </c>
      <c r="J118" s="1043" t="s">
        <v>1479</v>
      </c>
      <c r="K118" s="1027" t="s">
        <v>676</v>
      </c>
      <c r="L118" s="1029" t="s">
        <v>677</v>
      </c>
      <c r="M118" s="1030">
        <v>29400000</v>
      </c>
      <c r="N118" s="1044" t="s">
        <v>732</v>
      </c>
      <c r="O118" s="1044" t="s">
        <v>1480</v>
      </c>
      <c r="P118" s="1044"/>
      <c r="Q118" s="1027"/>
      <c r="R118" s="1022"/>
      <c r="S118" s="1130">
        <v>157</v>
      </c>
      <c r="T118" s="1156">
        <v>29400000</v>
      </c>
    </row>
    <row r="119" spans="1:20" s="995" customFormat="1" ht="63.75" x14ac:dyDescent="0.25">
      <c r="A119" s="1023">
        <v>2022113</v>
      </c>
      <c r="B119" s="1023">
        <v>7655</v>
      </c>
      <c r="C119" s="1023" t="s">
        <v>670</v>
      </c>
      <c r="D119" s="1039" t="s">
        <v>691</v>
      </c>
      <c r="E119" s="1040" t="s">
        <v>782</v>
      </c>
      <c r="F119" s="1026" t="s">
        <v>846</v>
      </c>
      <c r="G119" s="1041">
        <v>44575</v>
      </c>
      <c r="H119" s="1041">
        <v>44575</v>
      </c>
      <c r="I119" s="1042" t="s">
        <v>1485</v>
      </c>
      <c r="J119" s="1043" t="s">
        <v>1479</v>
      </c>
      <c r="K119" s="1027" t="s">
        <v>676</v>
      </c>
      <c r="L119" s="1029" t="s">
        <v>677</v>
      </c>
      <c r="M119" s="1030">
        <v>29400000</v>
      </c>
      <c r="N119" s="1044" t="s">
        <v>732</v>
      </c>
      <c r="O119" s="1044" t="s">
        <v>1480</v>
      </c>
      <c r="P119" s="1044"/>
      <c r="Q119" s="1027"/>
      <c r="R119" s="1022"/>
      <c r="S119" s="1130">
        <v>182</v>
      </c>
      <c r="T119" s="1156">
        <v>29400000</v>
      </c>
    </row>
    <row r="120" spans="1:20" s="995" customFormat="1" ht="63.75" x14ac:dyDescent="0.25">
      <c r="A120" s="1023">
        <v>2022114</v>
      </c>
      <c r="B120" s="1023">
        <v>7655</v>
      </c>
      <c r="C120" s="1023" t="s">
        <v>670</v>
      </c>
      <c r="D120" s="1039" t="s">
        <v>691</v>
      </c>
      <c r="E120" s="1040" t="s">
        <v>782</v>
      </c>
      <c r="F120" s="1026" t="s">
        <v>847</v>
      </c>
      <c r="G120" s="1041">
        <v>44575</v>
      </c>
      <c r="H120" s="1041">
        <v>44575</v>
      </c>
      <c r="I120" s="1042" t="s">
        <v>1485</v>
      </c>
      <c r="J120" s="1043" t="s">
        <v>1479</v>
      </c>
      <c r="K120" s="1027" t="s">
        <v>676</v>
      </c>
      <c r="L120" s="1029" t="s">
        <v>677</v>
      </c>
      <c r="M120" s="1030">
        <v>29400000</v>
      </c>
      <c r="N120" s="1044" t="s">
        <v>732</v>
      </c>
      <c r="O120" s="1044" t="s">
        <v>1480</v>
      </c>
      <c r="P120" s="1044"/>
      <c r="Q120" s="1027"/>
      <c r="R120" s="1022"/>
      <c r="S120" s="1130">
        <v>184</v>
      </c>
      <c r="T120" s="1156">
        <v>29400000</v>
      </c>
    </row>
    <row r="121" spans="1:20" s="995" customFormat="1" ht="63.75" x14ac:dyDescent="0.25">
      <c r="A121" s="1023">
        <v>2022115</v>
      </c>
      <c r="B121" s="1023">
        <v>7655</v>
      </c>
      <c r="C121" s="1023" t="s">
        <v>670</v>
      </c>
      <c r="D121" s="1039" t="s">
        <v>691</v>
      </c>
      <c r="E121" s="1040" t="s">
        <v>782</v>
      </c>
      <c r="F121" s="1026" t="s">
        <v>846</v>
      </c>
      <c r="G121" s="1041">
        <v>44575</v>
      </c>
      <c r="H121" s="1041">
        <v>44575</v>
      </c>
      <c r="I121" s="1042" t="s">
        <v>1485</v>
      </c>
      <c r="J121" s="1043" t="s">
        <v>1479</v>
      </c>
      <c r="K121" s="1027" t="s">
        <v>676</v>
      </c>
      <c r="L121" s="1029" t="s">
        <v>677</v>
      </c>
      <c r="M121" s="1030">
        <v>29400000</v>
      </c>
      <c r="N121" s="1044" t="s">
        <v>732</v>
      </c>
      <c r="O121" s="1044" t="s">
        <v>1480</v>
      </c>
      <c r="P121" s="1044"/>
      <c r="Q121" s="1027"/>
      <c r="R121" s="1022"/>
      <c r="S121" s="1130">
        <v>432</v>
      </c>
      <c r="T121" s="1156">
        <v>29400000</v>
      </c>
    </row>
    <row r="122" spans="1:20" s="995" customFormat="1" ht="63.75" x14ac:dyDescent="0.25">
      <c r="A122" s="1023">
        <v>2022116</v>
      </c>
      <c r="B122" s="1023">
        <v>7655</v>
      </c>
      <c r="C122" s="1023" t="s">
        <v>670</v>
      </c>
      <c r="D122" s="1039" t="s">
        <v>691</v>
      </c>
      <c r="E122" s="1040" t="s">
        <v>782</v>
      </c>
      <c r="F122" s="1026" t="s">
        <v>846</v>
      </c>
      <c r="G122" s="1041">
        <v>44575</v>
      </c>
      <c r="H122" s="1041">
        <v>44575</v>
      </c>
      <c r="I122" s="1042" t="s">
        <v>1485</v>
      </c>
      <c r="J122" s="1043" t="s">
        <v>1479</v>
      </c>
      <c r="K122" s="1027" t="s">
        <v>676</v>
      </c>
      <c r="L122" s="1029" t="s">
        <v>677</v>
      </c>
      <c r="M122" s="1030">
        <v>29400000</v>
      </c>
      <c r="N122" s="1044" t="s">
        <v>732</v>
      </c>
      <c r="O122" s="1044" t="s">
        <v>1480</v>
      </c>
      <c r="P122" s="1044"/>
      <c r="Q122" s="1027"/>
      <c r="R122" s="1022"/>
      <c r="S122" s="1130">
        <v>175</v>
      </c>
      <c r="T122" s="1156">
        <v>29400000</v>
      </c>
    </row>
    <row r="123" spans="1:20" s="995" customFormat="1" ht="63.75" x14ac:dyDescent="0.25">
      <c r="A123" s="1023">
        <v>2022117</v>
      </c>
      <c r="B123" s="1023">
        <v>7655</v>
      </c>
      <c r="C123" s="1023" t="s">
        <v>670</v>
      </c>
      <c r="D123" s="1039" t="s">
        <v>691</v>
      </c>
      <c r="E123" s="1040" t="s">
        <v>782</v>
      </c>
      <c r="F123" s="1026" t="s">
        <v>846</v>
      </c>
      <c r="G123" s="1041">
        <v>44575</v>
      </c>
      <c r="H123" s="1041">
        <v>44575</v>
      </c>
      <c r="I123" s="1042" t="s">
        <v>1485</v>
      </c>
      <c r="J123" s="1043" t="s">
        <v>1479</v>
      </c>
      <c r="K123" s="1027" t="s">
        <v>676</v>
      </c>
      <c r="L123" s="1029" t="s">
        <v>677</v>
      </c>
      <c r="M123" s="1030">
        <v>29400000</v>
      </c>
      <c r="N123" s="1044" t="s">
        <v>732</v>
      </c>
      <c r="O123" s="1044" t="s">
        <v>1480</v>
      </c>
      <c r="P123" s="1044"/>
      <c r="Q123" s="1027"/>
      <c r="R123" s="1022"/>
      <c r="S123" s="1130">
        <v>151</v>
      </c>
      <c r="T123" s="1156">
        <v>29400000</v>
      </c>
    </row>
    <row r="124" spans="1:20" s="995" customFormat="1" ht="63.75" x14ac:dyDescent="0.25">
      <c r="A124" s="1023">
        <v>2022118</v>
      </c>
      <c r="B124" s="1023">
        <v>7655</v>
      </c>
      <c r="C124" s="1023" t="s">
        <v>670</v>
      </c>
      <c r="D124" s="1039" t="s">
        <v>691</v>
      </c>
      <c r="E124" s="1040" t="s">
        <v>782</v>
      </c>
      <c r="F124" s="1026" t="s">
        <v>846</v>
      </c>
      <c r="G124" s="1041">
        <v>44575</v>
      </c>
      <c r="H124" s="1041">
        <v>44575</v>
      </c>
      <c r="I124" s="1042" t="s">
        <v>1485</v>
      </c>
      <c r="J124" s="1043" t="s">
        <v>1479</v>
      </c>
      <c r="K124" s="1027" t="s">
        <v>676</v>
      </c>
      <c r="L124" s="1029" t="s">
        <v>677</v>
      </c>
      <c r="M124" s="1030">
        <v>29400000</v>
      </c>
      <c r="N124" s="1044" t="s">
        <v>732</v>
      </c>
      <c r="O124" s="1044" t="s">
        <v>1480</v>
      </c>
      <c r="P124" s="1044"/>
      <c r="Q124" s="1027"/>
      <c r="R124" s="1022"/>
      <c r="S124" s="1130">
        <v>171</v>
      </c>
      <c r="T124" s="1156">
        <v>29400000</v>
      </c>
    </row>
    <row r="125" spans="1:20" s="995" customFormat="1" ht="63.75" x14ac:dyDescent="0.25">
      <c r="A125" s="1023">
        <v>2022119</v>
      </c>
      <c r="B125" s="1023">
        <v>7655</v>
      </c>
      <c r="C125" s="1023" t="s">
        <v>670</v>
      </c>
      <c r="D125" s="1039" t="s">
        <v>691</v>
      </c>
      <c r="E125" s="1040" t="s">
        <v>782</v>
      </c>
      <c r="F125" s="1026" t="s">
        <v>846</v>
      </c>
      <c r="G125" s="1041">
        <v>44575</v>
      </c>
      <c r="H125" s="1041">
        <v>44575</v>
      </c>
      <c r="I125" s="1042" t="s">
        <v>1485</v>
      </c>
      <c r="J125" s="1043" t="s">
        <v>1479</v>
      </c>
      <c r="K125" s="1027" t="s">
        <v>676</v>
      </c>
      <c r="L125" s="1029" t="s">
        <v>677</v>
      </c>
      <c r="M125" s="1030">
        <v>29400000</v>
      </c>
      <c r="N125" s="1044" t="s">
        <v>732</v>
      </c>
      <c r="O125" s="1044" t="s">
        <v>1480</v>
      </c>
      <c r="P125" s="1044"/>
      <c r="Q125" s="1027"/>
      <c r="R125" s="1022"/>
      <c r="S125" s="1130">
        <v>210</v>
      </c>
      <c r="T125" s="1156">
        <v>29400000</v>
      </c>
    </row>
    <row r="126" spans="1:20" s="995" customFormat="1" ht="63.75" x14ac:dyDescent="0.25">
      <c r="A126" s="1023">
        <v>2022120</v>
      </c>
      <c r="B126" s="1023">
        <v>7655</v>
      </c>
      <c r="C126" s="1023" t="s">
        <v>670</v>
      </c>
      <c r="D126" s="1039" t="s">
        <v>691</v>
      </c>
      <c r="E126" s="1040" t="s">
        <v>782</v>
      </c>
      <c r="F126" s="1026" t="s">
        <v>843</v>
      </c>
      <c r="G126" s="1041">
        <v>44575</v>
      </c>
      <c r="H126" s="1041">
        <v>44575</v>
      </c>
      <c r="I126" s="1042" t="s">
        <v>1485</v>
      </c>
      <c r="J126" s="1043" t="s">
        <v>1479</v>
      </c>
      <c r="K126" s="1027" t="s">
        <v>676</v>
      </c>
      <c r="L126" s="1029" t="s">
        <v>677</v>
      </c>
      <c r="M126" s="1030">
        <v>29400000</v>
      </c>
      <c r="N126" s="1044" t="s">
        <v>732</v>
      </c>
      <c r="O126" s="1044" t="s">
        <v>1480</v>
      </c>
      <c r="P126" s="1044"/>
      <c r="Q126" s="1027"/>
      <c r="R126" s="1022"/>
      <c r="S126" s="1130">
        <v>156</v>
      </c>
      <c r="T126" s="1156">
        <v>29400000</v>
      </c>
    </row>
    <row r="127" spans="1:20" s="995" customFormat="1" ht="63.75" x14ac:dyDescent="0.25">
      <c r="A127" s="1023">
        <v>2022121</v>
      </c>
      <c r="B127" s="1023">
        <v>7655</v>
      </c>
      <c r="C127" s="1023" t="s">
        <v>670</v>
      </c>
      <c r="D127" s="1039" t="s">
        <v>691</v>
      </c>
      <c r="E127" s="1040" t="s">
        <v>782</v>
      </c>
      <c r="F127" s="1026" t="s">
        <v>843</v>
      </c>
      <c r="G127" s="1041">
        <v>44575</v>
      </c>
      <c r="H127" s="1041">
        <v>44575</v>
      </c>
      <c r="I127" s="1042" t="s">
        <v>1485</v>
      </c>
      <c r="J127" s="1043" t="s">
        <v>1479</v>
      </c>
      <c r="K127" s="1027" t="s">
        <v>676</v>
      </c>
      <c r="L127" s="1029" t="s">
        <v>677</v>
      </c>
      <c r="M127" s="1030">
        <v>29400000</v>
      </c>
      <c r="N127" s="1044" t="s">
        <v>732</v>
      </c>
      <c r="O127" s="1044" t="s">
        <v>1480</v>
      </c>
      <c r="P127" s="1044"/>
      <c r="Q127" s="1027"/>
      <c r="R127" s="1022"/>
      <c r="S127" s="1130">
        <v>174</v>
      </c>
      <c r="T127" s="1156">
        <v>29400000</v>
      </c>
    </row>
    <row r="128" spans="1:20" s="995" customFormat="1" ht="63.75" x14ac:dyDescent="0.25">
      <c r="A128" s="1023">
        <v>2022122</v>
      </c>
      <c r="B128" s="1023">
        <v>7655</v>
      </c>
      <c r="C128" s="1023" t="s">
        <v>670</v>
      </c>
      <c r="D128" s="1039" t="s">
        <v>691</v>
      </c>
      <c r="E128" s="1040" t="s">
        <v>782</v>
      </c>
      <c r="F128" s="1026" t="s">
        <v>843</v>
      </c>
      <c r="G128" s="1041">
        <v>44575</v>
      </c>
      <c r="H128" s="1041">
        <v>44575</v>
      </c>
      <c r="I128" s="1042" t="s">
        <v>1485</v>
      </c>
      <c r="J128" s="1043" t="s">
        <v>1479</v>
      </c>
      <c r="K128" s="1027" t="s">
        <v>676</v>
      </c>
      <c r="L128" s="1029" t="s">
        <v>677</v>
      </c>
      <c r="M128" s="1030">
        <v>29400000</v>
      </c>
      <c r="N128" s="1044" t="s">
        <v>732</v>
      </c>
      <c r="O128" s="1044" t="s">
        <v>1480</v>
      </c>
      <c r="P128" s="1044"/>
      <c r="Q128" s="1027"/>
      <c r="R128" s="1022"/>
      <c r="S128" s="1130">
        <v>172</v>
      </c>
      <c r="T128" s="1156">
        <v>29400000</v>
      </c>
    </row>
    <row r="129" spans="1:103" s="995" customFormat="1" ht="63.75" x14ac:dyDescent="0.25">
      <c r="A129" s="1023">
        <v>2022123</v>
      </c>
      <c r="B129" s="1023">
        <v>7655</v>
      </c>
      <c r="C129" s="1023" t="s">
        <v>670</v>
      </c>
      <c r="D129" s="1039" t="s">
        <v>691</v>
      </c>
      <c r="E129" s="1040" t="s">
        <v>782</v>
      </c>
      <c r="F129" s="1026" t="s">
        <v>843</v>
      </c>
      <c r="G129" s="1041">
        <v>44575</v>
      </c>
      <c r="H129" s="1041">
        <v>44575</v>
      </c>
      <c r="I129" s="1042" t="s">
        <v>1485</v>
      </c>
      <c r="J129" s="1043" t="s">
        <v>1479</v>
      </c>
      <c r="K129" s="1027" t="s">
        <v>676</v>
      </c>
      <c r="L129" s="1029" t="s">
        <v>677</v>
      </c>
      <c r="M129" s="1030">
        <v>29400000</v>
      </c>
      <c r="N129" s="1044" t="s">
        <v>732</v>
      </c>
      <c r="O129" s="1044" t="s">
        <v>1480</v>
      </c>
      <c r="P129" s="1044"/>
      <c r="Q129" s="1027"/>
      <c r="R129" s="1022"/>
      <c r="S129" s="1130">
        <v>147</v>
      </c>
      <c r="T129" s="1156">
        <v>29400000</v>
      </c>
    </row>
    <row r="130" spans="1:103" s="995" customFormat="1" ht="63.75" x14ac:dyDescent="0.25">
      <c r="A130" s="1023">
        <v>2022124</v>
      </c>
      <c r="B130" s="1023">
        <v>7655</v>
      </c>
      <c r="C130" s="1023" t="s">
        <v>670</v>
      </c>
      <c r="D130" s="1039" t="s">
        <v>691</v>
      </c>
      <c r="E130" s="1040" t="s">
        <v>782</v>
      </c>
      <c r="F130" s="1026" t="s">
        <v>846</v>
      </c>
      <c r="G130" s="1041">
        <v>44575</v>
      </c>
      <c r="H130" s="1041">
        <v>44575</v>
      </c>
      <c r="I130" s="1042" t="s">
        <v>1485</v>
      </c>
      <c r="J130" s="1043" t="s">
        <v>1479</v>
      </c>
      <c r="K130" s="1027" t="s">
        <v>676</v>
      </c>
      <c r="L130" s="1029" t="s">
        <v>677</v>
      </c>
      <c r="M130" s="1030">
        <v>29400000</v>
      </c>
      <c r="N130" s="1044" t="s">
        <v>732</v>
      </c>
      <c r="O130" s="1044" t="s">
        <v>1480</v>
      </c>
      <c r="P130" s="1044"/>
      <c r="Q130" s="1027"/>
      <c r="R130" s="1022"/>
      <c r="S130" s="1130">
        <v>173</v>
      </c>
      <c r="T130" s="1156">
        <v>29400000</v>
      </c>
    </row>
    <row r="131" spans="1:103" s="995" customFormat="1" ht="63.75" x14ac:dyDescent="0.25">
      <c r="A131" s="1023">
        <v>2022125</v>
      </c>
      <c r="B131" s="1023">
        <v>7655</v>
      </c>
      <c r="C131" s="1023" t="s">
        <v>670</v>
      </c>
      <c r="D131" s="1039" t="s">
        <v>691</v>
      </c>
      <c r="E131" s="1040" t="s">
        <v>782</v>
      </c>
      <c r="F131" s="1026" t="s">
        <v>843</v>
      </c>
      <c r="G131" s="1041">
        <v>44575</v>
      </c>
      <c r="H131" s="1041">
        <v>44575</v>
      </c>
      <c r="I131" s="1042" t="s">
        <v>1485</v>
      </c>
      <c r="J131" s="1043" t="s">
        <v>1479</v>
      </c>
      <c r="K131" s="1027" t="s">
        <v>676</v>
      </c>
      <c r="L131" s="1029" t="s">
        <v>677</v>
      </c>
      <c r="M131" s="1030">
        <v>29400000</v>
      </c>
      <c r="N131" s="1044" t="s">
        <v>732</v>
      </c>
      <c r="O131" s="1044" t="s">
        <v>1480</v>
      </c>
      <c r="P131" s="1044"/>
      <c r="Q131" s="1027"/>
      <c r="R131" s="1022"/>
      <c r="S131" s="1130">
        <v>331</v>
      </c>
      <c r="T131" s="1156">
        <v>29400000</v>
      </c>
    </row>
    <row r="132" spans="1:103" s="995" customFormat="1" ht="63.75" x14ac:dyDescent="0.25">
      <c r="A132" s="1023">
        <v>2022126</v>
      </c>
      <c r="B132" s="1023">
        <v>7655</v>
      </c>
      <c r="C132" s="1023" t="s">
        <v>670</v>
      </c>
      <c r="D132" s="1039" t="s">
        <v>691</v>
      </c>
      <c r="E132" s="1040" t="s">
        <v>782</v>
      </c>
      <c r="F132" s="1026" t="s">
        <v>846</v>
      </c>
      <c r="G132" s="1041">
        <v>44575</v>
      </c>
      <c r="H132" s="1041">
        <v>44575</v>
      </c>
      <c r="I132" s="1042" t="s">
        <v>1485</v>
      </c>
      <c r="J132" s="1043" t="s">
        <v>1479</v>
      </c>
      <c r="K132" s="1027" t="s">
        <v>676</v>
      </c>
      <c r="L132" s="1029" t="s">
        <v>677</v>
      </c>
      <c r="M132" s="1030">
        <v>29400000</v>
      </c>
      <c r="N132" s="1044" t="s">
        <v>732</v>
      </c>
      <c r="O132" s="1044" t="s">
        <v>1480</v>
      </c>
      <c r="P132" s="1044"/>
      <c r="Q132" s="1027"/>
      <c r="R132" s="1022"/>
      <c r="S132" s="1130">
        <v>430</v>
      </c>
      <c r="T132" s="1156">
        <v>29400000</v>
      </c>
    </row>
    <row r="133" spans="1:103" s="995" customFormat="1" ht="63.75" x14ac:dyDescent="0.25">
      <c r="A133" s="1023">
        <v>2022127</v>
      </c>
      <c r="B133" s="1023">
        <v>7655</v>
      </c>
      <c r="C133" s="1023" t="s">
        <v>670</v>
      </c>
      <c r="D133" s="1039" t="s">
        <v>691</v>
      </c>
      <c r="E133" s="1040" t="s">
        <v>782</v>
      </c>
      <c r="F133" s="1026" t="s">
        <v>843</v>
      </c>
      <c r="G133" s="1041">
        <v>44575</v>
      </c>
      <c r="H133" s="1041">
        <v>44575</v>
      </c>
      <c r="I133" s="1042" t="s">
        <v>1485</v>
      </c>
      <c r="J133" s="1043" t="s">
        <v>1479</v>
      </c>
      <c r="K133" s="1027" t="s">
        <v>676</v>
      </c>
      <c r="L133" s="1029" t="s">
        <v>677</v>
      </c>
      <c r="M133" s="1030">
        <v>29400000</v>
      </c>
      <c r="N133" s="1044" t="s">
        <v>732</v>
      </c>
      <c r="O133" s="1044" t="s">
        <v>1480</v>
      </c>
      <c r="P133" s="1044"/>
      <c r="Q133" s="1027"/>
      <c r="R133" s="1022"/>
      <c r="S133" s="1130">
        <v>183</v>
      </c>
      <c r="T133" s="1156">
        <v>29400000</v>
      </c>
    </row>
    <row r="134" spans="1:103" s="995" customFormat="1" ht="63.75" x14ac:dyDescent="0.25">
      <c r="A134" s="1023">
        <v>2022128</v>
      </c>
      <c r="B134" s="1023">
        <v>7655</v>
      </c>
      <c r="C134" s="1023" t="s">
        <v>670</v>
      </c>
      <c r="D134" s="1039" t="s">
        <v>691</v>
      </c>
      <c r="E134" s="1040" t="s">
        <v>782</v>
      </c>
      <c r="F134" s="1026" t="s">
        <v>843</v>
      </c>
      <c r="G134" s="1041">
        <v>44575</v>
      </c>
      <c r="H134" s="1041">
        <v>44575</v>
      </c>
      <c r="I134" s="1042" t="s">
        <v>1485</v>
      </c>
      <c r="J134" s="1043" t="s">
        <v>1479</v>
      </c>
      <c r="K134" s="1027" t="s">
        <v>676</v>
      </c>
      <c r="L134" s="1029" t="s">
        <v>677</v>
      </c>
      <c r="M134" s="1030">
        <v>29400000</v>
      </c>
      <c r="N134" s="1044" t="s">
        <v>732</v>
      </c>
      <c r="O134" s="1044" t="s">
        <v>1480</v>
      </c>
      <c r="P134" s="1044"/>
      <c r="Q134" s="1027"/>
      <c r="R134" s="1022"/>
      <c r="S134" s="1130">
        <v>429</v>
      </c>
      <c r="T134" s="1156">
        <v>29400000</v>
      </c>
    </row>
    <row r="135" spans="1:103" s="995" customFormat="1" ht="63.75" x14ac:dyDescent="0.25">
      <c r="A135" s="1023">
        <v>2022129</v>
      </c>
      <c r="B135" s="1023">
        <v>7655</v>
      </c>
      <c r="C135" s="1023" t="s">
        <v>670</v>
      </c>
      <c r="D135" s="1039" t="s">
        <v>691</v>
      </c>
      <c r="E135" s="1040" t="s">
        <v>782</v>
      </c>
      <c r="F135" s="1026" t="s">
        <v>843</v>
      </c>
      <c r="G135" s="1041">
        <v>44575</v>
      </c>
      <c r="H135" s="1041">
        <v>44575</v>
      </c>
      <c r="I135" s="1042" t="s">
        <v>1485</v>
      </c>
      <c r="J135" s="1043" t="s">
        <v>1479</v>
      </c>
      <c r="K135" s="1027" t="s">
        <v>676</v>
      </c>
      <c r="L135" s="1029" t="s">
        <v>677</v>
      </c>
      <c r="M135" s="1030">
        <v>29400000</v>
      </c>
      <c r="N135" s="1044" t="s">
        <v>732</v>
      </c>
      <c r="O135" s="1044" t="s">
        <v>1480</v>
      </c>
      <c r="P135" s="1044"/>
      <c r="Q135" s="1027"/>
      <c r="R135" s="1022"/>
      <c r="S135" s="1130">
        <v>363</v>
      </c>
      <c r="T135" s="1156">
        <v>29400000</v>
      </c>
    </row>
    <row r="136" spans="1:103" s="995" customFormat="1" ht="63.75" x14ac:dyDescent="0.25">
      <c r="A136" s="1023">
        <v>2022130</v>
      </c>
      <c r="B136" s="1023">
        <v>7655</v>
      </c>
      <c r="C136" s="1023" t="s">
        <v>670</v>
      </c>
      <c r="D136" s="1039" t="s">
        <v>691</v>
      </c>
      <c r="E136" s="1040" t="s">
        <v>782</v>
      </c>
      <c r="F136" s="1026" t="s">
        <v>843</v>
      </c>
      <c r="G136" s="1041">
        <v>44575</v>
      </c>
      <c r="H136" s="1041">
        <v>44575</v>
      </c>
      <c r="I136" s="1042" t="s">
        <v>1485</v>
      </c>
      <c r="J136" s="1043" t="s">
        <v>1479</v>
      </c>
      <c r="K136" s="1027" t="s">
        <v>676</v>
      </c>
      <c r="L136" s="1029" t="s">
        <v>677</v>
      </c>
      <c r="M136" s="1030">
        <v>29400000</v>
      </c>
      <c r="N136" s="1044" t="s">
        <v>732</v>
      </c>
      <c r="O136" s="1044" t="s">
        <v>1480</v>
      </c>
      <c r="P136" s="1044"/>
      <c r="Q136" s="1027"/>
      <c r="R136" s="1022"/>
      <c r="S136" s="1130">
        <v>416</v>
      </c>
      <c r="T136" s="1156">
        <v>29400000</v>
      </c>
    </row>
    <row r="137" spans="1:103" s="995" customFormat="1" ht="63.75" x14ac:dyDescent="0.25">
      <c r="A137" s="1023">
        <v>2022131</v>
      </c>
      <c r="B137" s="1023">
        <v>7655</v>
      </c>
      <c r="C137" s="1023" t="s">
        <v>670</v>
      </c>
      <c r="D137" s="1039" t="s">
        <v>691</v>
      </c>
      <c r="E137" s="1040" t="s">
        <v>782</v>
      </c>
      <c r="F137" s="1026" t="s">
        <v>843</v>
      </c>
      <c r="G137" s="1041">
        <v>44575</v>
      </c>
      <c r="H137" s="1041">
        <v>44575</v>
      </c>
      <c r="I137" s="1042" t="s">
        <v>1485</v>
      </c>
      <c r="J137" s="1043" t="s">
        <v>1479</v>
      </c>
      <c r="K137" s="1027" t="s">
        <v>676</v>
      </c>
      <c r="L137" s="1029" t="s">
        <v>677</v>
      </c>
      <c r="M137" s="1030">
        <v>29400000</v>
      </c>
      <c r="N137" s="1044" t="s">
        <v>732</v>
      </c>
      <c r="O137" s="1044" t="s">
        <v>1480</v>
      </c>
      <c r="P137" s="1044"/>
      <c r="Q137" s="1027"/>
      <c r="R137" s="1022"/>
      <c r="S137" s="1130">
        <v>355</v>
      </c>
      <c r="T137" s="1156">
        <v>29400000</v>
      </c>
    </row>
    <row r="138" spans="1:103" s="995" customFormat="1" ht="63.75" x14ac:dyDescent="0.25">
      <c r="A138" s="1023">
        <v>2022132</v>
      </c>
      <c r="B138" s="1023">
        <v>7655</v>
      </c>
      <c r="C138" s="1023" t="s">
        <v>670</v>
      </c>
      <c r="D138" s="1039" t="s">
        <v>691</v>
      </c>
      <c r="E138" s="1040" t="s">
        <v>782</v>
      </c>
      <c r="F138" s="1026" t="s">
        <v>848</v>
      </c>
      <c r="G138" s="1041">
        <v>44575</v>
      </c>
      <c r="H138" s="1041">
        <v>44575</v>
      </c>
      <c r="I138" s="1042" t="s">
        <v>1485</v>
      </c>
      <c r="J138" s="1043" t="s">
        <v>1479</v>
      </c>
      <c r="K138" s="1027" t="s">
        <v>676</v>
      </c>
      <c r="L138" s="1029" t="s">
        <v>677</v>
      </c>
      <c r="M138" s="1030">
        <v>87600000</v>
      </c>
      <c r="N138" s="1044" t="s">
        <v>732</v>
      </c>
      <c r="O138" s="1044" t="s">
        <v>1480</v>
      </c>
      <c r="P138" s="1044"/>
      <c r="Q138" s="1027"/>
      <c r="R138" s="1022"/>
      <c r="S138" s="1130">
        <v>152</v>
      </c>
      <c r="T138" s="1156">
        <v>87600000</v>
      </c>
    </row>
    <row r="139" spans="1:103" s="995" customFormat="1" ht="89.25" x14ac:dyDescent="0.25">
      <c r="A139" s="1023">
        <v>2022133</v>
      </c>
      <c r="B139" s="1023">
        <v>7655</v>
      </c>
      <c r="C139" s="1023" t="s">
        <v>670</v>
      </c>
      <c r="D139" s="1039" t="s">
        <v>691</v>
      </c>
      <c r="E139" s="1040" t="s">
        <v>782</v>
      </c>
      <c r="F139" s="1026" t="s">
        <v>849</v>
      </c>
      <c r="G139" s="1041">
        <v>44575</v>
      </c>
      <c r="H139" s="1041">
        <v>44575</v>
      </c>
      <c r="I139" s="1042" t="s">
        <v>1482</v>
      </c>
      <c r="J139" s="1043" t="s">
        <v>1479</v>
      </c>
      <c r="K139" s="1027" t="s">
        <v>676</v>
      </c>
      <c r="L139" s="1029" t="s">
        <v>677</v>
      </c>
      <c r="M139" s="1030">
        <v>42000000</v>
      </c>
      <c r="N139" s="1044" t="s">
        <v>732</v>
      </c>
      <c r="O139" s="1044" t="s">
        <v>1480</v>
      </c>
      <c r="P139" s="1044"/>
      <c r="Q139" s="1027"/>
      <c r="R139" s="1022"/>
      <c r="S139" s="1130">
        <v>418</v>
      </c>
      <c r="T139" s="1156">
        <v>42000000</v>
      </c>
    </row>
    <row r="140" spans="1:103" s="995" customFormat="1" ht="63.75" x14ac:dyDescent="0.25">
      <c r="A140" s="1023">
        <v>2022134</v>
      </c>
      <c r="B140" s="1023">
        <v>7655</v>
      </c>
      <c r="C140" s="1023" t="s">
        <v>670</v>
      </c>
      <c r="D140" s="1039" t="s">
        <v>691</v>
      </c>
      <c r="E140" s="1040" t="s">
        <v>782</v>
      </c>
      <c r="F140" s="1026" t="s">
        <v>850</v>
      </c>
      <c r="G140" s="1041">
        <v>44575</v>
      </c>
      <c r="H140" s="1041">
        <v>44575</v>
      </c>
      <c r="I140" s="1042" t="s">
        <v>1478</v>
      </c>
      <c r="J140" s="1043" t="s">
        <v>1479</v>
      </c>
      <c r="K140" s="1027" t="s">
        <v>676</v>
      </c>
      <c r="L140" s="1029" t="s">
        <v>677</v>
      </c>
      <c r="M140" s="1030">
        <v>64802500</v>
      </c>
      <c r="N140" s="1044" t="s">
        <v>732</v>
      </c>
      <c r="O140" s="1044" t="s">
        <v>1480</v>
      </c>
      <c r="P140" s="1044"/>
      <c r="Q140" s="1027"/>
      <c r="R140" s="1022"/>
      <c r="S140" s="1130">
        <v>433</v>
      </c>
      <c r="T140" s="1156">
        <v>64802500</v>
      </c>
    </row>
    <row r="141" spans="1:103" s="1034" customFormat="1" ht="63.75" x14ac:dyDescent="0.25">
      <c r="A141" s="1131">
        <v>2022135</v>
      </c>
      <c r="B141" s="1131">
        <v>7655</v>
      </c>
      <c r="C141" s="1131" t="s">
        <v>670</v>
      </c>
      <c r="D141" s="1139" t="s">
        <v>691</v>
      </c>
      <c r="E141" s="1145" t="s">
        <v>782</v>
      </c>
      <c r="F141" s="1134" t="s">
        <v>850</v>
      </c>
      <c r="G141" s="1141">
        <v>44575</v>
      </c>
      <c r="H141" s="1141">
        <v>44575</v>
      </c>
      <c r="I141" s="1048" t="s">
        <v>1482</v>
      </c>
      <c r="J141" s="1143" t="s">
        <v>1479</v>
      </c>
      <c r="K141" s="1135" t="s">
        <v>676</v>
      </c>
      <c r="L141" s="1132" t="s">
        <v>677</v>
      </c>
      <c r="M141" s="1136">
        <v>31500000</v>
      </c>
      <c r="N141" s="1144" t="s">
        <v>732</v>
      </c>
      <c r="O141" s="1144" t="s">
        <v>1480</v>
      </c>
      <c r="P141" s="1144"/>
      <c r="Q141" s="1135"/>
      <c r="R141" s="1130">
        <v>340</v>
      </c>
      <c r="S141" s="1130"/>
      <c r="T141" s="1156"/>
      <c r="U141" s="995"/>
      <c r="V141" s="995"/>
      <c r="W141" s="995"/>
      <c r="X141" s="995"/>
      <c r="Y141" s="995"/>
      <c r="Z141" s="995"/>
      <c r="AA141" s="995"/>
      <c r="AB141" s="995"/>
      <c r="AC141" s="995"/>
      <c r="AD141" s="995"/>
      <c r="AE141" s="995"/>
      <c r="AF141" s="995"/>
      <c r="AG141" s="995"/>
      <c r="AH141" s="995"/>
      <c r="AI141" s="995"/>
      <c r="AJ141" s="995"/>
      <c r="AK141" s="995"/>
      <c r="AL141" s="995"/>
      <c r="AM141" s="995"/>
      <c r="AN141" s="995"/>
      <c r="AO141" s="995"/>
      <c r="AP141" s="995"/>
      <c r="AQ141" s="995"/>
      <c r="AR141" s="995"/>
      <c r="AS141" s="995"/>
      <c r="AT141" s="995"/>
      <c r="AU141" s="995"/>
      <c r="AV141" s="995"/>
      <c r="AW141" s="995"/>
      <c r="AX141" s="995"/>
      <c r="AY141" s="995"/>
      <c r="AZ141" s="995"/>
      <c r="BA141" s="995"/>
      <c r="BB141" s="995"/>
      <c r="BC141" s="995"/>
      <c r="BD141" s="995"/>
      <c r="BE141" s="995"/>
      <c r="BF141" s="995"/>
      <c r="BG141" s="995"/>
      <c r="BH141" s="995"/>
      <c r="BI141" s="995"/>
      <c r="BJ141" s="995"/>
      <c r="BK141" s="995"/>
      <c r="BL141" s="995"/>
      <c r="BM141" s="995"/>
      <c r="BN141" s="995"/>
      <c r="BO141" s="995"/>
      <c r="BP141" s="995"/>
      <c r="BQ141" s="995"/>
      <c r="BR141" s="995"/>
      <c r="BS141" s="995"/>
      <c r="BT141" s="995"/>
      <c r="BU141" s="995"/>
      <c r="BV141" s="995"/>
      <c r="BW141" s="995"/>
      <c r="BX141" s="995"/>
      <c r="BY141" s="995"/>
      <c r="BZ141" s="995"/>
      <c r="CA141" s="995"/>
      <c r="CB141" s="995"/>
      <c r="CC141" s="995"/>
      <c r="CD141" s="995"/>
      <c r="CE141" s="995"/>
      <c r="CF141" s="995"/>
      <c r="CG141" s="995"/>
      <c r="CH141" s="995"/>
      <c r="CI141" s="995"/>
      <c r="CJ141" s="995"/>
      <c r="CK141" s="995"/>
      <c r="CL141" s="995"/>
      <c r="CM141" s="995"/>
      <c r="CN141" s="995"/>
      <c r="CO141" s="995"/>
      <c r="CP141" s="995"/>
      <c r="CQ141" s="995"/>
      <c r="CR141" s="995"/>
      <c r="CS141" s="995"/>
      <c r="CT141" s="995"/>
      <c r="CU141" s="995"/>
      <c r="CV141" s="995"/>
      <c r="CW141" s="995"/>
      <c r="CX141" s="995"/>
      <c r="CY141" s="995"/>
    </row>
    <row r="142" spans="1:103" s="1034" customFormat="1" ht="63.75" x14ac:dyDescent="0.25">
      <c r="A142" s="1131">
        <v>2022136</v>
      </c>
      <c r="B142" s="1131">
        <v>7655</v>
      </c>
      <c r="C142" s="1131" t="s">
        <v>670</v>
      </c>
      <c r="D142" s="1139" t="s">
        <v>691</v>
      </c>
      <c r="E142" s="1145" t="s">
        <v>782</v>
      </c>
      <c r="F142" s="1134" t="s">
        <v>851</v>
      </c>
      <c r="G142" s="1141">
        <v>44575</v>
      </c>
      <c r="H142" s="1141">
        <v>44575</v>
      </c>
      <c r="I142" s="1048" t="s">
        <v>1478</v>
      </c>
      <c r="J142" s="1143" t="s">
        <v>1479</v>
      </c>
      <c r="K142" s="1135" t="s">
        <v>676</v>
      </c>
      <c r="L142" s="1132" t="s">
        <v>677</v>
      </c>
      <c r="M142" s="1136">
        <v>28175000</v>
      </c>
      <c r="N142" s="1144" t="s">
        <v>732</v>
      </c>
      <c r="O142" s="1144" t="s">
        <v>1480</v>
      </c>
      <c r="P142" s="1144"/>
      <c r="Q142" s="1135"/>
      <c r="R142" s="1130">
        <v>162</v>
      </c>
      <c r="S142" s="1130"/>
      <c r="T142" s="1156"/>
      <c r="U142" s="995"/>
      <c r="V142" s="995"/>
      <c r="W142" s="995"/>
      <c r="X142" s="995"/>
      <c r="Y142" s="995"/>
      <c r="Z142" s="995"/>
      <c r="AA142" s="995"/>
      <c r="AB142" s="995"/>
      <c r="AC142" s="995"/>
      <c r="AD142" s="995"/>
      <c r="AE142" s="995"/>
      <c r="AF142" s="995"/>
      <c r="AG142" s="995"/>
      <c r="AH142" s="995"/>
      <c r="AI142" s="995"/>
      <c r="AJ142" s="995"/>
      <c r="AK142" s="995"/>
      <c r="AL142" s="995"/>
      <c r="AM142" s="995"/>
      <c r="AN142" s="995"/>
      <c r="AO142" s="995"/>
      <c r="AP142" s="995"/>
      <c r="AQ142" s="995"/>
      <c r="AR142" s="995"/>
      <c r="AS142" s="995"/>
      <c r="AT142" s="995"/>
      <c r="AU142" s="995"/>
      <c r="AV142" s="995"/>
      <c r="AW142" s="995"/>
      <c r="AX142" s="995"/>
      <c r="AY142" s="995"/>
      <c r="AZ142" s="995"/>
      <c r="BA142" s="995"/>
      <c r="BB142" s="995"/>
      <c r="BC142" s="995"/>
      <c r="BD142" s="995"/>
      <c r="BE142" s="995"/>
      <c r="BF142" s="995"/>
      <c r="BG142" s="995"/>
      <c r="BH142" s="995"/>
      <c r="BI142" s="995"/>
      <c r="BJ142" s="995"/>
      <c r="BK142" s="995"/>
      <c r="BL142" s="995"/>
      <c r="BM142" s="995"/>
      <c r="BN142" s="995"/>
      <c r="BO142" s="995"/>
      <c r="BP142" s="995"/>
      <c r="BQ142" s="995"/>
      <c r="BR142" s="995"/>
      <c r="BS142" s="995"/>
      <c r="BT142" s="995"/>
      <c r="BU142" s="995"/>
      <c r="BV142" s="995"/>
      <c r="BW142" s="995"/>
      <c r="BX142" s="995"/>
      <c r="BY142" s="995"/>
      <c r="BZ142" s="995"/>
      <c r="CA142" s="995"/>
      <c r="CB142" s="995"/>
      <c r="CC142" s="995"/>
      <c r="CD142" s="995"/>
      <c r="CE142" s="995"/>
      <c r="CF142" s="995"/>
      <c r="CG142" s="995"/>
      <c r="CH142" s="995"/>
      <c r="CI142" s="995"/>
      <c r="CJ142" s="995"/>
      <c r="CK142" s="995"/>
      <c r="CL142" s="995"/>
      <c r="CM142" s="995"/>
      <c r="CN142" s="995"/>
      <c r="CO142" s="995"/>
      <c r="CP142" s="995"/>
      <c r="CQ142" s="995"/>
      <c r="CR142" s="995"/>
      <c r="CS142" s="995"/>
      <c r="CT142" s="995"/>
      <c r="CU142" s="995"/>
      <c r="CV142" s="995"/>
      <c r="CW142" s="995"/>
      <c r="CX142" s="995"/>
      <c r="CY142" s="995"/>
    </row>
    <row r="143" spans="1:103" s="995" customFormat="1" ht="63.75" x14ac:dyDescent="0.25">
      <c r="A143" s="1023">
        <v>2022137</v>
      </c>
      <c r="B143" s="1023">
        <v>7655</v>
      </c>
      <c r="C143" s="1023" t="s">
        <v>670</v>
      </c>
      <c r="D143" s="1039" t="s">
        <v>691</v>
      </c>
      <c r="E143" s="1040" t="s">
        <v>782</v>
      </c>
      <c r="F143" s="1026" t="s">
        <v>852</v>
      </c>
      <c r="G143" s="1041">
        <v>44575</v>
      </c>
      <c r="H143" s="1041">
        <v>44575</v>
      </c>
      <c r="I143" s="1042" t="s">
        <v>1478</v>
      </c>
      <c r="J143" s="1043" t="s">
        <v>1479</v>
      </c>
      <c r="K143" s="1027" t="s">
        <v>676</v>
      </c>
      <c r="L143" s="1029" t="s">
        <v>677</v>
      </c>
      <c r="M143" s="1030">
        <v>83950000</v>
      </c>
      <c r="N143" s="1044" t="s">
        <v>732</v>
      </c>
      <c r="O143" s="1044" t="s">
        <v>1480</v>
      </c>
      <c r="P143" s="1044"/>
      <c r="Q143" s="1027"/>
      <c r="R143" s="1022"/>
      <c r="S143" s="1130">
        <v>394</v>
      </c>
      <c r="T143" s="1156">
        <v>83950000</v>
      </c>
    </row>
    <row r="144" spans="1:103" s="995" customFormat="1" ht="102" x14ac:dyDescent="0.25">
      <c r="A144" s="1023">
        <v>2022138</v>
      </c>
      <c r="B144" s="1023">
        <v>7655</v>
      </c>
      <c r="C144" s="1023" t="s">
        <v>670</v>
      </c>
      <c r="D144" s="1039" t="s">
        <v>691</v>
      </c>
      <c r="E144" s="1040" t="s">
        <v>782</v>
      </c>
      <c r="F144" s="1026" t="s">
        <v>853</v>
      </c>
      <c r="G144" s="1041">
        <v>44575</v>
      </c>
      <c r="H144" s="1041">
        <v>44575</v>
      </c>
      <c r="I144" s="1042" t="s">
        <v>1478</v>
      </c>
      <c r="J144" s="1043" t="s">
        <v>1479</v>
      </c>
      <c r="K144" s="1027" t="s">
        <v>676</v>
      </c>
      <c r="L144" s="1029" t="s">
        <v>677</v>
      </c>
      <c r="M144" s="1030">
        <v>44275000</v>
      </c>
      <c r="N144" s="1044" t="s">
        <v>732</v>
      </c>
      <c r="O144" s="1044" t="s">
        <v>1480</v>
      </c>
      <c r="P144" s="1044"/>
      <c r="Q144" s="1027"/>
      <c r="R144" s="1022"/>
      <c r="S144" s="1130">
        <v>371</v>
      </c>
      <c r="T144" s="1156">
        <v>44275000</v>
      </c>
    </row>
    <row r="145" spans="1:20" s="995" customFormat="1" ht="102" x14ac:dyDescent="0.25">
      <c r="A145" s="1023">
        <v>2022139</v>
      </c>
      <c r="B145" s="1023">
        <v>7655</v>
      </c>
      <c r="C145" s="1023" t="s">
        <v>670</v>
      </c>
      <c r="D145" s="1039" t="s">
        <v>691</v>
      </c>
      <c r="E145" s="1040" t="s">
        <v>782</v>
      </c>
      <c r="F145" s="1026" t="s">
        <v>853</v>
      </c>
      <c r="G145" s="1041">
        <v>44575</v>
      </c>
      <c r="H145" s="1041">
        <v>44575</v>
      </c>
      <c r="I145" s="1042" t="s">
        <v>1478</v>
      </c>
      <c r="J145" s="1043" t="s">
        <v>1479</v>
      </c>
      <c r="K145" s="1027" t="s">
        <v>676</v>
      </c>
      <c r="L145" s="1029" t="s">
        <v>677</v>
      </c>
      <c r="M145" s="1030">
        <v>58650000</v>
      </c>
      <c r="N145" s="1044" t="s">
        <v>732</v>
      </c>
      <c r="O145" s="1044" t="s">
        <v>1480</v>
      </c>
      <c r="P145" s="1044"/>
      <c r="Q145" s="1027"/>
      <c r="R145" s="1022"/>
      <c r="S145" s="1130">
        <v>287</v>
      </c>
      <c r="T145" s="1156">
        <v>58650000</v>
      </c>
    </row>
    <row r="146" spans="1:20" s="995" customFormat="1" ht="63.75" x14ac:dyDescent="0.25">
      <c r="A146" s="1023">
        <v>2022140</v>
      </c>
      <c r="B146" s="1023">
        <v>7655</v>
      </c>
      <c r="C146" s="1023" t="s">
        <v>670</v>
      </c>
      <c r="D146" s="1039" t="s">
        <v>697</v>
      </c>
      <c r="E146" s="1025">
        <v>80111600</v>
      </c>
      <c r="F146" s="1053" t="s">
        <v>854</v>
      </c>
      <c r="G146" s="1054" t="s">
        <v>1440</v>
      </c>
      <c r="H146" s="1054" t="s">
        <v>1440</v>
      </c>
      <c r="I146" s="1054" t="s">
        <v>1486</v>
      </c>
      <c r="J146" s="1043" t="s">
        <v>1479</v>
      </c>
      <c r="K146" s="1027" t="s">
        <v>676</v>
      </c>
      <c r="L146" s="1055" t="s">
        <v>677</v>
      </c>
      <c r="M146" s="1030">
        <v>26496000</v>
      </c>
      <c r="N146" s="1056" t="s">
        <v>732</v>
      </c>
      <c r="O146" s="1056" t="s">
        <v>1480</v>
      </c>
      <c r="P146" s="1056"/>
      <c r="Q146" s="1027"/>
      <c r="R146" s="1022"/>
      <c r="S146" s="1130">
        <v>53</v>
      </c>
      <c r="T146" s="1156">
        <v>26496000</v>
      </c>
    </row>
    <row r="147" spans="1:20" s="995" customFormat="1" ht="63.75" x14ac:dyDescent="0.25">
      <c r="A147" s="1023">
        <v>2022141</v>
      </c>
      <c r="B147" s="1023">
        <v>7655</v>
      </c>
      <c r="C147" s="1023" t="s">
        <v>670</v>
      </c>
      <c r="D147" s="1039" t="s">
        <v>697</v>
      </c>
      <c r="E147" s="1025">
        <v>80111600</v>
      </c>
      <c r="F147" s="1053" t="s">
        <v>855</v>
      </c>
      <c r="G147" s="1054" t="s">
        <v>1440</v>
      </c>
      <c r="H147" s="1054" t="s">
        <v>1440</v>
      </c>
      <c r="I147" s="1054" t="s">
        <v>1486</v>
      </c>
      <c r="J147" s="1043" t="s">
        <v>1479</v>
      </c>
      <c r="K147" s="1027" t="s">
        <v>676</v>
      </c>
      <c r="L147" s="1055" t="s">
        <v>677</v>
      </c>
      <c r="M147" s="1030">
        <v>34776000</v>
      </c>
      <c r="N147" s="1056" t="s">
        <v>732</v>
      </c>
      <c r="O147" s="1056" t="s">
        <v>1480</v>
      </c>
      <c r="P147" s="1056"/>
      <c r="Q147" s="1027"/>
      <c r="R147" s="1022"/>
      <c r="S147" s="1130">
        <v>59</v>
      </c>
      <c r="T147" s="1156">
        <v>34776000</v>
      </c>
    </row>
    <row r="148" spans="1:20" s="995" customFormat="1" ht="63.75" x14ac:dyDescent="0.25">
      <c r="A148" s="1023">
        <v>2022142</v>
      </c>
      <c r="B148" s="1023">
        <v>7655</v>
      </c>
      <c r="C148" s="1023" t="s">
        <v>670</v>
      </c>
      <c r="D148" s="1039" t="s">
        <v>697</v>
      </c>
      <c r="E148" s="1025">
        <v>80111600</v>
      </c>
      <c r="F148" s="1053" t="s">
        <v>856</v>
      </c>
      <c r="G148" s="1054" t="s">
        <v>1440</v>
      </c>
      <c r="H148" s="1054" t="s">
        <v>1440</v>
      </c>
      <c r="I148" s="1054" t="s">
        <v>1442</v>
      </c>
      <c r="J148" s="1043" t="s">
        <v>1479</v>
      </c>
      <c r="K148" s="1027" t="s">
        <v>676</v>
      </c>
      <c r="L148" s="1055" t="s">
        <v>677</v>
      </c>
      <c r="M148" s="1030">
        <v>56100000</v>
      </c>
      <c r="N148" s="1056" t="s">
        <v>732</v>
      </c>
      <c r="O148" s="1056" t="s">
        <v>1480</v>
      </c>
      <c r="P148" s="1056"/>
      <c r="Q148" s="1027"/>
      <c r="R148" s="1022"/>
      <c r="S148" s="1130">
        <v>54</v>
      </c>
      <c r="T148" s="1156">
        <v>45900000</v>
      </c>
    </row>
    <row r="149" spans="1:20" s="995" customFormat="1" ht="63.75" x14ac:dyDescent="0.25">
      <c r="A149" s="1023">
        <v>2022143</v>
      </c>
      <c r="B149" s="1023">
        <v>7655</v>
      </c>
      <c r="C149" s="1023" t="s">
        <v>670</v>
      </c>
      <c r="D149" s="1039" t="s">
        <v>697</v>
      </c>
      <c r="E149" s="1025">
        <v>80111600</v>
      </c>
      <c r="F149" s="1053" t="s">
        <v>857</v>
      </c>
      <c r="G149" s="1054" t="s">
        <v>1440</v>
      </c>
      <c r="H149" s="1054" t="s">
        <v>1440</v>
      </c>
      <c r="I149" s="1054" t="s">
        <v>1442</v>
      </c>
      <c r="J149" s="1043" t="s">
        <v>1479</v>
      </c>
      <c r="K149" s="1027" t="s">
        <v>676</v>
      </c>
      <c r="L149" s="1055" t="s">
        <v>677</v>
      </c>
      <c r="M149" s="1030">
        <v>47817000</v>
      </c>
      <c r="N149" s="1056" t="s">
        <v>732</v>
      </c>
      <c r="O149" s="1056" t="s">
        <v>1480</v>
      </c>
      <c r="P149" s="1056"/>
      <c r="Q149" s="1027"/>
      <c r="R149" s="1022"/>
      <c r="S149" s="1130">
        <v>55</v>
      </c>
      <c r="T149" s="1156">
        <v>34776000</v>
      </c>
    </row>
    <row r="150" spans="1:20" s="995" customFormat="1" ht="63.75" x14ac:dyDescent="0.25">
      <c r="A150" s="1023">
        <v>2022144</v>
      </c>
      <c r="B150" s="1023">
        <v>7655</v>
      </c>
      <c r="C150" s="1023" t="s">
        <v>670</v>
      </c>
      <c r="D150" s="1039" t="s">
        <v>697</v>
      </c>
      <c r="E150" s="1025">
        <v>80111600</v>
      </c>
      <c r="F150" s="1053" t="s">
        <v>855</v>
      </c>
      <c r="G150" s="1054" t="s">
        <v>1440</v>
      </c>
      <c r="H150" s="1054" t="s">
        <v>1440</v>
      </c>
      <c r="I150" s="1054" t="s">
        <v>1442</v>
      </c>
      <c r="J150" s="1043" t="s">
        <v>1479</v>
      </c>
      <c r="K150" s="1027" t="s">
        <v>676</v>
      </c>
      <c r="L150" s="1055" t="s">
        <v>677</v>
      </c>
      <c r="M150" s="1030">
        <v>56100000</v>
      </c>
      <c r="N150" s="1056" t="s">
        <v>732</v>
      </c>
      <c r="O150" s="1056" t="s">
        <v>1480</v>
      </c>
      <c r="P150" s="1056"/>
      <c r="Q150" s="1027"/>
      <c r="R150" s="1022"/>
      <c r="S150" s="1130">
        <v>409</v>
      </c>
      <c r="T150" s="1156">
        <v>34776000</v>
      </c>
    </row>
    <row r="151" spans="1:20" s="995" customFormat="1" ht="63.75" x14ac:dyDescent="0.25">
      <c r="A151" s="1023">
        <v>2022145</v>
      </c>
      <c r="B151" s="1023">
        <v>7655</v>
      </c>
      <c r="C151" s="1023" t="s">
        <v>670</v>
      </c>
      <c r="D151" s="1039" t="s">
        <v>697</v>
      </c>
      <c r="E151" s="1025">
        <v>80111600</v>
      </c>
      <c r="F151" s="1053" t="s">
        <v>857</v>
      </c>
      <c r="G151" s="1054" t="s">
        <v>1440</v>
      </c>
      <c r="H151" s="1054" t="s">
        <v>1440</v>
      </c>
      <c r="I151" s="1054" t="s">
        <v>1482</v>
      </c>
      <c r="J151" s="1043" t="s">
        <v>1479</v>
      </c>
      <c r="K151" s="1027" t="s">
        <v>676</v>
      </c>
      <c r="L151" s="1055" t="s">
        <v>677</v>
      </c>
      <c r="M151" s="1030">
        <v>27895000</v>
      </c>
      <c r="N151" s="1056" t="s">
        <v>732</v>
      </c>
      <c r="O151" s="1056" t="s">
        <v>1480</v>
      </c>
      <c r="P151" s="1056"/>
      <c r="Q151" s="1027"/>
      <c r="R151" s="1022"/>
      <c r="S151" s="1130">
        <v>63</v>
      </c>
      <c r="T151" s="1156">
        <v>27895000</v>
      </c>
    </row>
    <row r="152" spans="1:20" s="995" customFormat="1" ht="63.75" x14ac:dyDescent="0.25">
      <c r="A152" s="1023">
        <v>2022146</v>
      </c>
      <c r="B152" s="1023">
        <v>7655</v>
      </c>
      <c r="C152" s="1023" t="s">
        <v>670</v>
      </c>
      <c r="D152" s="1039" t="s">
        <v>697</v>
      </c>
      <c r="E152" s="1025">
        <v>80111600</v>
      </c>
      <c r="F152" s="1053" t="s">
        <v>857</v>
      </c>
      <c r="G152" s="1054" t="s">
        <v>1440</v>
      </c>
      <c r="H152" s="1054" t="s">
        <v>1440</v>
      </c>
      <c r="I152" s="1054" t="s">
        <v>1482</v>
      </c>
      <c r="J152" s="1043" t="s">
        <v>1479</v>
      </c>
      <c r="K152" s="1027" t="s">
        <v>676</v>
      </c>
      <c r="L152" s="1055" t="s">
        <v>677</v>
      </c>
      <c r="M152" s="1030">
        <v>26950000</v>
      </c>
      <c r="N152" s="1056" t="s">
        <v>732</v>
      </c>
      <c r="O152" s="1056" t="s">
        <v>1480</v>
      </c>
      <c r="P152" s="1056"/>
      <c r="Q152" s="1027"/>
      <c r="R152" s="1022"/>
      <c r="S152" s="1130">
        <v>188</v>
      </c>
      <c r="T152" s="1156">
        <v>26950000</v>
      </c>
    </row>
    <row r="153" spans="1:20" s="995" customFormat="1" ht="63.75" x14ac:dyDescent="0.25">
      <c r="A153" s="1023">
        <v>2022147</v>
      </c>
      <c r="B153" s="1023">
        <v>7655</v>
      </c>
      <c r="C153" s="1023" t="s">
        <v>670</v>
      </c>
      <c r="D153" s="1039" t="s">
        <v>697</v>
      </c>
      <c r="E153" s="1025">
        <v>80111600</v>
      </c>
      <c r="F153" s="1053" t="s">
        <v>858</v>
      </c>
      <c r="G153" s="1054" t="s">
        <v>1440</v>
      </c>
      <c r="H153" s="1054" t="s">
        <v>1440</v>
      </c>
      <c r="I153" s="1054" t="s">
        <v>1486</v>
      </c>
      <c r="J153" s="1043" t="s">
        <v>1479</v>
      </c>
      <c r="K153" s="1027" t="s">
        <v>676</v>
      </c>
      <c r="L153" s="1055" t="s">
        <v>677</v>
      </c>
      <c r="M153" s="1030">
        <v>19600000</v>
      </c>
      <c r="N153" s="1056" t="s">
        <v>732</v>
      </c>
      <c r="O153" s="1056" t="s">
        <v>1480</v>
      </c>
      <c r="P153" s="1056"/>
      <c r="Q153" s="1027"/>
      <c r="R153" s="1022"/>
      <c r="S153" s="1130">
        <v>56</v>
      </c>
      <c r="T153" s="1156">
        <v>17150000</v>
      </c>
    </row>
    <row r="154" spans="1:20" s="995" customFormat="1" ht="63.75" x14ac:dyDescent="0.25">
      <c r="A154" s="1023">
        <v>2022148</v>
      </c>
      <c r="B154" s="1023">
        <v>7655</v>
      </c>
      <c r="C154" s="1023" t="s">
        <v>670</v>
      </c>
      <c r="D154" s="1039" t="s">
        <v>697</v>
      </c>
      <c r="E154" s="1025">
        <v>80111600</v>
      </c>
      <c r="F154" s="1053" t="s">
        <v>859</v>
      </c>
      <c r="G154" s="1054" t="s">
        <v>1440</v>
      </c>
      <c r="H154" s="1054" t="s">
        <v>1440</v>
      </c>
      <c r="I154" s="1054" t="s">
        <v>1486</v>
      </c>
      <c r="J154" s="1043" t="s">
        <v>1479</v>
      </c>
      <c r="K154" s="1027" t="s">
        <v>676</v>
      </c>
      <c r="L154" s="1055" t="s">
        <v>677</v>
      </c>
      <c r="M154" s="1030">
        <v>40800000</v>
      </c>
      <c r="N154" s="1056" t="s">
        <v>732</v>
      </c>
      <c r="O154" s="1056" t="s">
        <v>1480</v>
      </c>
      <c r="P154" s="1056"/>
      <c r="Q154" s="1027"/>
      <c r="R154" s="1022"/>
      <c r="S154" s="1130">
        <v>78</v>
      </c>
      <c r="T154" s="1156">
        <v>35700000</v>
      </c>
    </row>
    <row r="155" spans="1:20" s="995" customFormat="1" ht="63.75" x14ac:dyDescent="0.25">
      <c r="A155" s="1023">
        <v>2022149</v>
      </c>
      <c r="B155" s="1023">
        <v>7655</v>
      </c>
      <c r="C155" s="1023" t="s">
        <v>670</v>
      </c>
      <c r="D155" s="1039" t="s">
        <v>697</v>
      </c>
      <c r="E155" s="1025">
        <v>80111600</v>
      </c>
      <c r="F155" s="1053" t="s">
        <v>860</v>
      </c>
      <c r="G155" s="1054" t="s">
        <v>1440</v>
      </c>
      <c r="H155" s="1054" t="s">
        <v>1440</v>
      </c>
      <c r="I155" s="1054" t="s">
        <v>1442</v>
      </c>
      <c r="J155" s="1043" t="s">
        <v>1479</v>
      </c>
      <c r="K155" s="1027" t="s">
        <v>676</v>
      </c>
      <c r="L155" s="1055" t="s">
        <v>677</v>
      </c>
      <c r="M155" s="1030">
        <v>56100000</v>
      </c>
      <c r="N155" s="1056" t="s">
        <v>732</v>
      </c>
      <c r="O155" s="1056" t="s">
        <v>1480</v>
      </c>
      <c r="P155" s="1056"/>
      <c r="Q155" s="1027"/>
      <c r="R155" s="1022"/>
      <c r="S155" s="1130">
        <v>166</v>
      </c>
      <c r="T155" s="1156">
        <v>45900000</v>
      </c>
    </row>
    <row r="156" spans="1:20" s="995" customFormat="1" ht="63.75" x14ac:dyDescent="0.25">
      <c r="A156" s="1023">
        <v>2022150</v>
      </c>
      <c r="B156" s="1023">
        <v>7655</v>
      </c>
      <c r="C156" s="1023" t="s">
        <v>670</v>
      </c>
      <c r="D156" s="1039" t="s">
        <v>697</v>
      </c>
      <c r="E156" s="1025">
        <v>80111600</v>
      </c>
      <c r="F156" s="1053" t="s">
        <v>859</v>
      </c>
      <c r="G156" s="1054" t="s">
        <v>1440</v>
      </c>
      <c r="H156" s="1054" t="s">
        <v>1440</v>
      </c>
      <c r="I156" s="1054" t="s">
        <v>1482</v>
      </c>
      <c r="J156" s="1043" t="s">
        <v>1479</v>
      </c>
      <c r="K156" s="1027" t="s">
        <v>676</v>
      </c>
      <c r="L156" s="1055" t="s">
        <v>677</v>
      </c>
      <c r="M156" s="1030">
        <v>35700000</v>
      </c>
      <c r="N156" s="1056" t="s">
        <v>732</v>
      </c>
      <c r="O156" s="1056" t="s">
        <v>1480</v>
      </c>
      <c r="P156" s="1056"/>
      <c r="Q156" s="1027"/>
      <c r="R156" s="1022"/>
      <c r="S156" s="1130">
        <v>189</v>
      </c>
      <c r="T156" s="1156">
        <v>35700000</v>
      </c>
    </row>
    <row r="157" spans="1:20" s="995" customFormat="1" ht="63.75" x14ac:dyDescent="0.25">
      <c r="A157" s="1023">
        <v>2022151</v>
      </c>
      <c r="B157" s="1023">
        <v>7655</v>
      </c>
      <c r="C157" s="1023" t="s">
        <v>670</v>
      </c>
      <c r="D157" s="1039" t="s">
        <v>697</v>
      </c>
      <c r="E157" s="1025">
        <v>80111600</v>
      </c>
      <c r="F157" s="1053" t="s">
        <v>861</v>
      </c>
      <c r="G157" s="1054" t="s">
        <v>1440</v>
      </c>
      <c r="H157" s="1054" t="s">
        <v>1440</v>
      </c>
      <c r="I157" s="1054" t="s">
        <v>1486</v>
      </c>
      <c r="J157" s="1043" t="s">
        <v>1479</v>
      </c>
      <c r="K157" s="1027" t="s">
        <v>676</v>
      </c>
      <c r="L157" s="1055" t="s">
        <v>677</v>
      </c>
      <c r="M157" s="1030">
        <v>41400000</v>
      </c>
      <c r="N157" s="1056" t="s">
        <v>732</v>
      </c>
      <c r="O157" s="1056" t="s">
        <v>1480</v>
      </c>
      <c r="P157" s="1056"/>
      <c r="Q157" s="1027"/>
      <c r="R157" s="1022"/>
      <c r="S157" s="1130">
        <v>80</v>
      </c>
      <c r="T157" s="1156">
        <v>41400000</v>
      </c>
    </row>
    <row r="158" spans="1:20" s="995" customFormat="1" ht="63.75" x14ac:dyDescent="0.25">
      <c r="A158" s="1023">
        <v>2022152</v>
      </c>
      <c r="B158" s="1023">
        <v>7655</v>
      </c>
      <c r="C158" s="1023" t="s">
        <v>670</v>
      </c>
      <c r="D158" s="1039" t="s">
        <v>697</v>
      </c>
      <c r="E158" s="1025">
        <v>80111600</v>
      </c>
      <c r="F158" s="1053" t="s">
        <v>862</v>
      </c>
      <c r="G158" s="1054" t="s">
        <v>1440</v>
      </c>
      <c r="H158" s="1054" t="s">
        <v>1440</v>
      </c>
      <c r="I158" s="1054" t="s">
        <v>1486</v>
      </c>
      <c r="J158" s="1043" t="s">
        <v>1479</v>
      </c>
      <c r="K158" s="1027" t="s">
        <v>676</v>
      </c>
      <c r="L158" s="1055" t="s">
        <v>677</v>
      </c>
      <c r="M158" s="1030">
        <v>45544000</v>
      </c>
      <c r="N158" s="1056" t="s">
        <v>732</v>
      </c>
      <c r="O158" s="1056" t="s">
        <v>1480</v>
      </c>
      <c r="P158" s="1056"/>
      <c r="Q158" s="1027"/>
      <c r="R158" s="1022"/>
      <c r="S158" s="1130">
        <v>107</v>
      </c>
      <c r="T158" s="1156">
        <v>45544000</v>
      </c>
    </row>
    <row r="159" spans="1:20" s="995" customFormat="1" ht="63.75" x14ac:dyDescent="0.25">
      <c r="A159" s="1023">
        <v>2022153</v>
      </c>
      <c r="B159" s="1023">
        <v>7655</v>
      </c>
      <c r="C159" s="1023" t="s">
        <v>670</v>
      </c>
      <c r="D159" s="1039" t="s">
        <v>697</v>
      </c>
      <c r="E159" s="1025">
        <v>80111600</v>
      </c>
      <c r="F159" s="1053" t="s">
        <v>863</v>
      </c>
      <c r="G159" s="1054" t="s">
        <v>1440</v>
      </c>
      <c r="H159" s="1054" t="s">
        <v>1440</v>
      </c>
      <c r="I159" s="1054" t="s">
        <v>1482</v>
      </c>
      <c r="J159" s="1043" t="s">
        <v>1479</v>
      </c>
      <c r="K159" s="1027" t="s">
        <v>676</v>
      </c>
      <c r="L159" s="1055" t="s">
        <v>677</v>
      </c>
      <c r="M159" s="1030">
        <v>23184000</v>
      </c>
      <c r="N159" s="1056" t="s">
        <v>732</v>
      </c>
      <c r="O159" s="1056" t="s">
        <v>1480</v>
      </c>
      <c r="P159" s="1056"/>
      <c r="Q159" s="1027"/>
      <c r="R159" s="1022"/>
      <c r="S159" s="1130">
        <v>167</v>
      </c>
      <c r="T159" s="1156">
        <v>23184000</v>
      </c>
    </row>
    <row r="160" spans="1:20" s="995" customFormat="1" ht="63.75" x14ac:dyDescent="0.25">
      <c r="A160" s="1023">
        <v>2022154</v>
      </c>
      <c r="B160" s="1023">
        <v>7655</v>
      </c>
      <c r="C160" s="1023" t="s">
        <v>670</v>
      </c>
      <c r="D160" s="1039" t="s">
        <v>697</v>
      </c>
      <c r="E160" s="1025">
        <v>80111600</v>
      </c>
      <c r="F160" s="1053" t="s">
        <v>864</v>
      </c>
      <c r="G160" s="1054" t="s">
        <v>1440</v>
      </c>
      <c r="H160" s="1054" t="s">
        <v>1440</v>
      </c>
      <c r="I160" s="1054" t="s">
        <v>1482</v>
      </c>
      <c r="J160" s="1043" t="s">
        <v>1479</v>
      </c>
      <c r="K160" s="1027" t="s">
        <v>676</v>
      </c>
      <c r="L160" s="1055" t="s">
        <v>677</v>
      </c>
      <c r="M160" s="1030">
        <v>30429000</v>
      </c>
      <c r="N160" s="1056" t="s">
        <v>732</v>
      </c>
      <c r="O160" s="1056" t="s">
        <v>1480</v>
      </c>
      <c r="P160" s="1056"/>
      <c r="Q160" s="1027"/>
      <c r="R160" s="1022"/>
      <c r="S160" s="1130">
        <v>85</v>
      </c>
      <c r="T160" s="1156">
        <v>30429000</v>
      </c>
    </row>
    <row r="161" spans="1:20" s="995" customFormat="1" ht="63.75" x14ac:dyDescent="0.25">
      <c r="A161" s="1023">
        <v>2022155</v>
      </c>
      <c r="B161" s="1023">
        <v>7655</v>
      </c>
      <c r="C161" s="1023" t="s">
        <v>670</v>
      </c>
      <c r="D161" s="1039" t="s">
        <v>697</v>
      </c>
      <c r="E161" s="1025">
        <v>80111600</v>
      </c>
      <c r="F161" s="1053" t="s">
        <v>865</v>
      </c>
      <c r="G161" s="1054" t="s">
        <v>1440</v>
      </c>
      <c r="H161" s="1054" t="s">
        <v>1440</v>
      </c>
      <c r="I161" s="1054" t="s">
        <v>1442</v>
      </c>
      <c r="J161" s="1043" t="s">
        <v>1479</v>
      </c>
      <c r="K161" s="1027" t="s">
        <v>676</v>
      </c>
      <c r="L161" s="1055" t="s">
        <v>677</v>
      </c>
      <c r="M161" s="1030">
        <v>83600000</v>
      </c>
      <c r="N161" s="1056" t="s">
        <v>732</v>
      </c>
      <c r="O161" s="1056" t="s">
        <v>1480</v>
      </c>
      <c r="P161" s="1056"/>
      <c r="Q161" s="1027"/>
      <c r="R161" s="1022"/>
      <c r="S161" s="1130">
        <v>190</v>
      </c>
      <c r="T161" s="1156">
        <v>68400000</v>
      </c>
    </row>
    <row r="162" spans="1:20" s="1057" customFormat="1" ht="63.75" x14ac:dyDescent="0.25">
      <c r="A162" s="1023">
        <v>2022156</v>
      </c>
      <c r="B162" s="1023">
        <v>7655</v>
      </c>
      <c r="C162" s="1023" t="s">
        <v>670</v>
      </c>
      <c r="D162" s="1039" t="s">
        <v>697</v>
      </c>
      <c r="E162" s="1025">
        <v>80111600</v>
      </c>
      <c r="F162" s="1053" t="s">
        <v>866</v>
      </c>
      <c r="G162" s="1054" t="s">
        <v>1440</v>
      </c>
      <c r="H162" s="1054" t="s">
        <v>1440</v>
      </c>
      <c r="I162" s="1054" t="s">
        <v>1482</v>
      </c>
      <c r="J162" s="1043" t="s">
        <v>1479</v>
      </c>
      <c r="K162" s="1027" t="s">
        <v>676</v>
      </c>
      <c r="L162" s="1055" t="s">
        <v>677</v>
      </c>
      <c r="M162" s="1030">
        <v>26950000</v>
      </c>
      <c r="N162" s="1056" t="s">
        <v>732</v>
      </c>
      <c r="O162" s="1056" t="s">
        <v>1480</v>
      </c>
      <c r="P162" s="1056"/>
      <c r="Q162" s="1027"/>
      <c r="R162" s="1022"/>
      <c r="S162" s="1130">
        <v>340</v>
      </c>
      <c r="T162" s="1156">
        <v>26950000</v>
      </c>
    </row>
    <row r="163" spans="1:20" s="995" customFormat="1" ht="63.75" x14ac:dyDescent="0.25">
      <c r="A163" s="1023">
        <v>2022157</v>
      </c>
      <c r="B163" s="1023">
        <v>7655</v>
      </c>
      <c r="C163" s="1023" t="s">
        <v>670</v>
      </c>
      <c r="D163" s="1039" t="s">
        <v>697</v>
      </c>
      <c r="E163" s="1025">
        <v>80111600</v>
      </c>
      <c r="F163" s="1053" t="s">
        <v>861</v>
      </c>
      <c r="G163" s="1054" t="s">
        <v>1440</v>
      </c>
      <c r="H163" s="1054" t="s">
        <v>1440</v>
      </c>
      <c r="I163" s="1054" t="s">
        <v>1482</v>
      </c>
      <c r="J163" s="1043" t="s">
        <v>1479</v>
      </c>
      <c r="K163" s="1027" t="s">
        <v>676</v>
      </c>
      <c r="L163" s="1055" t="s">
        <v>677</v>
      </c>
      <c r="M163" s="1030">
        <v>36225000</v>
      </c>
      <c r="N163" s="1056" t="s">
        <v>732</v>
      </c>
      <c r="O163" s="1056" t="s">
        <v>1480</v>
      </c>
      <c r="P163" s="1056"/>
      <c r="Q163" s="1027"/>
      <c r="R163" s="1022"/>
      <c r="S163" s="1130">
        <v>168</v>
      </c>
      <c r="T163" s="1156">
        <v>36225000</v>
      </c>
    </row>
    <row r="164" spans="1:20" s="995" customFormat="1" ht="63.75" x14ac:dyDescent="0.25">
      <c r="A164" s="1023">
        <v>2022158</v>
      </c>
      <c r="B164" s="1023">
        <v>7655</v>
      </c>
      <c r="C164" s="1023" t="s">
        <v>670</v>
      </c>
      <c r="D164" s="1039" t="s">
        <v>697</v>
      </c>
      <c r="E164" s="1025">
        <v>80111600</v>
      </c>
      <c r="F164" s="1053" t="s">
        <v>862</v>
      </c>
      <c r="G164" s="1054" t="s">
        <v>1440</v>
      </c>
      <c r="H164" s="1054" t="s">
        <v>1440</v>
      </c>
      <c r="I164" s="1054" t="s">
        <v>1486</v>
      </c>
      <c r="J164" s="1043" t="s">
        <v>1479</v>
      </c>
      <c r="K164" s="1027" t="s">
        <v>676</v>
      </c>
      <c r="L164" s="1055" t="s">
        <v>677</v>
      </c>
      <c r="M164" s="1030">
        <v>45544000</v>
      </c>
      <c r="N164" s="1056" t="s">
        <v>732</v>
      </c>
      <c r="O164" s="1056" t="s">
        <v>1480</v>
      </c>
      <c r="P164" s="1056"/>
      <c r="Q164" s="1027"/>
      <c r="R164" s="1022"/>
      <c r="S164" s="1130">
        <v>103</v>
      </c>
      <c r="T164" s="1156">
        <v>45544000</v>
      </c>
    </row>
    <row r="165" spans="1:20" s="995" customFormat="1" ht="63.75" x14ac:dyDescent="0.25">
      <c r="A165" s="1023">
        <v>2022159</v>
      </c>
      <c r="B165" s="1023">
        <v>7655</v>
      </c>
      <c r="C165" s="1023" t="s">
        <v>670</v>
      </c>
      <c r="D165" s="1039" t="s">
        <v>697</v>
      </c>
      <c r="E165" s="1025">
        <v>80111600</v>
      </c>
      <c r="F165" s="1053" t="s">
        <v>867</v>
      </c>
      <c r="G165" s="1054" t="s">
        <v>1440</v>
      </c>
      <c r="H165" s="1054" t="s">
        <v>1440</v>
      </c>
      <c r="I165" s="1054" t="s">
        <v>1486</v>
      </c>
      <c r="J165" s="1043" t="s">
        <v>1479</v>
      </c>
      <c r="K165" s="1027" t="s">
        <v>676</v>
      </c>
      <c r="L165" s="1055" t="s">
        <v>677</v>
      </c>
      <c r="M165" s="1030">
        <v>19600000</v>
      </c>
      <c r="N165" s="1056" t="s">
        <v>732</v>
      </c>
      <c r="O165" s="1056" t="s">
        <v>1480</v>
      </c>
      <c r="P165" s="1056"/>
      <c r="Q165" s="1027"/>
      <c r="R165" s="1022"/>
      <c r="S165" s="1130">
        <v>113</v>
      </c>
      <c r="T165" s="1156">
        <v>14700000</v>
      </c>
    </row>
    <row r="166" spans="1:20" s="995" customFormat="1" ht="63.75" x14ac:dyDescent="0.25">
      <c r="A166" s="1023">
        <v>2022160</v>
      </c>
      <c r="B166" s="1023">
        <v>7655</v>
      </c>
      <c r="C166" s="1023" t="s">
        <v>670</v>
      </c>
      <c r="D166" s="1039" t="s">
        <v>697</v>
      </c>
      <c r="E166" s="1025">
        <v>80111600</v>
      </c>
      <c r="F166" s="1053" t="s">
        <v>868</v>
      </c>
      <c r="G166" s="1054" t="s">
        <v>1440</v>
      </c>
      <c r="H166" s="1054" t="s">
        <v>1440</v>
      </c>
      <c r="I166" s="1054" t="s">
        <v>1442</v>
      </c>
      <c r="J166" s="1043" t="s">
        <v>1479</v>
      </c>
      <c r="K166" s="1027" t="s">
        <v>676</v>
      </c>
      <c r="L166" s="1055" t="s">
        <v>677</v>
      </c>
      <c r="M166" s="1030">
        <v>31306000</v>
      </c>
      <c r="N166" s="1056" t="s">
        <v>732</v>
      </c>
      <c r="O166" s="1056" t="s">
        <v>1480</v>
      </c>
      <c r="P166" s="1056"/>
      <c r="Q166" s="1027"/>
      <c r="R166" s="1022"/>
      <c r="S166" s="1130">
        <v>181</v>
      </c>
      <c r="T166" s="1156">
        <v>31306000</v>
      </c>
    </row>
    <row r="167" spans="1:20" s="995" customFormat="1" ht="102" x14ac:dyDescent="0.25">
      <c r="A167" s="1023">
        <v>2022161</v>
      </c>
      <c r="B167" s="1023">
        <v>7655</v>
      </c>
      <c r="C167" s="1023" t="s">
        <v>670</v>
      </c>
      <c r="D167" s="1039" t="s">
        <v>697</v>
      </c>
      <c r="E167" s="1025">
        <v>80111600</v>
      </c>
      <c r="F167" s="1053" t="s">
        <v>869</v>
      </c>
      <c r="G167" s="1054" t="s">
        <v>1440</v>
      </c>
      <c r="H167" s="1054" t="s">
        <v>1440</v>
      </c>
      <c r="I167" s="1054" t="s">
        <v>1486</v>
      </c>
      <c r="J167" s="1043" t="s">
        <v>1479</v>
      </c>
      <c r="K167" s="1027" t="s">
        <v>676</v>
      </c>
      <c r="L167" s="1055" t="s">
        <v>677</v>
      </c>
      <c r="M167" s="1030">
        <v>34776000</v>
      </c>
      <c r="N167" s="1056" t="s">
        <v>732</v>
      </c>
      <c r="O167" s="1056" t="s">
        <v>1480</v>
      </c>
      <c r="P167" s="1056"/>
      <c r="Q167" s="1027"/>
      <c r="R167" s="1022"/>
      <c r="S167" s="1130">
        <v>115</v>
      </c>
      <c r="T167" s="1156">
        <v>34776000</v>
      </c>
    </row>
    <row r="168" spans="1:20" s="995" customFormat="1" ht="63.75" x14ac:dyDescent="0.25">
      <c r="A168" s="1023">
        <v>2022162</v>
      </c>
      <c r="B168" s="1023">
        <v>7655</v>
      </c>
      <c r="C168" s="1023" t="s">
        <v>670</v>
      </c>
      <c r="D168" s="1039" t="s">
        <v>697</v>
      </c>
      <c r="E168" s="1025">
        <v>80111600</v>
      </c>
      <c r="F168" s="1053" t="s">
        <v>870</v>
      </c>
      <c r="G168" s="1054" t="s">
        <v>1440</v>
      </c>
      <c r="H168" s="1054" t="s">
        <v>1440</v>
      </c>
      <c r="I168" s="1054" t="s">
        <v>1486</v>
      </c>
      <c r="J168" s="1043" t="s">
        <v>1479</v>
      </c>
      <c r="K168" s="1027" t="s">
        <v>676</v>
      </c>
      <c r="L168" s="1055" t="s">
        <v>677</v>
      </c>
      <c r="M168" s="1030">
        <v>34776000</v>
      </c>
      <c r="N168" s="1056" t="s">
        <v>732</v>
      </c>
      <c r="O168" s="1056" t="s">
        <v>1480</v>
      </c>
      <c r="P168" s="1056"/>
      <c r="Q168" s="1027"/>
      <c r="R168" s="1022"/>
      <c r="S168" s="1130">
        <v>169</v>
      </c>
      <c r="T168" s="1156">
        <v>30429000</v>
      </c>
    </row>
    <row r="169" spans="1:20" s="995" customFormat="1" ht="102" x14ac:dyDescent="0.25">
      <c r="A169" s="1023">
        <v>2022163</v>
      </c>
      <c r="B169" s="1023">
        <v>7655</v>
      </c>
      <c r="C169" s="1023" t="s">
        <v>670</v>
      </c>
      <c r="D169" s="1039" t="s">
        <v>697</v>
      </c>
      <c r="E169" s="1025">
        <v>80111600</v>
      </c>
      <c r="F169" s="1053" t="s">
        <v>871</v>
      </c>
      <c r="G169" s="1054" t="s">
        <v>1440</v>
      </c>
      <c r="H169" s="1054" t="s">
        <v>1440</v>
      </c>
      <c r="I169" s="1054" t="s">
        <v>1442</v>
      </c>
      <c r="J169" s="1043" t="s">
        <v>1479</v>
      </c>
      <c r="K169" s="1027" t="s">
        <v>676</v>
      </c>
      <c r="L169" s="1055" t="s">
        <v>677</v>
      </c>
      <c r="M169" s="1030">
        <v>36850000</v>
      </c>
      <c r="N169" s="1056" t="s">
        <v>732</v>
      </c>
      <c r="O169" s="1056" t="s">
        <v>1480</v>
      </c>
      <c r="P169" s="1056"/>
      <c r="Q169" s="1027"/>
      <c r="R169" s="1022"/>
      <c r="S169" s="1130">
        <v>176</v>
      </c>
      <c r="T169" s="1156">
        <v>21735000</v>
      </c>
    </row>
    <row r="170" spans="1:20" s="995" customFormat="1" ht="63.75" x14ac:dyDescent="0.25">
      <c r="A170" s="1023">
        <v>2022164</v>
      </c>
      <c r="B170" s="1023">
        <v>7655</v>
      </c>
      <c r="C170" s="1023" t="s">
        <v>670</v>
      </c>
      <c r="D170" s="1039" t="s">
        <v>697</v>
      </c>
      <c r="E170" s="1025">
        <v>80111600</v>
      </c>
      <c r="F170" s="1053" t="s">
        <v>872</v>
      </c>
      <c r="G170" s="1054" t="s">
        <v>1440</v>
      </c>
      <c r="H170" s="1054" t="s">
        <v>1440</v>
      </c>
      <c r="I170" s="1054" t="s">
        <v>1482</v>
      </c>
      <c r="J170" s="1043" t="s">
        <v>1479</v>
      </c>
      <c r="K170" s="1027" t="s">
        <v>676</v>
      </c>
      <c r="L170" s="1055" t="s">
        <v>677</v>
      </c>
      <c r="M170" s="1030">
        <v>26950000</v>
      </c>
      <c r="N170" s="1056" t="s">
        <v>732</v>
      </c>
      <c r="O170" s="1056" t="s">
        <v>1480</v>
      </c>
      <c r="P170" s="1056"/>
      <c r="Q170" s="1027"/>
      <c r="R170" s="1022"/>
      <c r="S170" s="1130">
        <v>266</v>
      </c>
      <c r="T170" s="1156">
        <v>24850000</v>
      </c>
    </row>
    <row r="171" spans="1:20" s="995" customFormat="1" ht="63.75" x14ac:dyDescent="0.25">
      <c r="A171" s="1023">
        <v>2022165</v>
      </c>
      <c r="B171" s="1023">
        <v>7655</v>
      </c>
      <c r="C171" s="1023" t="s">
        <v>670</v>
      </c>
      <c r="D171" s="1039" t="s">
        <v>697</v>
      </c>
      <c r="E171" s="1025">
        <v>80111600</v>
      </c>
      <c r="F171" s="1053" t="s">
        <v>873</v>
      </c>
      <c r="G171" s="1054" t="s">
        <v>1440</v>
      </c>
      <c r="H171" s="1054" t="s">
        <v>1440</v>
      </c>
      <c r="I171" s="1054" t="s">
        <v>1486</v>
      </c>
      <c r="J171" s="1043" t="s">
        <v>1479</v>
      </c>
      <c r="K171" s="1027" t="s">
        <v>676</v>
      </c>
      <c r="L171" s="1055" t="s">
        <v>677</v>
      </c>
      <c r="M171" s="1030">
        <v>41400000</v>
      </c>
      <c r="N171" s="1056" t="s">
        <v>732</v>
      </c>
      <c r="O171" s="1056" t="s">
        <v>1480</v>
      </c>
      <c r="P171" s="1056"/>
      <c r="Q171" s="1027"/>
      <c r="R171" s="1022"/>
      <c r="S171" s="1130">
        <v>92</v>
      </c>
      <c r="T171" s="1156">
        <v>41400000</v>
      </c>
    </row>
    <row r="172" spans="1:20" s="995" customFormat="1" ht="63.75" x14ac:dyDescent="0.25">
      <c r="A172" s="1023">
        <v>2022166</v>
      </c>
      <c r="B172" s="1023">
        <v>7655</v>
      </c>
      <c r="C172" s="1023" t="s">
        <v>670</v>
      </c>
      <c r="D172" s="1039" t="s">
        <v>697</v>
      </c>
      <c r="E172" s="1025">
        <v>80111600</v>
      </c>
      <c r="F172" s="1053" t="s">
        <v>874</v>
      </c>
      <c r="G172" s="1054" t="s">
        <v>1440</v>
      </c>
      <c r="H172" s="1054" t="s">
        <v>1440</v>
      </c>
      <c r="I172" s="1054" t="s">
        <v>1486</v>
      </c>
      <c r="J172" s="1043" t="s">
        <v>1479</v>
      </c>
      <c r="K172" s="1027" t="s">
        <v>676</v>
      </c>
      <c r="L172" s="1055" t="s">
        <v>677</v>
      </c>
      <c r="M172" s="1030">
        <v>41400000</v>
      </c>
      <c r="N172" s="1056" t="s">
        <v>732</v>
      </c>
      <c r="O172" s="1056" t="s">
        <v>1480</v>
      </c>
      <c r="P172" s="1056"/>
      <c r="Q172" s="1027"/>
      <c r="R172" s="1022"/>
      <c r="S172" s="1130">
        <v>116</v>
      </c>
      <c r="T172" s="1156">
        <v>36225000</v>
      </c>
    </row>
    <row r="173" spans="1:20" s="995" customFormat="1" ht="63.75" x14ac:dyDescent="0.25">
      <c r="A173" s="1023">
        <v>2022167</v>
      </c>
      <c r="B173" s="1023">
        <v>7655</v>
      </c>
      <c r="C173" s="1023" t="s">
        <v>670</v>
      </c>
      <c r="D173" s="1039" t="s">
        <v>697</v>
      </c>
      <c r="E173" s="1025">
        <v>80111600</v>
      </c>
      <c r="F173" s="1053" t="s">
        <v>875</v>
      </c>
      <c r="G173" s="1054" t="s">
        <v>1440</v>
      </c>
      <c r="H173" s="1054" t="s">
        <v>1440</v>
      </c>
      <c r="I173" s="1054" t="s">
        <v>1442</v>
      </c>
      <c r="J173" s="1043" t="s">
        <v>1479</v>
      </c>
      <c r="K173" s="1027" t="s">
        <v>676</v>
      </c>
      <c r="L173" s="1055" t="s">
        <v>677</v>
      </c>
      <c r="M173" s="1030">
        <v>80036000</v>
      </c>
      <c r="N173" s="1056" t="s">
        <v>732</v>
      </c>
      <c r="O173" s="1056" t="s">
        <v>1480</v>
      </c>
      <c r="P173" s="1056"/>
      <c r="Q173" s="1027"/>
      <c r="R173" s="1022"/>
      <c r="S173" s="1130">
        <v>70</v>
      </c>
      <c r="T173" s="1156">
        <v>80036000</v>
      </c>
    </row>
    <row r="174" spans="1:20" s="995" customFormat="1" ht="63.75" x14ac:dyDescent="0.25">
      <c r="A174" s="1023">
        <v>2022168</v>
      </c>
      <c r="B174" s="1023">
        <v>7655</v>
      </c>
      <c r="C174" s="1023" t="s">
        <v>670</v>
      </c>
      <c r="D174" s="1039" t="s">
        <v>697</v>
      </c>
      <c r="E174" s="1025">
        <v>80111600</v>
      </c>
      <c r="F174" s="1053" t="s">
        <v>873</v>
      </c>
      <c r="G174" s="1054" t="s">
        <v>1440</v>
      </c>
      <c r="H174" s="1054" t="s">
        <v>1440</v>
      </c>
      <c r="I174" s="1054" t="s">
        <v>1484</v>
      </c>
      <c r="J174" s="1043" t="s">
        <v>1479</v>
      </c>
      <c r="K174" s="1027" t="s">
        <v>676</v>
      </c>
      <c r="L174" s="1055" t="s">
        <v>677</v>
      </c>
      <c r="M174" s="1030">
        <v>60000000</v>
      </c>
      <c r="N174" s="1056" t="s">
        <v>732</v>
      </c>
      <c r="O174" s="1056" t="s">
        <v>1480</v>
      </c>
      <c r="P174" s="1056"/>
      <c r="Q174" s="1027"/>
      <c r="R174" s="1022"/>
      <c r="S174" s="1130">
        <v>93</v>
      </c>
      <c r="T174" s="1156">
        <v>60000000</v>
      </c>
    </row>
    <row r="175" spans="1:20" s="995" customFormat="1" ht="102" x14ac:dyDescent="0.25">
      <c r="A175" s="1023">
        <v>2022169</v>
      </c>
      <c r="B175" s="1023">
        <v>7655</v>
      </c>
      <c r="C175" s="1023" t="s">
        <v>670</v>
      </c>
      <c r="D175" s="1039" t="s">
        <v>697</v>
      </c>
      <c r="E175" s="1025">
        <v>80111600</v>
      </c>
      <c r="F175" s="1053" t="s">
        <v>871</v>
      </c>
      <c r="G175" s="1054" t="s">
        <v>1440</v>
      </c>
      <c r="H175" s="1054" t="s">
        <v>1440</v>
      </c>
      <c r="I175" s="1054" t="s">
        <v>1442</v>
      </c>
      <c r="J175" s="1043" t="s">
        <v>1479</v>
      </c>
      <c r="K175" s="1027" t="s">
        <v>676</v>
      </c>
      <c r="L175" s="1055" t="s">
        <v>677</v>
      </c>
      <c r="M175" s="1030">
        <v>34155000</v>
      </c>
      <c r="N175" s="1056" t="s">
        <v>732</v>
      </c>
      <c r="O175" s="1056" t="s">
        <v>1480</v>
      </c>
      <c r="P175" s="1056"/>
      <c r="Q175" s="1027"/>
      <c r="R175" s="1022"/>
      <c r="S175" s="1130">
        <v>170</v>
      </c>
      <c r="T175" s="1156">
        <v>36850000</v>
      </c>
    </row>
    <row r="176" spans="1:20" s="995" customFormat="1" ht="63.75" x14ac:dyDescent="0.25">
      <c r="A176" s="1023">
        <v>2022170</v>
      </c>
      <c r="B176" s="1023">
        <v>7655</v>
      </c>
      <c r="C176" s="1023" t="s">
        <v>670</v>
      </c>
      <c r="D176" s="1039" t="s">
        <v>697</v>
      </c>
      <c r="E176" s="1025">
        <v>80111600</v>
      </c>
      <c r="F176" s="1053" t="s">
        <v>874</v>
      </c>
      <c r="G176" s="1054" t="s">
        <v>1440</v>
      </c>
      <c r="H176" s="1054" t="s">
        <v>1440</v>
      </c>
      <c r="I176" s="1054" t="s">
        <v>1481</v>
      </c>
      <c r="J176" s="1043" t="s">
        <v>1479</v>
      </c>
      <c r="K176" s="1027" t="s">
        <v>676</v>
      </c>
      <c r="L176" s="1055" t="s">
        <v>677</v>
      </c>
      <c r="M176" s="1030">
        <v>26082000</v>
      </c>
      <c r="N176" s="1056" t="s">
        <v>732</v>
      </c>
      <c r="O176" s="1056" t="s">
        <v>1480</v>
      </c>
      <c r="P176" s="1056"/>
      <c r="Q176" s="1027"/>
      <c r="R176" s="1022"/>
      <c r="S176" s="1130">
        <v>187</v>
      </c>
      <c r="T176" s="1156">
        <v>26082000</v>
      </c>
    </row>
    <row r="177" spans="1:20" s="995" customFormat="1" ht="63.75" x14ac:dyDescent="0.25">
      <c r="A177" s="1023">
        <v>2022171</v>
      </c>
      <c r="B177" s="1023">
        <v>7655</v>
      </c>
      <c r="C177" s="1023" t="s">
        <v>670</v>
      </c>
      <c r="D177" s="1039" t="s">
        <v>697</v>
      </c>
      <c r="E177" s="1025">
        <v>80111600</v>
      </c>
      <c r="F177" s="1053" t="s">
        <v>876</v>
      </c>
      <c r="G177" s="1054" t="s">
        <v>1440</v>
      </c>
      <c r="H177" s="1054" t="s">
        <v>1440</v>
      </c>
      <c r="I177" s="1054" t="s">
        <v>1482</v>
      </c>
      <c r="J177" s="1043" t="s">
        <v>1479</v>
      </c>
      <c r="K177" s="1027" t="s">
        <v>676</v>
      </c>
      <c r="L177" s="1055" t="s">
        <v>677</v>
      </c>
      <c r="M177" s="1030">
        <v>36225000</v>
      </c>
      <c r="N177" s="1056" t="s">
        <v>732</v>
      </c>
      <c r="O177" s="1056" t="s">
        <v>1480</v>
      </c>
      <c r="P177" s="1056"/>
      <c r="Q177" s="1027"/>
      <c r="R177" s="1022"/>
      <c r="S177" s="1130">
        <v>281</v>
      </c>
      <c r="T177" s="1156">
        <v>36225000</v>
      </c>
    </row>
    <row r="178" spans="1:20" s="995" customFormat="1" ht="63.75" x14ac:dyDescent="0.25">
      <c r="A178" s="1023">
        <v>2022172</v>
      </c>
      <c r="B178" s="1023">
        <v>7655</v>
      </c>
      <c r="C178" s="1023" t="s">
        <v>670</v>
      </c>
      <c r="D178" s="1039" t="s">
        <v>697</v>
      </c>
      <c r="E178" s="1025">
        <v>80111600</v>
      </c>
      <c r="F178" s="1053" t="s">
        <v>873</v>
      </c>
      <c r="G178" s="1054" t="s">
        <v>1440</v>
      </c>
      <c r="H178" s="1054" t="s">
        <v>1440</v>
      </c>
      <c r="I178" s="1054" t="s">
        <v>1482</v>
      </c>
      <c r="J178" s="1043" t="s">
        <v>1479</v>
      </c>
      <c r="K178" s="1027" t="s">
        <v>676</v>
      </c>
      <c r="L178" s="1055" t="s">
        <v>677</v>
      </c>
      <c r="M178" s="1030">
        <v>36225000</v>
      </c>
      <c r="N178" s="1056" t="s">
        <v>732</v>
      </c>
      <c r="O178" s="1056" t="s">
        <v>1480</v>
      </c>
      <c r="P178" s="1056"/>
      <c r="Q178" s="1027"/>
      <c r="R178" s="1022"/>
      <c r="S178" s="1130">
        <v>338</v>
      </c>
      <c r="T178" s="1156">
        <v>36225000</v>
      </c>
    </row>
    <row r="179" spans="1:20" s="995" customFormat="1" ht="63.75" x14ac:dyDescent="0.25">
      <c r="A179" s="1023">
        <v>2022173</v>
      </c>
      <c r="B179" s="1023">
        <v>7655</v>
      </c>
      <c r="C179" s="1023" t="s">
        <v>670</v>
      </c>
      <c r="D179" s="1039" t="s">
        <v>697</v>
      </c>
      <c r="E179" s="1025">
        <v>80111600</v>
      </c>
      <c r="F179" s="1053" t="s">
        <v>877</v>
      </c>
      <c r="G179" s="1054" t="s">
        <v>1440</v>
      </c>
      <c r="H179" s="1054" t="s">
        <v>1440</v>
      </c>
      <c r="I179" s="1054" t="s">
        <v>1481</v>
      </c>
      <c r="J179" s="1043" t="s">
        <v>1479</v>
      </c>
      <c r="K179" s="1027" t="s">
        <v>676</v>
      </c>
      <c r="L179" s="1055" t="s">
        <v>677</v>
      </c>
      <c r="M179" s="1030">
        <v>12000000</v>
      </c>
      <c r="N179" s="1056" t="s">
        <v>732</v>
      </c>
      <c r="O179" s="1056" t="s">
        <v>1480</v>
      </c>
      <c r="P179" s="1056"/>
      <c r="Q179" s="1027"/>
      <c r="R179" s="1022"/>
      <c r="S179" s="1130">
        <v>391</v>
      </c>
      <c r="T179" s="1156">
        <v>10200000</v>
      </c>
    </row>
    <row r="180" spans="1:20" s="995" customFormat="1" ht="63.75" x14ac:dyDescent="0.25">
      <c r="A180" s="1013">
        <v>2022174</v>
      </c>
      <c r="B180" s="1013">
        <v>7655</v>
      </c>
      <c r="C180" s="1013" t="s">
        <v>670</v>
      </c>
      <c r="D180" s="1045" t="s">
        <v>697</v>
      </c>
      <c r="E180" s="1015">
        <v>80111600</v>
      </c>
      <c r="F180" s="1058" t="s">
        <v>878</v>
      </c>
      <c r="G180" s="1059" t="s">
        <v>1440</v>
      </c>
      <c r="H180" s="1059" t="s">
        <v>1454</v>
      </c>
      <c r="I180" s="1059" t="s">
        <v>1487</v>
      </c>
      <c r="J180" s="1049" t="s">
        <v>1479</v>
      </c>
      <c r="K180" s="1017" t="s">
        <v>676</v>
      </c>
      <c r="L180" s="1060" t="s">
        <v>677</v>
      </c>
      <c r="M180" s="1020">
        <v>282051000</v>
      </c>
      <c r="N180" s="1061" t="s">
        <v>732</v>
      </c>
      <c r="O180" s="1061" t="s">
        <v>1480</v>
      </c>
      <c r="P180" s="1061"/>
      <c r="Q180" s="1017"/>
      <c r="R180" s="1022"/>
      <c r="S180" s="1130"/>
      <c r="T180" s="1156"/>
    </row>
    <row r="181" spans="1:20" s="995" customFormat="1" ht="89.25" x14ac:dyDescent="0.25">
      <c r="A181" s="1013">
        <v>2022175</v>
      </c>
      <c r="B181" s="1013">
        <v>7655</v>
      </c>
      <c r="C181" s="1013" t="s">
        <v>670</v>
      </c>
      <c r="D181" s="1045" t="s">
        <v>703</v>
      </c>
      <c r="E181" s="1062">
        <v>80111600</v>
      </c>
      <c r="F181" s="1063" t="s">
        <v>879</v>
      </c>
      <c r="G181" s="1047" t="s">
        <v>1440</v>
      </c>
      <c r="H181" s="1018" t="s">
        <v>1440</v>
      </c>
      <c r="I181" s="1017" t="s">
        <v>1481</v>
      </c>
      <c r="J181" s="1064" t="s">
        <v>1488</v>
      </c>
      <c r="K181" s="1017" t="s">
        <v>676</v>
      </c>
      <c r="L181" s="1065" t="s">
        <v>677</v>
      </c>
      <c r="M181" s="1020">
        <v>1000000000</v>
      </c>
      <c r="N181" s="1066" t="s">
        <v>728</v>
      </c>
      <c r="O181" s="1061" t="s">
        <v>1480</v>
      </c>
      <c r="P181" s="1061"/>
      <c r="Q181" s="1017"/>
      <c r="R181" s="1022"/>
      <c r="S181" s="1130"/>
      <c r="T181" s="1156"/>
    </row>
    <row r="182" spans="1:20" s="995" customFormat="1" ht="54.75" customHeight="1" x14ac:dyDescent="0.25">
      <c r="A182" s="1013">
        <v>2022176</v>
      </c>
      <c r="B182" s="1013">
        <v>7655</v>
      </c>
      <c r="C182" s="1013" t="s">
        <v>670</v>
      </c>
      <c r="D182" s="1045" t="s">
        <v>703</v>
      </c>
      <c r="E182" s="1046">
        <v>80111600</v>
      </c>
      <c r="F182" s="1016" t="s">
        <v>880</v>
      </c>
      <c r="G182" s="1047" t="s">
        <v>1440</v>
      </c>
      <c r="H182" s="1018" t="s">
        <v>1440</v>
      </c>
      <c r="I182" s="1067" t="s">
        <v>1489</v>
      </c>
      <c r="J182" s="1049" t="s">
        <v>1479</v>
      </c>
      <c r="K182" s="1017" t="s">
        <v>676</v>
      </c>
      <c r="L182" s="1017" t="s">
        <v>677</v>
      </c>
      <c r="M182" s="1020">
        <f>80500000-42000000</f>
        <v>38500000</v>
      </c>
      <c r="N182" s="1066" t="s">
        <v>728</v>
      </c>
      <c r="O182" s="1061" t="s">
        <v>1480</v>
      </c>
      <c r="P182" s="1061"/>
      <c r="Q182" s="1017"/>
      <c r="R182" s="1022"/>
      <c r="S182" s="1130"/>
      <c r="T182" s="1156"/>
    </row>
    <row r="183" spans="1:20" s="995" customFormat="1" ht="76.5" x14ac:dyDescent="0.25">
      <c r="A183" s="1023">
        <v>2022177</v>
      </c>
      <c r="B183" s="1023">
        <v>7655</v>
      </c>
      <c r="C183" s="1023" t="s">
        <v>670</v>
      </c>
      <c r="D183" s="1039" t="s">
        <v>700</v>
      </c>
      <c r="E183" s="1040">
        <v>80111600</v>
      </c>
      <c r="F183" s="1068" t="s">
        <v>881</v>
      </c>
      <c r="G183" s="1054" t="s">
        <v>1440</v>
      </c>
      <c r="H183" s="1069" t="s">
        <v>1449</v>
      </c>
      <c r="I183" s="1054" t="s">
        <v>1442</v>
      </c>
      <c r="J183" s="1043" t="s">
        <v>1479</v>
      </c>
      <c r="K183" s="1027" t="s">
        <v>676</v>
      </c>
      <c r="L183" s="1070" t="s">
        <v>677</v>
      </c>
      <c r="M183" s="1030">
        <v>80000000</v>
      </c>
      <c r="N183" s="1056" t="s">
        <v>732</v>
      </c>
      <c r="O183" s="1056" t="s">
        <v>1480</v>
      </c>
      <c r="P183" s="1056"/>
      <c r="Q183" s="1027"/>
      <c r="R183" s="1022"/>
      <c r="S183" s="1130">
        <v>460</v>
      </c>
      <c r="T183" s="1156">
        <v>62700000</v>
      </c>
    </row>
    <row r="184" spans="1:20" s="995" customFormat="1" ht="63.75" x14ac:dyDescent="0.25">
      <c r="A184" s="1023">
        <v>2022178</v>
      </c>
      <c r="B184" s="1023">
        <v>7655</v>
      </c>
      <c r="C184" s="1023" t="s">
        <v>670</v>
      </c>
      <c r="D184" s="1039" t="s">
        <v>694</v>
      </c>
      <c r="E184" s="1040">
        <v>80111600</v>
      </c>
      <c r="F184" s="1068" t="s">
        <v>882</v>
      </c>
      <c r="G184" s="1054" t="s">
        <v>1440</v>
      </c>
      <c r="H184" s="1069" t="s">
        <v>1449</v>
      </c>
      <c r="I184" s="1054" t="s">
        <v>1484</v>
      </c>
      <c r="J184" s="1043" t="s">
        <v>1479</v>
      </c>
      <c r="K184" s="1027" t="s">
        <v>676</v>
      </c>
      <c r="L184" s="1070" t="s">
        <v>677</v>
      </c>
      <c r="M184" s="1030">
        <v>80000000</v>
      </c>
      <c r="N184" s="1056" t="s">
        <v>732</v>
      </c>
      <c r="O184" s="1056" t="s">
        <v>1480</v>
      </c>
      <c r="P184" s="1056"/>
      <c r="Q184" s="1027"/>
      <c r="R184" s="1022"/>
      <c r="S184" s="1130">
        <v>119</v>
      </c>
      <c r="T184" s="1156">
        <v>80000000</v>
      </c>
    </row>
    <row r="185" spans="1:20" s="995" customFormat="1" ht="63.75" x14ac:dyDescent="0.25">
      <c r="A185" s="1023">
        <v>2022179</v>
      </c>
      <c r="B185" s="1023">
        <v>7655</v>
      </c>
      <c r="C185" s="1023" t="s">
        <v>670</v>
      </c>
      <c r="D185" s="1039" t="s">
        <v>688</v>
      </c>
      <c r="E185" s="1071">
        <v>80111600</v>
      </c>
      <c r="F185" s="1068" t="s">
        <v>883</v>
      </c>
      <c r="G185" s="1054" t="s">
        <v>1440</v>
      </c>
      <c r="H185" s="1054" t="s">
        <v>1440</v>
      </c>
      <c r="I185" s="1054" t="s">
        <v>1485</v>
      </c>
      <c r="J185" s="1043" t="s">
        <v>1479</v>
      </c>
      <c r="K185" s="1027" t="s">
        <v>676</v>
      </c>
      <c r="L185" s="1070" t="s">
        <v>677</v>
      </c>
      <c r="M185" s="1030">
        <v>39371000</v>
      </c>
      <c r="N185" s="1044" t="s">
        <v>732</v>
      </c>
      <c r="O185" s="1056" t="s">
        <v>1480</v>
      </c>
      <c r="P185" s="1056"/>
      <c r="Q185" s="1027"/>
      <c r="R185" s="1022"/>
      <c r="S185" s="1130">
        <v>105</v>
      </c>
      <c r="T185" s="1156">
        <v>26247328</v>
      </c>
    </row>
    <row r="186" spans="1:20" s="995" customFormat="1" ht="63.75" x14ac:dyDescent="0.25">
      <c r="A186" s="1023">
        <v>2022180</v>
      </c>
      <c r="B186" s="1023">
        <v>7655</v>
      </c>
      <c r="C186" s="1023" t="s">
        <v>670</v>
      </c>
      <c r="D186" s="1039" t="s">
        <v>688</v>
      </c>
      <c r="E186" s="1071">
        <v>80111600</v>
      </c>
      <c r="F186" s="1068" t="s">
        <v>884</v>
      </c>
      <c r="G186" s="1054" t="s">
        <v>1440</v>
      </c>
      <c r="H186" s="1054" t="s">
        <v>1440</v>
      </c>
      <c r="I186" s="1054" t="s">
        <v>1485</v>
      </c>
      <c r="J186" s="1043" t="s">
        <v>1479</v>
      </c>
      <c r="K186" s="1027" t="s">
        <v>676</v>
      </c>
      <c r="L186" s="1070" t="s">
        <v>677</v>
      </c>
      <c r="M186" s="1030">
        <v>45697000</v>
      </c>
      <c r="N186" s="1044" t="s">
        <v>732</v>
      </c>
      <c r="O186" s="1056" t="s">
        <v>1480</v>
      </c>
      <c r="P186" s="1056"/>
      <c r="Q186" s="1027"/>
      <c r="R186" s="1022"/>
      <c r="S186" s="1130">
        <v>153</v>
      </c>
      <c r="T186" s="1156">
        <v>30464664</v>
      </c>
    </row>
    <row r="187" spans="1:20" s="995" customFormat="1" ht="63.75" x14ac:dyDescent="0.25">
      <c r="A187" s="1023">
        <v>2022181</v>
      </c>
      <c r="B187" s="1023">
        <v>7655</v>
      </c>
      <c r="C187" s="1023" t="s">
        <v>670</v>
      </c>
      <c r="D187" s="1039" t="s">
        <v>688</v>
      </c>
      <c r="E187" s="1071">
        <v>80111600</v>
      </c>
      <c r="F187" s="1068" t="s">
        <v>884</v>
      </c>
      <c r="G187" s="1054" t="s">
        <v>1440</v>
      </c>
      <c r="H187" s="1054" t="s">
        <v>1440</v>
      </c>
      <c r="I187" s="1054" t="s">
        <v>1485</v>
      </c>
      <c r="J187" s="1043" t="s">
        <v>1479</v>
      </c>
      <c r="K187" s="1027" t="s">
        <v>676</v>
      </c>
      <c r="L187" s="1070" t="s">
        <v>677</v>
      </c>
      <c r="M187" s="1030">
        <v>79351000</v>
      </c>
      <c r="N187" s="1044" t="s">
        <v>732</v>
      </c>
      <c r="O187" s="1056" t="s">
        <v>1480</v>
      </c>
      <c r="P187" s="1056"/>
      <c r="Q187" s="1027"/>
      <c r="R187" s="1022"/>
      <c r="S187" s="1130">
        <v>155</v>
      </c>
      <c r="T187" s="1156">
        <v>52900664</v>
      </c>
    </row>
    <row r="188" spans="1:20" s="995" customFormat="1" ht="63.75" x14ac:dyDescent="0.25">
      <c r="A188" s="1023">
        <v>2022182</v>
      </c>
      <c r="B188" s="1023">
        <v>7655</v>
      </c>
      <c r="C188" s="1023" t="s">
        <v>670</v>
      </c>
      <c r="D188" s="1039" t="s">
        <v>688</v>
      </c>
      <c r="E188" s="1071">
        <v>80111600</v>
      </c>
      <c r="F188" s="1068" t="s">
        <v>884</v>
      </c>
      <c r="G188" s="1054" t="s">
        <v>1440</v>
      </c>
      <c r="H188" s="1054" t="s">
        <v>1440</v>
      </c>
      <c r="I188" s="1054" t="s">
        <v>1485</v>
      </c>
      <c r="J188" s="1043" t="s">
        <v>1479</v>
      </c>
      <c r="K188" s="1027" t="s">
        <v>676</v>
      </c>
      <c r="L188" s="1070" t="s">
        <v>677</v>
      </c>
      <c r="M188" s="1030">
        <v>79351000</v>
      </c>
      <c r="N188" s="1044" t="s">
        <v>732</v>
      </c>
      <c r="O188" s="1056" t="s">
        <v>1480</v>
      </c>
      <c r="P188" s="1056"/>
      <c r="Q188" s="1027"/>
      <c r="R188" s="1022"/>
      <c r="S188" s="1130">
        <v>98</v>
      </c>
      <c r="T188" s="1156">
        <v>52900664</v>
      </c>
    </row>
    <row r="189" spans="1:20" s="995" customFormat="1" ht="63.75" x14ac:dyDescent="0.25">
      <c r="A189" s="1023">
        <v>2022183</v>
      </c>
      <c r="B189" s="1023">
        <v>7655</v>
      </c>
      <c r="C189" s="1023" t="s">
        <v>670</v>
      </c>
      <c r="D189" s="1039" t="s">
        <v>688</v>
      </c>
      <c r="E189" s="1071">
        <v>80111600</v>
      </c>
      <c r="F189" s="1068" t="s">
        <v>884</v>
      </c>
      <c r="G189" s="1054" t="s">
        <v>1440</v>
      </c>
      <c r="H189" s="1054" t="s">
        <v>1440</v>
      </c>
      <c r="I189" s="1054" t="s">
        <v>1485</v>
      </c>
      <c r="J189" s="1043" t="s">
        <v>1479</v>
      </c>
      <c r="K189" s="1027" t="s">
        <v>676</v>
      </c>
      <c r="L189" s="1070" t="s">
        <v>677</v>
      </c>
      <c r="M189" s="1030">
        <v>79351000</v>
      </c>
      <c r="N189" s="1044" t="s">
        <v>732</v>
      </c>
      <c r="O189" s="1056" t="s">
        <v>1480</v>
      </c>
      <c r="P189" s="1056"/>
      <c r="Q189" s="1027"/>
      <c r="R189" s="1022"/>
      <c r="S189" s="1130">
        <v>154</v>
      </c>
      <c r="T189" s="1156">
        <v>52900664</v>
      </c>
    </row>
    <row r="190" spans="1:20" s="995" customFormat="1" ht="63.75" x14ac:dyDescent="0.25">
      <c r="A190" s="1023">
        <v>2022184</v>
      </c>
      <c r="B190" s="1023">
        <v>7655</v>
      </c>
      <c r="C190" s="1023" t="s">
        <v>670</v>
      </c>
      <c r="D190" s="1039" t="s">
        <v>684</v>
      </c>
      <c r="E190" s="1040">
        <v>80111600</v>
      </c>
      <c r="F190" s="1026" t="s">
        <v>885</v>
      </c>
      <c r="G190" s="1041">
        <v>44566</v>
      </c>
      <c r="H190" s="1041">
        <v>44568</v>
      </c>
      <c r="I190" s="1054" t="s">
        <v>1490</v>
      </c>
      <c r="J190" s="1043" t="s">
        <v>1479</v>
      </c>
      <c r="K190" s="1027" t="s">
        <v>676</v>
      </c>
      <c r="L190" s="1029" t="s">
        <v>784</v>
      </c>
      <c r="M190" s="1030">
        <v>106950000</v>
      </c>
      <c r="N190" s="1044" t="s">
        <v>732</v>
      </c>
      <c r="O190" s="1056" t="s">
        <v>1480</v>
      </c>
      <c r="P190" s="1056"/>
      <c r="Q190" s="1027"/>
      <c r="R190" s="1022"/>
      <c r="S190" s="1130">
        <v>18</v>
      </c>
      <c r="T190" s="1156">
        <v>106950000</v>
      </c>
    </row>
    <row r="191" spans="1:20" s="995" customFormat="1" ht="63.75" x14ac:dyDescent="0.25">
      <c r="A191" s="1023">
        <v>2022185</v>
      </c>
      <c r="B191" s="1023">
        <v>7655</v>
      </c>
      <c r="C191" s="1023" t="s">
        <v>670</v>
      </c>
      <c r="D191" s="1039" t="s">
        <v>684</v>
      </c>
      <c r="E191" s="1040">
        <v>80111600</v>
      </c>
      <c r="F191" s="1026" t="s">
        <v>886</v>
      </c>
      <c r="G191" s="1041">
        <v>44566</v>
      </c>
      <c r="H191" s="1041">
        <v>44568</v>
      </c>
      <c r="I191" s="1054" t="s">
        <v>1490</v>
      </c>
      <c r="J191" s="1043" t="s">
        <v>1479</v>
      </c>
      <c r="K191" s="1027" t="s">
        <v>676</v>
      </c>
      <c r="L191" s="1029" t="s">
        <v>784</v>
      </c>
      <c r="M191" s="1030">
        <v>78200000</v>
      </c>
      <c r="N191" s="1044" t="s">
        <v>732</v>
      </c>
      <c r="O191" s="1056" t="s">
        <v>1480</v>
      </c>
      <c r="P191" s="1056"/>
      <c r="Q191" s="1027"/>
      <c r="R191" s="1022"/>
      <c r="S191" s="1130">
        <v>262</v>
      </c>
      <c r="T191" s="1156">
        <v>78200000</v>
      </c>
    </row>
    <row r="192" spans="1:20" s="995" customFormat="1" ht="63.75" x14ac:dyDescent="0.25">
      <c r="A192" s="1023">
        <v>2022186</v>
      </c>
      <c r="B192" s="1023">
        <v>7655</v>
      </c>
      <c r="C192" s="1023" t="s">
        <v>670</v>
      </c>
      <c r="D192" s="1039" t="s">
        <v>684</v>
      </c>
      <c r="E192" s="1040">
        <v>80111600</v>
      </c>
      <c r="F192" s="1026" t="s">
        <v>887</v>
      </c>
      <c r="G192" s="1041">
        <v>44566</v>
      </c>
      <c r="H192" s="1041">
        <v>44568</v>
      </c>
      <c r="I192" s="1054" t="s">
        <v>1490</v>
      </c>
      <c r="J192" s="1043" t="s">
        <v>1479</v>
      </c>
      <c r="K192" s="1027" t="s">
        <v>676</v>
      </c>
      <c r="L192" s="1029" t="s">
        <v>784</v>
      </c>
      <c r="M192" s="1030">
        <v>92000000</v>
      </c>
      <c r="N192" s="1044" t="s">
        <v>732</v>
      </c>
      <c r="O192" s="1056" t="s">
        <v>1480</v>
      </c>
      <c r="P192" s="1056"/>
      <c r="Q192" s="1027"/>
      <c r="R192" s="1022"/>
      <c r="S192" s="1130">
        <v>17</v>
      </c>
      <c r="T192" s="1156">
        <v>92000000</v>
      </c>
    </row>
    <row r="193" spans="1:20" s="995" customFormat="1" ht="76.5" x14ac:dyDescent="0.25">
      <c r="A193" s="1023">
        <v>2022187</v>
      </c>
      <c r="B193" s="1023">
        <v>7655</v>
      </c>
      <c r="C193" s="1023" t="s">
        <v>670</v>
      </c>
      <c r="D193" s="1039" t="s">
        <v>684</v>
      </c>
      <c r="E193" s="1040">
        <v>80111600</v>
      </c>
      <c r="F193" s="1026" t="s">
        <v>888</v>
      </c>
      <c r="G193" s="1041">
        <v>44566</v>
      </c>
      <c r="H193" s="1041">
        <v>44568</v>
      </c>
      <c r="I193" s="1054" t="s">
        <v>1490</v>
      </c>
      <c r="J193" s="1043" t="s">
        <v>1479</v>
      </c>
      <c r="K193" s="1027" t="s">
        <v>676</v>
      </c>
      <c r="L193" s="1029" t="s">
        <v>677</v>
      </c>
      <c r="M193" s="1030">
        <v>80500000</v>
      </c>
      <c r="N193" s="1044" t="s">
        <v>732</v>
      </c>
      <c r="O193" s="1056" t="s">
        <v>1480</v>
      </c>
      <c r="P193" s="1056"/>
      <c r="Q193" s="1027"/>
      <c r="R193" s="1022"/>
      <c r="S193" s="1130">
        <v>52</v>
      </c>
      <c r="T193" s="1156">
        <v>80500000</v>
      </c>
    </row>
    <row r="194" spans="1:20" s="995" customFormat="1" ht="63.75" x14ac:dyDescent="0.25">
      <c r="A194" s="1023">
        <v>2022188</v>
      </c>
      <c r="B194" s="1023">
        <v>7655</v>
      </c>
      <c r="C194" s="1023" t="s">
        <v>670</v>
      </c>
      <c r="D194" s="1039" t="s">
        <v>684</v>
      </c>
      <c r="E194" s="1040">
        <v>80111600</v>
      </c>
      <c r="F194" s="1026" t="s">
        <v>889</v>
      </c>
      <c r="G194" s="1041">
        <v>44566</v>
      </c>
      <c r="H194" s="1041">
        <v>44568</v>
      </c>
      <c r="I194" s="1054" t="s">
        <v>1490</v>
      </c>
      <c r="J194" s="1043" t="s">
        <v>1479</v>
      </c>
      <c r="K194" s="1027" t="s">
        <v>676</v>
      </c>
      <c r="L194" s="1029" t="s">
        <v>784</v>
      </c>
      <c r="M194" s="1030">
        <v>87975000</v>
      </c>
      <c r="N194" s="1044" t="s">
        <v>732</v>
      </c>
      <c r="O194" s="1056" t="s">
        <v>1480</v>
      </c>
      <c r="P194" s="1056"/>
      <c r="Q194" s="1027"/>
      <c r="R194" s="1022"/>
      <c r="S194" s="1130">
        <v>13</v>
      </c>
      <c r="T194" s="1156">
        <v>87975000</v>
      </c>
    </row>
    <row r="195" spans="1:20" s="995" customFormat="1" ht="63.75" x14ac:dyDescent="0.25">
      <c r="A195" s="1023">
        <v>2022189</v>
      </c>
      <c r="B195" s="1023">
        <v>7655</v>
      </c>
      <c r="C195" s="1023" t="s">
        <v>670</v>
      </c>
      <c r="D195" s="1039" t="s">
        <v>684</v>
      </c>
      <c r="E195" s="1040">
        <v>80111600</v>
      </c>
      <c r="F195" s="1026" t="s">
        <v>889</v>
      </c>
      <c r="G195" s="1041">
        <v>44566</v>
      </c>
      <c r="H195" s="1041">
        <v>44568</v>
      </c>
      <c r="I195" s="1054" t="s">
        <v>1490</v>
      </c>
      <c r="J195" s="1043" t="s">
        <v>1479</v>
      </c>
      <c r="K195" s="1027" t="s">
        <v>676</v>
      </c>
      <c r="L195" s="1029" t="s">
        <v>784</v>
      </c>
      <c r="M195" s="1030">
        <v>87975000</v>
      </c>
      <c r="N195" s="1044" t="s">
        <v>732</v>
      </c>
      <c r="O195" s="1056" t="s">
        <v>1480</v>
      </c>
      <c r="P195" s="1056"/>
      <c r="Q195" s="1027"/>
      <c r="R195" s="1022"/>
      <c r="S195" s="1130">
        <v>14</v>
      </c>
      <c r="T195" s="1156">
        <v>87975000</v>
      </c>
    </row>
    <row r="196" spans="1:20" s="995" customFormat="1" ht="63.75" x14ac:dyDescent="0.25">
      <c r="A196" s="1023">
        <v>2022190</v>
      </c>
      <c r="B196" s="1023">
        <v>7655</v>
      </c>
      <c r="C196" s="1023" t="s">
        <v>670</v>
      </c>
      <c r="D196" s="1039" t="s">
        <v>684</v>
      </c>
      <c r="E196" s="1040">
        <v>80111600</v>
      </c>
      <c r="F196" s="1026" t="s">
        <v>889</v>
      </c>
      <c r="G196" s="1041">
        <v>44566</v>
      </c>
      <c r="H196" s="1041">
        <v>44568</v>
      </c>
      <c r="I196" s="1054" t="s">
        <v>1490</v>
      </c>
      <c r="J196" s="1043" t="s">
        <v>1479</v>
      </c>
      <c r="K196" s="1027" t="s">
        <v>676</v>
      </c>
      <c r="L196" s="1029" t="s">
        <v>784</v>
      </c>
      <c r="M196" s="1030">
        <v>87975000</v>
      </c>
      <c r="N196" s="1044" t="s">
        <v>732</v>
      </c>
      <c r="O196" s="1056" t="s">
        <v>1480</v>
      </c>
      <c r="P196" s="1056"/>
      <c r="Q196" s="1027"/>
      <c r="R196" s="1022"/>
      <c r="S196" s="1130">
        <v>16</v>
      </c>
      <c r="T196" s="1156">
        <v>87975000</v>
      </c>
    </row>
    <row r="197" spans="1:20" s="995" customFormat="1" ht="63.75" x14ac:dyDescent="0.25">
      <c r="A197" s="1023">
        <v>2022191</v>
      </c>
      <c r="B197" s="1023">
        <v>7655</v>
      </c>
      <c r="C197" s="1023" t="s">
        <v>670</v>
      </c>
      <c r="D197" s="1039" t="s">
        <v>684</v>
      </c>
      <c r="E197" s="1040">
        <v>80111600</v>
      </c>
      <c r="F197" s="1026" t="s">
        <v>889</v>
      </c>
      <c r="G197" s="1041">
        <v>44566</v>
      </c>
      <c r="H197" s="1041">
        <v>44568</v>
      </c>
      <c r="I197" s="1054" t="s">
        <v>1490</v>
      </c>
      <c r="J197" s="1043" t="s">
        <v>1479</v>
      </c>
      <c r="K197" s="1027" t="s">
        <v>676</v>
      </c>
      <c r="L197" s="1029" t="s">
        <v>784</v>
      </c>
      <c r="M197" s="1030">
        <v>87975000</v>
      </c>
      <c r="N197" s="1044" t="s">
        <v>732</v>
      </c>
      <c r="O197" s="1056" t="s">
        <v>1480</v>
      </c>
      <c r="P197" s="1056"/>
      <c r="Q197" s="1027"/>
      <c r="R197" s="1022"/>
      <c r="S197" s="1130">
        <v>62</v>
      </c>
      <c r="T197" s="1156">
        <v>87975000</v>
      </c>
    </row>
    <row r="198" spans="1:20" s="995" customFormat="1" ht="63.75" x14ac:dyDescent="0.25">
      <c r="A198" s="1023">
        <v>2022192</v>
      </c>
      <c r="B198" s="1023">
        <v>7655</v>
      </c>
      <c r="C198" s="1023" t="s">
        <v>670</v>
      </c>
      <c r="D198" s="1039" t="s">
        <v>684</v>
      </c>
      <c r="E198" s="1040">
        <v>80111600</v>
      </c>
      <c r="F198" s="1026" t="s">
        <v>889</v>
      </c>
      <c r="G198" s="1041">
        <v>44566</v>
      </c>
      <c r="H198" s="1041">
        <v>44568</v>
      </c>
      <c r="I198" s="1054" t="s">
        <v>1490</v>
      </c>
      <c r="J198" s="1043" t="s">
        <v>1479</v>
      </c>
      <c r="K198" s="1027" t="s">
        <v>676</v>
      </c>
      <c r="L198" s="1029" t="s">
        <v>784</v>
      </c>
      <c r="M198" s="1030">
        <v>87975000</v>
      </c>
      <c r="N198" s="1044" t="s">
        <v>732</v>
      </c>
      <c r="O198" s="1056" t="s">
        <v>1480</v>
      </c>
      <c r="P198" s="1056"/>
      <c r="Q198" s="1027"/>
      <c r="R198" s="1022"/>
      <c r="S198" s="1130">
        <v>131</v>
      </c>
      <c r="T198" s="1156">
        <v>87975000</v>
      </c>
    </row>
    <row r="199" spans="1:20" s="995" customFormat="1" ht="63.75" x14ac:dyDescent="0.25">
      <c r="A199" s="1023">
        <v>2022193</v>
      </c>
      <c r="B199" s="1023">
        <v>7655</v>
      </c>
      <c r="C199" s="1023" t="s">
        <v>670</v>
      </c>
      <c r="D199" s="1039" t="s">
        <v>684</v>
      </c>
      <c r="E199" s="1040">
        <v>80111600</v>
      </c>
      <c r="F199" s="1026" t="s">
        <v>889</v>
      </c>
      <c r="G199" s="1041">
        <v>44566</v>
      </c>
      <c r="H199" s="1041">
        <v>44568</v>
      </c>
      <c r="I199" s="1054" t="s">
        <v>1490</v>
      </c>
      <c r="J199" s="1043" t="s">
        <v>1479</v>
      </c>
      <c r="K199" s="1027" t="s">
        <v>676</v>
      </c>
      <c r="L199" s="1029" t="s">
        <v>784</v>
      </c>
      <c r="M199" s="1030">
        <v>87975000</v>
      </c>
      <c r="N199" s="1044" t="s">
        <v>732</v>
      </c>
      <c r="O199" s="1056" t="s">
        <v>1480</v>
      </c>
      <c r="P199" s="1056"/>
      <c r="Q199" s="1027"/>
      <c r="R199" s="1022"/>
      <c r="S199" s="1130">
        <v>15</v>
      </c>
      <c r="T199" s="1156">
        <v>87975000</v>
      </c>
    </row>
    <row r="200" spans="1:20" s="995" customFormat="1" ht="63.75" x14ac:dyDescent="0.25">
      <c r="A200" s="1023">
        <v>2022194</v>
      </c>
      <c r="B200" s="1023">
        <v>7655</v>
      </c>
      <c r="C200" s="1023" t="s">
        <v>670</v>
      </c>
      <c r="D200" s="1039" t="s">
        <v>684</v>
      </c>
      <c r="E200" s="1040">
        <v>80111600</v>
      </c>
      <c r="F200" s="1026" t="s">
        <v>890</v>
      </c>
      <c r="G200" s="1041">
        <v>44566</v>
      </c>
      <c r="H200" s="1041">
        <v>44568</v>
      </c>
      <c r="I200" s="1054" t="s">
        <v>1490</v>
      </c>
      <c r="J200" s="1043" t="s">
        <v>1479</v>
      </c>
      <c r="K200" s="1027" t="s">
        <v>676</v>
      </c>
      <c r="L200" s="1029" t="s">
        <v>784</v>
      </c>
      <c r="M200" s="1030">
        <v>42642000</v>
      </c>
      <c r="N200" s="1044" t="s">
        <v>732</v>
      </c>
      <c r="O200" s="1056" t="s">
        <v>1480</v>
      </c>
      <c r="P200" s="1056"/>
      <c r="Q200" s="1027"/>
      <c r="R200" s="1022"/>
      <c r="S200" s="1130">
        <v>47</v>
      </c>
      <c r="T200" s="1156">
        <v>42642000</v>
      </c>
    </row>
    <row r="201" spans="1:20" s="995" customFormat="1" ht="63.75" x14ac:dyDescent="0.25">
      <c r="A201" s="1023">
        <v>2022195</v>
      </c>
      <c r="B201" s="1023">
        <v>7655</v>
      </c>
      <c r="C201" s="1023" t="s">
        <v>670</v>
      </c>
      <c r="D201" s="1039" t="s">
        <v>684</v>
      </c>
      <c r="E201" s="1040">
        <v>80111600</v>
      </c>
      <c r="F201" s="1026" t="s">
        <v>890</v>
      </c>
      <c r="G201" s="1041">
        <v>44566</v>
      </c>
      <c r="H201" s="1041">
        <v>44568</v>
      </c>
      <c r="I201" s="1054" t="s">
        <v>1490</v>
      </c>
      <c r="J201" s="1043" t="s">
        <v>1479</v>
      </c>
      <c r="K201" s="1027" t="s">
        <v>676</v>
      </c>
      <c r="L201" s="1029" t="s">
        <v>784</v>
      </c>
      <c r="M201" s="1030">
        <v>42642000</v>
      </c>
      <c r="N201" s="1044" t="s">
        <v>732</v>
      </c>
      <c r="O201" s="1056" t="s">
        <v>1480</v>
      </c>
      <c r="P201" s="1056"/>
      <c r="Q201" s="1027"/>
      <c r="R201" s="1022"/>
      <c r="S201" s="1130">
        <v>41</v>
      </c>
      <c r="T201" s="1156">
        <v>42642000</v>
      </c>
    </row>
    <row r="202" spans="1:20" s="995" customFormat="1" ht="63.75" x14ac:dyDescent="0.25">
      <c r="A202" s="1023">
        <v>2022196</v>
      </c>
      <c r="B202" s="1023">
        <v>7655</v>
      </c>
      <c r="C202" s="1023" t="s">
        <v>670</v>
      </c>
      <c r="D202" s="1039" t="s">
        <v>684</v>
      </c>
      <c r="E202" s="1040">
        <v>80111600</v>
      </c>
      <c r="F202" s="1026" t="s">
        <v>889</v>
      </c>
      <c r="G202" s="1041">
        <v>44566</v>
      </c>
      <c r="H202" s="1041">
        <v>44568</v>
      </c>
      <c r="I202" s="1054" t="s">
        <v>1491</v>
      </c>
      <c r="J202" s="1043" t="s">
        <v>1479</v>
      </c>
      <c r="K202" s="1027" t="s">
        <v>676</v>
      </c>
      <c r="L202" s="1029" t="s">
        <v>784</v>
      </c>
      <c r="M202" s="1030">
        <v>71103000</v>
      </c>
      <c r="N202" s="1044" t="s">
        <v>732</v>
      </c>
      <c r="O202" s="1056" t="s">
        <v>1480</v>
      </c>
      <c r="P202" s="1056"/>
      <c r="Q202" s="1027"/>
      <c r="R202" s="1022"/>
      <c r="S202" s="1130">
        <v>86</v>
      </c>
      <c r="T202" s="1156">
        <v>70890000</v>
      </c>
    </row>
    <row r="203" spans="1:20" s="995" customFormat="1" ht="63.75" x14ac:dyDescent="0.25">
      <c r="A203" s="1023">
        <v>2022197</v>
      </c>
      <c r="B203" s="1023">
        <v>7655</v>
      </c>
      <c r="C203" s="1023" t="s">
        <v>670</v>
      </c>
      <c r="D203" s="1039" t="s">
        <v>684</v>
      </c>
      <c r="E203" s="1040">
        <v>80111600</v>
      </c>
      <c r="F203" s="1026" t="s">
        <v>891</v>
      </c>
      <c r="G203" s="1041">
        <v>44566</v>
      </c>
      <c r="H203" s="1041">
        <v>44568</v>
      </c>
      <c r="I203" s="1054" t="s">
        <v>1490</v>
      </c>
      <c r="J203" s="1043" t="s">
        <v>1479</v>
      </c>
      <c r="K203" s="1027" t="s">
        <v>676</v>
      </c>
      <c r="L203" s="1029" t="s">
        <v>784</v>
      </c>
      <c r="M203" s="1030">
        <v>61295000</v>
      </c>
      <c r="N203" s="1044" t="s">
        <v>732</v>
      </c>
      <c r="O203" s="1056" t="s">
        <v>1480</v>
      </c>
      <c r="P203" s="1056"/>
      <c r="Q203" s="1027"/>
      <c r="R203" s="1022"/>
      <c r="S203" s="1130">
        <v>12</v>
      </c>
      <c r="T203" s="1156">
        <v>61295000</v>
      </c>
    </row>
    <row r="204" spans="1:20" s="995" customFormat="1" ht="63.75" x14ac:dyDescent="0.25">
      <c r="A204" s="1023">
        <v>2022198</v>
      </c>
      <c r="B204" s="1023">
        <v>7655</v>
      </c>
      <c r="C204" s="1023" t="s">
        <v>670</v>
      </c>
      <c r="D204" s="1039" t="s">
        <v>684</v>
      </c>
      <c r="E204" s="1040">
        <v>80111600</v>
      </c>
      <c r="F204" s="1026" t="s">
        <v>892</v>
      </c>
      <c r="G204" s="1041">
        <v>44566</v>
      </c>
      <c r="H204" s="1041">
        <v>44568</v>
      </c>
      <c r="I204" s="1054" t="s">
        <v>1490</v>
      </c>
      <c r="J204" s="1043" t="s">
        <v>1479</v>
      </c>
      <c r="K204" s="1027" t="s">
        <v>676</v>
      </c>
      <c r="L204" s="1029" t="s">
        <v>784</v>
      </c>
      <c r="M204" s="1030">
        <v>358041000</v>
      </c>
      <c r="N204" s="1044" t="s">
        <v>732</v>
      </c>
      <c r="O204" s="1056" t="s">
        <v>1480</v>
      </c>
      <c r="P204" s="1056"/>
      <c r="Q204" s="1027"/>
      <c r="R204" s="1022"/>
      <c r="S204" s="1130">
        <v>299</v>
      </c>
      <c r="T204" s="1156">
        <v>358041000</v>
      </c>
    </row>
    <row r="205" spans="1:20" s="995" customFormat="1" ht="63.75" x14ac:dyDescent="0.25">
      <c r="A205" s="1023">
        <v>2022199</v>
      </c>
      <c r="B205" s="1023">
        <v>7655</v>
      </c>
      <c r="C205" s="1023" t="s">
        <v>670</v>
      </c>
      <c r="D205" s="1039" t="s">
        <v>684</v>
      </c>
      <c r="E205" s="1040">
        <v>80111600</v>
      </c>
      <c r="F205" s="1026" t="s">
        <v>893</v>
      </c>
      <c r="G205" s="1041">
        <v>44566</v>
      </c>
      <c r="H205" s="1041">
        <v>44568</v>
      </c>
      <c r="I205" s="1054" t="s">
        <v>1490</v>
      </c>
      <c r="J205" s="1043" t="s">
        <v>1479</v>
      </c>
      <c r="K205" s="1027" t="s">
        <v>676</v>
      </c>
      <c r="L205" s="1029" t="s">
        <v>677</v>
      </c>
      <c r="M205" s="1030">
        <v>38525000</v>
      </c>
      <c r="N205" s="1044" t="s">
        <v>732</v>
      </c>
      <c r="O205" s="1056" t="s">
        <v>1480</v>
      </c>
      <c r="P205" s="1056"/>
      <c r="Q205" s="1027"/>
      <c r="R205" s="1022"/>
      <c r="S205" s="1130">
        <v>120</v>
      </c>
      <c r="T205" s="1156">
        <v>38525000</v>
      </c>
    </row>
    <row r="206" spans="1:20" s="995" customFormat="1" ht="63.75" x14ac:dyDescent="0.25">
      <c r="A206" s="1023">
        <v>2022200</v>
      </c>
      <c r="B206" s="1023">
        <v>7655</v>
      </c>
      <c r="C206" s="1023" t="s">
        <v>670</v>
      </c>
      <c r="D206" s="1039" t="s">
        <v>684</v>
      </c>
      <c r="E206" s="1040">
        <v>80111600</v>
      </c>
      <c r="F206" s="1026" t="s">
        <v>894</v>
      </c>
      <c r="G206" s="1041">
        <v>44566</v>
      </c>
      <c r="H206" s="1041">
        <v>44568</v>
      </c>
      <c r="I206" s="1054" t="s">
        <v>1490</v>
      </c>
      <c r="J206" s="1043" t="s">
        <v>1479</v>
      </c>
      <c r="K206" s="1027" t="s">
        <v>676</v>
      </c>
      <c r="L206" s="1029" t="s">
        <v>677</v>
      </c>
      <c r="M206" s="1030">
        <v>32200000</v>
      </c>
      <c r="N206" s="1044" t="s">
        <v>732</v>
      </c>
      <c r="O206" s="1056" t="s">
        <v>1480</v>
      </c>
      <c r="P206" s="1056"/>
      <c r="Q206" s="1027"/>
      <c r="R206" s="1022"/>
      <c r="S206" s="1130">
        <v>40</v>
      </c>
      <c r="T206" s="1156">
        <v>32200000</v>
      </c>
    </row>
    <row r="207" spans="1:20" s="995" customFormat="1" ht="63.75" x14ac:dyDescent="0.25">
      <c r="A207" s="1023">
        <v>2022201</v>
      </c>
      <c r="B207" s="1023">
        <v>7655</v>
      </c>
      <c r="C207" s="1023" t="s">
        <v>670</v>
      </c>
      <c r="D207" s="1039" t="s">
        <v>684</v>
      </c>
      <c r="E207" s="1040">
        <v>80111600</v>
      </c>
      <c r="F207" s="1026" t="s">
        <v>894</v>
      </c>
      <c r="G207" s="1041">
        <v>44566</v>
      </c>
      <c r="H207" s="1041">
        <v>44568</v>
      </c>
      <c r="I207" s="1054" t="s">
        <v>1490</v>
      </c>
      <c r="J207" s="1043" t="s">
        <v>1479</v>
      </c>
      <c r="K207" s="1027" t="s">
        <v>676</v>
      </c>
      <c r="L207" s="1029" t="s">
        <v>677</v>
      </c>
      <c r="M207" s="1030">
        <v>32200000</v>
      </c>
      <c r="N207" s="1044" t="s">
        <v>732</v>
      </c>
      <c r="O207" s="1056" t="s">
        <v>1480</v>
      </c>
      <c r="P207" s="1056"/>
      <c r="Q207" s="1027"/>
      <c r="R207" s="1022"/>
      <c r="S207" s="1130">
        <v>57</v>
      </c>
      <c r="T207" s="1156">
        <v>32200000</v>
      </c>
    </row>
    <row r="208" spans="1:20" s="995" customFormat="1" ht="63.75" x14ac:dyDescent="0.25">
      <c r="A208" s="1023">
        <v>2022202</v>
      </c>
      <c r="B208" s="1023">
        <v>7655</v>
      </c>
      <c r="C208" s="1023" t="s">
        <v>670</v>
      </c>
      <c r="D208" s="1039" t="s">
        <v>684</v>
      </c>
      <c r="E208" s="1040">
        <v>80111600</v>
      </c>
      <c r="F208" s="1026" t="s">
        <v>894</v>
      </c>
      <c r="G208" s="1041">
        <v>44566</v>
      </c>
      <c r="H208" s="1041">
        <v>44568</v>
      </c>
      <c r="I208" s="1054" t="s">
        <v>1490</v>
      </c>
      <c r="J208" s="1043" t="s">
        <v>1479</v>
      </c>
      <c r="K208" s="1027" t="s">
        <v>676</v>
      </c>
      <c r="L208" s="1029" t="s">
        <v>677</v>
      </c>
      <c r="M208" s="1030">
        <v>32200000</v>
      </c>
      <c r="N208" s="1044" t="s">
        <v>732</v>
      </c>
      <c r="O208" s="1056" t="s">
        <v>1480</v>
      </c>
      <c r="P208" s="1056"/>
      <c r="Q208" s="1027"/>
      <c r="R208" s="1022"/>
      <c r="S208" s="1130">
        <v>125</v>
      </c>
      <c r="T208" s="1156">
        <v>32200000</v>
      </c>
    </row>
    <row r="209" spans="1:20" s="995" customFormat="1" ht="63.75" x14ac:dyDescent="0.25">
      <c r="A209" s="1023">
        <v>2022203</v>
      </c>
      <c r="B209" s="1023">
        <v>7655</v>
      </c>
      <c r="C209" s="1023" t="s">
        <v>670</v>
      </c>
      <c r="D209" s="1039" t="s">
        <v>684</v>
      </c>
      <c r="E209" s="1040">
        <v>80111600</v>
      </c>
      <c r="F209" s="1026" t="s">
        <v>894</v>
      </c>
      <c r="G209" s="1041">
        <v>44566</v>
      </c>
      <c r="H209" s="1041">
        <v>44568</v>
      </c>
      <c r="I209" s="1054" t="s">
        <v>1490</v>
      </c>
      <c r="J209" s="1043" t="s">
        <v>1479</v>
      </c>
      <c r="K209" s="1027" t="s">
        <v>676</v>
      </c>
      <c r="L209" s="1029" t="s">
        <v>677</v>
      </c>
      <c r="M209" s="1030">
        <v>37950000</v>
      </c>
      <c r="N209" s="1044" t="s">
        <v>732</v>
      </c>
      <c r="O209" s="1056" t="s">
        <v>1480</v>
      </c>
      <c r="P209" s="1056"/>
      <c r="Q209" s="1027"/>
      <c r="R209" s="1022"/>
      <c r="S209" s="1130">
        <v>46</v>
      </c>
      <c r="T209" s="1156">
        <v>37950000</v>
      </c>
    </row>
    <row r="210" spans="1:20" s="995" customFormat="1" ht="63.75" x14ac:dyDescent="0.25">
      <c r="A210" s="1023">
        <v>2022204</v>
      </c>
      <c r="B210" s="1023">
        <v>7655</v>
      </c>
      <c r="C210" s="1023" t="s">
        <v>670</v>
      </c>
      <c r="D210" s="1039" t="s">
        <v>684</v>
      </c>
      <c r="E210" s="1040">
        <v>80111600</v>
      </c>
      <c r="F210" s="1026" t="s">
        <v>895</v>
      </c>
      <c r="G210" s="1041">
        <v>44566</v>
      </c>
      <c r="H210" s="1041">
        <v>44568</v>
      </c>
      <c r="I210" s="1054" t="s">
        <v>1490</v>
      </c>
      <c r="J210" s="1043" t="s">
        <v>1479</v>
      </c>
      <c r="K210" s="1027" t="s">
        <v>676</v>
      </c>
      <c r="L210" s="1029" t="s">
        <v>677</v>
      </c>
      <c r="M210" s="1030">
        <v>52900000</v>
      </c>
      <c r="N210" s="1044" t="s">
        <v>732</v>
      </c>
      <c r="O210" s="1056" t="s">
        <v>1480</v>
      </c>
      <c r="P210" s="1056"/>
      <c r="Q210" s="1027"/>
      <c r="R210" s="1022"/>
      <c r="S210" s="1130">
        <v>42</v>
      </c>
      <c r="T210" s="1156">
        <v>51750000</v>
      </c>
    </row>
    <row r="211" spans="1:20" s="995" customFormat="1" ht="63.75" x14ac:dyDescent="0.25">
      <c r="A211" s="1023">
        <v>2022205</v>
      </c>
      <c r="B211" s="1023">
        <v>7655</v>
      </c>
      <c r="C211" s="1023" t="s">
        <v>670</v>
      </c>
      <c r="D211" s="1039" t="s">
        <v>684</v>
      </c>
      <c r="E211" s="1040">
        <v>80111600</v>
      </c>
      <c r="F211" s="1026" t="s">
        <v>896</v>
      </c>
      <c r="G211" s="1041">
        <v>44566</v>
      </c>
      <c r="H211" s="1041">
        <v>44568</v>
      </c>
      <c r="I211" s="1054" t="s">
        <v>1481</v>
      </c>
      <c r="J211" s="1043" t="s">
        <v>1479</v>
      </c>
      <c r="K211" s="1027" t="s">
        <v>676</v>
      </c>
      <c r="L211" s="1029" t="s">
        <v>677</v>
      </c>
      <c r="M211" s="1030">
        <v>37080000</v>
      </c>
      <c r="N211" s="1044" t="s">
        <v>732</v>
      </c>
      <c r="O211" s="1056" t="s">
        <v>1480</v>
      </c>
      <c r="P211" s="1056"/>
      <c r="Q211" s="1027"/>
      <c r="R211" s="1022"/>
      <c r="S211" s="1130">
        <v>58</v>
      </c>
      <c r="T211" s="1156">
        <v>37080000</v>
      </c>
    </row>
    <row r="212" spans="1:20" s="995" customFormat="1" ht="63.75" x14ac:dyDescent="0.25">
      <c r="A212" s="1023">
        <v>2022206</v>
      </c>
      <c r="B212" s="1023">
        <v>7655</v>
      </c>
      <c r="C212" s="1023" t="s">
        <v>670</v>
      </c>
      <c r="D212" s="1039" t="s">
        <v>684</v>
      </c>
      <c r="E212" s="1040">
        <v>80111600</v>
      </c>
      <c r="F212" s="1026" t="s">
        <v>897</v>
      </c>
      <c r="G212" s="1041">
        <v>44566</v>
      </c>
      <c r="H212" s="1041">
        <v>44568</v>
      </c>
      <c r="I212" s="1054" t="s">
        <v>1481</v>
      </c>
      <c r="J212" s="1043" t="s">
        <v>1479</v>
      </c>
      <c r="K212" s="1027" t="s">
        <v>676</v>
      </c>
      <c r="L212" s="1029" t="s">
        <v>677</v>
      </c>
      <c r="M212" s="1030">
        <v>16800000</v>
      </c>
      <c r="N212" s="1044" t="s">
        <v>732</v>
      </c>
      <c r="O212" s="1056" t="s">
        <v>1480</v>
      </c>
      <c r="P212" s="1056"/>
      <c r="Q212" s="1027"/>
      <c r="R212" s="1022"/>
      <c r="S212" s="1130">
        <v>39</v>
      </c>
      <c r="T212" s="1156">
        <v>16800000</v>
      </c>
    </row>
    <row r="213" spans="1:20" s="995" customFormat="1" ht="63.75" x14ac:dyDescent="0.25">
      <c r="A213" s="1023">
        <v>2022207</v>
      </c>
      <c r="B213" s="1023">
        <v>7655</v>
      </c>
      <c r="C213" s="1023" t="s">
        <v>670</v>
      </c>
      <c r="D213" s="1039" t="s">
        <v>684</v>
      </c>
      <c r="E213" s="1040">
        <v>80111600</v>
      </c>
      <c r="F213" s="1026" t="s">
        <v>898</v>
      </c>
      <c r="G213" s="1041">
        <v>44566</v>
      </c>
      <c r="H213" s="1041">
        <v>44568</v>
      </c>
      <c r="I213" s="1054" t="s">
        <v>1492</v>
      </c>
      <c r="J213" s="1043" t="s">
        <v>1479</v>
      </c>
      <c r="K213" s="1027" t="s">
        <v>676</v>
      </c>
      <c r="L213" s="1029" t="s">
        <v>677</v>
      </c>
      <c r="M213" s="1030">
        <v>17500000</v>
      </c>
      <c r="N213" s="1044" t="s">
        <v>732</v>
      </c>
      <c r="O213" s="1056" t="s">
        <v>1480</v>
      </c>
      <c r="P213" s="1056"/>
      <c r="Q213" s="1027"/>
      <c r="R213" s="1022"/>
      <c r="S213" s="1130">
        <v>64</v>
      </c>
      <c r="T213" s="1156">
        <v>17500000</v>
      </c>
    </row>
    <row r="214" spans="1:20" s="995" customFormat="1" ht="76.5" x14ac:dyDescent="0.25">
      <c r="A214" s="1023">
        <v>2022208</v>
      </c>
      <c r="B214" s="1023">
        <v>7655</v>
      </c>
      <c r="C214" s="1023" t="s">
        <v>670</v>
      </c>
      <c r="D214" s="1039" t="s">
        <v>673</v>
      </c>
      <c r="E214" s="1040">
        <v>80111600</v>
      </c>
      <c r="F214" s="1026" t="s">
        <v>899</v>
      </c>
      <c r="G214" s="1041" t="s">
        <v>1440</v>
      </c>
      <c r="H214" s="1028" t="s">
        <v>1440</v>
      </c>
      <c r="I214" s="1072" t="s">
        <v>1493</v>
      </c>
      <c r="J214" s="1043" t="s">
        <v>1479</v>
      </c>
      <c r="K214" s="1027" t="s">
        <v>676</v>
      </c>
      <c r="L214" s="1073" t="s">
        <v>677</v>
      </c>
      <c r="M214" s="1030">
        <v>106950000</v>
      </c>
      <c r="N214" s="1044" t="s">
        <v>732</v>
      </c>
      <c r="O214" s="1056" t="s">
        <v>1480</v>
      </c>
      <c r="P214" s="1056"/>
      <c r="Q214" s="1027"/>
      <c r="R214" s="1022"/>
      <c r="S214" s="1130">
        <v>351</v>
      </c>
      <c r="T214" s="1156">
        <v>102300000</v>
      </c>
    </row>
    <row r="215" spans="1:20" s="995" customFormat="1" ht="63.75" x14ac:dyDescent="0.25">
      <c r="A215" s="1023">
        <v>2022209</v>
      </c>
      <c r="B215" s="1023">
        <v>7655</v>
      </c>
      <c r="C215" s="1023" t="s">
        <v>670</v>
      </c>
      <c r="D215" s="1039" t="s">
        <v>673</v>
      </c>
      <c r="E215" s="1040">
        <v>80111600</v>
      </c>
      <c r="F215" s="1026" t="s">
        <v>900</v>
      </c>
      <c r="G215" s="1041" t="s">
        <v>1440</v>
      </c>
      <c r="H215" s="1028" t="s">
        <v>1440</v>
      </c>
      <c r="I215" s="1072" t="s">
        <v>1493</v>
      </c>
      <c r="J215" s="1043" t="s">
        <v>1479</v>
      </c>
      <c r="K215" s="1027" t="s">
        <v>676</v>
      </c>
      <c r="L215" s="1073" t="s">
        <v>677</v>
      </c>
      <c r="M215" s="1030">
        <v>97750000</v>
      </c>
      <c r="N215" s="1044" t="s">
        <v>732</v>
      </c>
      <c r="O215" s="1056" t="s">
        <v>1480</v>
      </c>
      <c r="P215" s="1056"/>
      <c r="Q215" s="1027"/>
      <c r="R215" s="1022"/>
      <c r="S215" s="1130">
        <v>443</v>
      </c>
      <c r="T215" s="1156">
        <v>93500000</v>
      </c>
    </row>
    <row r="216" spans="1:20" s="995" customFormat="1" ht="63.75" x14ac:dyDescent="0.25">
      <c r="A216" s="1023">
        <v>2022210</v>
      </c>
      <c r="B216" s="1023">
        <v>7655</v>
      </c>
      <c r="C216" s="1023" t="s">
        <v>670</v>
      </c>
      <c r="D216" s="1039" t="s">
        <v>673</v>
      </c>
      <c r="E216" s="1040">
        <v>80111600</v>
      </c>
      <c r="F216" s="1026" t="s">
        <v>901</v>
      </c>
      <c r="G216" s="1041" t="s">
        <v>1440</v>
      </c>
      <c r="H216" s="1028" t="s">
        <v>1440</v>
      </c>
      <c r="I216" s="1072" t="s">
        <v>1493</v>
      </c>
      <c r="J216" s="1043" t="s">
        <v>1479</v>
      </c>
      <c r="K216" s="1027" t="s">
        <v>676</v>
      </c>
      <c r="L216" s="1073" t="s">
        <v>677</v>
      </c>
      <c r="M216" s="1030">
        <v>92000000</v>
      </c>
      <c r="N216" s="1044" t="s">
        <v>732</v>
      </c>
      <c r="O216" s="1056" t="s">
        <v>1480</v>
      </c>
      <c r="P216" s="1056"/>
      <c r="Q216" s="1027"/>
      <c r="R216" s="1022"/>
      <c r="S216" s="1130">
        <v>126</v>
      </c>
      <c r="T216" s="1156">
        <v>68000000</v>
      </c>
    </row>
    <row r="217" spans="1:20" s="995" customFormat="1" ht="63.75" x14ac:dyDescent="0.25">
      <c r="A217" s="1023">
        <v>2022211</v>
      </c>
      <c r="B217" s="1023">
        <v>7655</v>
      </c>
      <c r="C217" s="1023" t="s">
        <v>670</v>
      </c>
      <c r="D217" s="1039" t="s">
        <v>673</v>
      </c>
      <c r="E217" s="1040">
        <v>80111600</v>
      </c>
      <c r="F217" s="1026" t="s">
        <v>902</v>
      </c>
      <c r="G217" s="1041" t="s">
        <v>1440</v>
      </c>
      <c r="H217" s="1028" t="s">
        <v>1440</v>
      </c>
      <c r="I217" s="1072" t="s">
        <v>1493</v>
      </c>
      <c r="J217" s="1043" t="s">
        <v>1479</v>
      </c>
      <c r="K217" s="1027" t="s">
        <v>676</v>
      </c>
      <c r="L217" s="1073" t="s">
        <v>677</v>
      </c>
      <c r="M217" s="1030">
        <v>80500000</v>
      </c>
      <c r="N217" s="1044" t="s">
        <v>732</v>
      </c>
      <c r="O217" s="1056" t="s">
        <v>1480</v>
      </c>
      <c r="P217" s="1056"/>
      <c r="Q217" s="1027"/>
      <c r="R217" s="1022"/>
      <c r="S217" s="1130">
        <v>454</v>
      </c>
      <c r="T217" s="1156">
        <v>77000000</v>
      </c>
    </row>
    <row r="218" spans="1:20" s="995" customFormat="1" ht="63.75" x14ac:dyDescent="0.25">
      <c r="A218" s="1023">
        <v>2022212</v>
      </c>
      <c r="B218" s="1023">
        <v>7655</v>
      </c>
      <c r="C218" s="1023" t="s">
        <v>670</v>
      </c>
      <c r="D218" s="1039" t="s">
        <v>673</v>
      </c>
      <c r="E218" s="1040">
        <v>80111600</v>
      </c>
      <c r="F218" s="1026" t="s">
        <v>903</v>
      </c>
      <c r="G218" s="1041" t="s">
        <v>1440</v>
      </c>
      <c r="H218" s="1028" t="s">
        <v>1440</v>
      </c>
      <c r="I218" s="1072" t="s">
        <v>1493</v>
      </c>
      <c r="J218" s="1043" t="s">
        <v>1479</v>
      </c>
      <c r="K218" s="1027" t="s">
        <v>676</v>
      </c>
      <c r="L218" s="1073" t="s">
        <v>784</v>
      </c>
      <c r="M218" s="1030">
        <v>92000000</v>
      </c>
      <c r="N218" s="1044" t="s">
        <v>732</v>
      </c>
      <c r="O218" s="1056" t="s">
        <v>1480</v>
      </c>
      <c r="P218" s="1056"/>
      <c r="Q218" s="1027"/>
      <c r="R218" s="1022"/>
      <c r="S218" s="1130">
        <v>396</v>
      </c>
      <c r="T218" s="1156">
        <v>64000000</v>
      </c>
    </row>
    <row r="219" spans="1:20" s="995" customFormat="1" ht="63.75" x14ac:dyDescent="0.25">
      <c r="A219" s="1023">
        <v>2022213</v>
      </c>
      <c r="B219" s="1023">
        <v>7655</v>
      </c>
      <c r="C219" s="1023" t="s">
        <v>670</v>
      </c>
      <c r="D219" s="1039" t="s">
        <v>673</v>
      </c>
      <c r="E219" s="1040">
        <v>80111600</v>
      </c>
      <c r="F219" s="1026" t="s">
        <v>904</v>
      </c>
      <c r="G219" s="1041" t="s">
        <v>1440</v>
      </c>
      <c r="H219" s="1028" t="s">
        <v>1440</v>
      </c>
      <c r="I219" s="1072" t="s">
        <v>1493</v>
      </c>
      <c r="J219" s="1043" t="s">
        <v>1479</v>
      </c>
      <c r="K219" s="1027" t="s">
        <v>676</v>
      </c>
      <c r="L219" s="1073" t="s">
        <v>784</v>
      </c>
      <c r="M219" s="1030">
        <v>51750000</v>
      </c>
      <c r="N219" s="1044" t="s">
        <v>732</v>
      </c>
      <c r="O219" s="1056" t="s">
        <v>1480</v>
      </c>
      <c r="P219" s="1056"/>
      <c r="Q219" s="1027"/>
      <c r="R219" s="1022"/>
      <c r="S219" s="1130">
        <v>354</v>
      </c>
      <c r="T219" s="1156">
        <v>49500000</v>
      </c>
    </row>
    <row r="220" spans="1:20" s="995" customFormat="1" ht="76.5" x14ac:dyDescent="0.25">
      <c r="A220" s="1023">
        <v>2022214</v>
      </c>
      <c r="B220" s="1023">
        <v>7655</v>
      </c>
      <c r="C220" s="1023" t="s">
        <v>670</v>
      </c>
      <c r="D220" s="1039" t="s">
        <v>673</v>
      </c>
      <c r="E220" s="1040">
        <v>80111600</v>
      </c>
      <c r="F220" s="1026" t="s">
        <v>905</v>
      </c>
      <c r="G220" s="1041" t="s">
        <v>1440</v>
      </c>
      <c r="H220" s="1028" t="s">
        <v>1440</v>
      </c>
      <c r="I220" s="1072" t="s">
        <v>1494</v>
      </c>
      <c r="J220" s="1043" t="s">
        <v>1479</v>
      </c>
      <c r="K220" s="1027" t="s">
        <v>676</v>
      </c>
      <c r="L220" s="1073" t="s">
        <v>677</v>
      </c>
      <c r="M220" s="1030">
        <f>4500000*10.6666666</f>
        <v>47999999.699999996</v>
      </c>
      <c r="N220" s="1044" t="s">
        <v>732</v>
      </c>
      <c r="O220" s="1056" t="s">
        <v>1480</v>
      </c>
      <c r="P220" s="1056"/>
      <c r="Q220" s="1027"/>
      <c r="R220" s="1022"/>
      <c r="S220" s="1130">
        <v>470</v>
      </c>
      <c r="T220" s="1156">
        <v>36000000</v>
      </c>
    </row>
    <row r="221" spans="1:20" s="995" customFormat="1" ht="63.75" x14ac:dyDescent="0.25">
      <c r="A221" s="1023">
        <v>2022215</v>
      </c>
      <c r="B221" s="1023">
        <v>7655</v>
      </c>
      <c r="C221" s="1023" t="s">
        <v>670</v>
      </c>
      <c r="D221" s="1039" t="s">
        <v>673</v>
      </c>
      <c r="E221" s="1040">
        <v>80111600</v>
      </c>
      <c r="F221" s="1026" t="s">
        <v>906</v>
      </c>
      <c r="G221" s="1041" t="s">
        <v>1440</v>
      </c>
      <c r="H221" s="1028" t="s">
        <v>1440</v>
      </c>
      <c r="I221" s="1072" t="s">
        <v>1493</v>
      </c>
      <c r="J221" s="1043" t="s">
        <v>1479</v>
      </c>
      <c r="K221" s="1027" t="s">
        <v>676</v>
      </c>
      <c r="L221" s="1073" t="s">
        <v>677</v>
      </c>
      <c r="M221" s="1030">
        <v>57500000</v>
      </c>
      <c r="N221" s="1044" t="s">
        <v>732</v>
      </c>
      <c r="O221" s="1056" t="s">
        <v>1480</v>
      </c>
      <c r="P221" s="1056"/>
      <c r="Q221" s="1027"/>
      <c r="R221" s="1022"/>
      <c r="S221" s="1130">
        <v>466</v>
      </c>
      <c r="T221" s="1156">
        <v>40000000</v>
      </c>
    </row>
    <row r="222" spans="1:20" s="995" customFormat="1" ht="89.25" x14ac:dyDescent="0.25">
      <c r="A222" s="1023">
        <v>2022216</v>
      </c>
      <c r="B222" s="1023">
        <v>7655</v>
      </c>
      <c r="C222" s="1023" t="s">
        <v>670</v>
      </c>
      <c r="D222" s="1039" t="s">
        <v>673</v>
      </c>
      <c r="E222" s="1040">
        <v>80111600</v>
      </c>
      <c r="F222" s="1026" t="s">
        <v>907</v>
      </c>
      <c r="G222" s="1041" t="s">
        <v>1440</v>
      </c>
      <c r="H222" s="1028" t="s">
        <v>1440</v>
      </c>
      <c r="I222" s="1072" t="s">
        <v>1493</v>
      </c>
      <c r="J222" s="1043" t="s">
        <v>1479</v>
      </c>
      <c r="K222" s="1027" t="s">
        <v>676</v>
      </c>
      <c r="L222" s="1073" t="s">
        <v>677</v>
      </c>
      <c r="M222" s="1030">
        <v>80500000</v>
      </c>
      <c r="N222" s="1044" t="s">
        <v>732</v>
      </c>
      <c r="O222" s="1056" t="s">
        <v>1480</v>
      </c>
      <c r="P222" s="1056"/>
      <c r="Q222" s="1027"/>
      <c r="R222" s="1022"/>
      <c r="S222" s="1130">
        <v>232</v>
      </c>
      <c r="T222" s="1156">
        <v>77000000</v>
      </c>
    </row>
    <row r="223" spans="1:20" s="995" customFormat="1" ht="76.5" x14ac:dyDescent="0.25">
      <c r="A223" s="1023">
        <v>2022217</v>
      </c>
      <c r="B223" s="1023">
        <v>7655</v>
      </c>
      <c r="C223" s="1023" t="s">
        <v>670</v>
      </c>
      <c r="D223" s="1039" t="s">
        <v>673</v>
      </c>
      <c r="E223" s="1040">
        <v>80111600</v>
      </c>
      <c r="F223" s="1026" t="s">
        <v>908</v>
      </c>
      <c r="G223" s="1041" t="s">
        <v>1440</v>
      </c>
      <c r="H223" s="1028" t="s">
        <v>1440</v>
      </c>
      <c r="I223" s="1072" t="s">
        <v>1493</v>
      </c>
      <c r="J223" s="1043" t="s">
        <v>1479</v>
      </c>
      <c r="K223" s="1027" t="s">
        <v>676</v>
      </c>
      <c r="L223" s="1073" t="s">
        <v>677</v>
      </c>
      <c r="M223" s="1030">
        <v>57500000</v>
      </c>
      <c r="N223" s="1044" t="s">
        <v>732</v>
      </c>
      <c r="O223" s="1056" t="s">
        <v>1480</v>
      </c>
      <c r="P223" s="1056"/>
      <c r="Q223" s="1027"/>
      <c r="R223" s="1022"/>
      <c r="S223" s="1130">
        <v>294</v>
      </c>
      <c r="T223" s="1156">
        <v>55000000</v>
      </c>
    </row>
    <row r="224" spans="1:20" s="995" customFormat="1" ht="89.25" x14ac:dyDescent="0.25">
      <c r="A224" s="1023">
        <v>2022218</v>
      </c>
      <c r="B224" s="1023">
        <v>7655</v>
      </c>
      <c r="C224" s="1023" t="s">
        <v>670</v>
      </c>
      <c r="D224" s="1039" t="s">
        <v>673</v>
      </c>
      <c r="E224" s="1040">
        <v>80111600</v>
      </c>
      <c r="F224" s="1026" t="s">
        <v>909</v>
      </c>
      <c r="G224" s="1041" t="s">
        <v>1440</v>
      </c>
      <c r="H224" s="1028" t="s">
        <v>1440</v>
      </c>
      <c r="I224" s="1072" t="s">
        <v>1493</v>
      </c>
      <c r="J224" s="1043" t="s">
        <v>1479</v>
      </c>
      <c r="K224" s="1027" t="s">
        <v>676</v>
      </c>
      <c r="L224" s="1073" t="s">
        <v>677</v>
      </c>
      <c r="M224" s="1030">
        <v>57500000</v>
      </c>
      <c r="N224" s="1044" t="s">
        <v>732</v>
      </c>
      <c r="O224" s="1056" t="s">
        <v>1480</v>
      </c>
      <c r="P224" s="1056"/>
      <c r="Q224" s="1027"/>
      <c r="R224" s="1022"/>
      <c r="S224" s="1130">
        <v>395</v>
      </c>
      <c r="T224" s="1156">
        <v>36000000</v>
      </c>
    </row>
    <row r="225" spans="1:103" s="995" customFormat="1" ht="76.5" x14ac:dyDescent="0.25">
      <c r="A225" s="1023">
        <v>2022219</v>
      </c>
      <c r="B225" s="1023">
        <v>7655</v>
      </c>
      <c r="C225" s="1023" t="s">
        <v>670</v>
      </c>
      <c r="D225" s="1039" t="s">
        <v>673</v>
      </c>
      <c r="E225" s="1040">
        <v>80111600</v>
      </c>
      <c r="F225" s="1026" t="s">
        <v>910</v>
      </c>
      <c r="G225" s="1041" t="s">
        <v>1440</v>
      </c>
      <c r="H225" s="1028" t="s">
        <v>1440</v>
      </c>
      <c r="I225" s="1072" t="s">
        <v>1493</v>
      </c>
      <c r="J225" s="1043" t="s">
        <v>1479</v>
      </c>
      <c r="K225" s="1027" t="s">
        <v>676</v>
      </c>
      <c r="L225" s="1073" t="s">
        <v>677</v>
      </c>
      <c r="M225" s="1030">
        <v>57500000</v>
      </c>
      <c r="N225" s="1044" t="s">
        <v>732</v>
      </c>
      <c r="O225" s="1056" t="s">
        <v>1480</v>
      </c>
      <c r="P225" s="1056"/>
      <c r="Q225" s="1027"/>
      <c r="R225" s="1022"/>
      <c r="S225" s="1130">
        <v>350</v>
      </c>
      <c r="T225" s="1156">
        <v>40000000</v>
      </c>
    </row>
    <row r="226" spans="1:103" s="995" customFormat="1" ht="63.75" x14ac:dyDescent="0.25">
      <c r="A226" s="1023">
        <v>2022220</v>
      </c>
      <c r="B226" s="1023">
        <v>7655</v>
      </c>
      <c r="C226" s="1023" t="s">
        <v>670</v>
      </c>
      <c r="D226" s="1039" t="s">
        <v>673</v>
      </c>
      <c r="E226" s="1040">
        <v>80111600</v>
      </c>
      <c r="F226" s="1026" t="s">
        <v>911</v>
      </c>
      <c r="G226" s="1041" t="s">
        <v>1440</v>
      </c>
      <c r="H226" s="1028" t="s">
        <v>1440</v>
      </c>
      <c r="I226" s="1072" t="s">
        <v>1484</v>
      </c>
      <c r="J226" s="1043" t="s">
        <v>1479</v>
      </c>
      <c r="K226" s="1027" t="s">
        <v>676</v>
      </c>
      <c r="L226" s="1073" t="s">
        <v>677</v>
      </c>
      <c r="M226" s="1030">
        <f>10*4500000</f>
        <v>45000000</v>
      </c>
      <c r="N226" s="1044" t="s">
        <v>732</v>
      </c>
      <c r="O226" s="1056" t="s">
        <v>1480</v>
      </c>
      <c r="P226" s="1056"/>
      <c r="Q226" s="1027"/>
      <c r="R226" s="1022"/>
      <c r="S226" s="1130">
        <v>457</v>
      </c>
      <c r="T226" s="1156">
        <v>27000000</v>
      </c>
    </row>
    <row r="227" spans="1:103" s="995" customFormat="1" ht="63.75" x14ac:dyDescent="0.25">
      <c r="A227" s="1023">
        <v>2022221</v>
      </c>
      <c r="B227" s="1023">
        <v>7655</v>
      </c>
      <c r="C227" s="1023" t="s">
        <v>670</v>
      </c>
      <c r="D227" s="1039" t="s">
        <v>673</v>
      </c>
      <c r="E227" s="1040">
        <v>80111600</v>
      </c>
      <c r="F227" s="1026" t="s">
        <v>912</v>
      </c>
      <c r="G227" s="1041" t="s">
        <v>1440</v>
      </c>
      <c r="H227" s="1028" t="s">
        <v>1440</v>
      </c>
      <c r="I227" s="1072" t="s">
        <v>1493</v>
      </c>
      <c r="J227" s="1043" t="s">
        <v>1479</v>
      </c>
      <c r="K227" s="1027" t="s">
        <v>676</v>
      </c>
      <c r="L227" s="1073" t="s">
        <v>677</v>
      </c>
      <c r="M227" s="1030">
        <v>57500000</v>
      </c>
      <c r="N227" s="1044" t="s">
        <v>732</v>
      </c>
      <c r="O227" s="1056" t="s">
        <v>1480</v>
      </c>
      <c r="P227" s="1056"/>
      <c r="Q227" s="1027"/>
      <c r="R227" s="1022"/>
      <c r="S227" s="1130">
        <v>261</v>
      </c>
      <c r="T227" s="1156">
        <v>55000000</v>
      </c>
    </row>
    <row r="228" spans="1:103" s="995" customFormat="1" ht="63.75" x14ac:dyDescent="0.25">
      <c r="A228" s="1023">
        <v>2022222</v>
      </c>
      <c r="B228" s="1023">
        <v>7655</v>
      </c>
      <c r="C228" s="1023" t="s">
        <v>670</v>
      </c>
      <c r="D228" s="1039" t="s">
        <v>673</v>
      </c>
      <c r="E228" s="1040">
        <v>80111600</v>
      </c>
      <c r="F228" s="1026" t="s">
        <v>913</v>
      </c>
      <c r="G228" s="1041" t="s">
        <v>1440</v>
      </c>
      <c r="H228" s="1028" t="s">
        <v>1440</v>
      </c>
      <c r="I228" s="1072" t="s">
        <v>1493</v>
      </c>
      <c r="J228" s="1043" t="s">
        <v>1479</v>
      </c>
      <c r="K228" s="1027" t="s">
        <v>676</v>
      </c>
      <c r="L228" s="1073" t="s">
        <v>677</v>
      </c>
      <c r="M228" s="1030">
        <v>57500000</v>
      </c>
      <c r="N228" s="1044" t="s">
        <v>732</v>
      </c>
      <c r="O228" s="1056" t="s">
        <v>1480</v>
      </c>
      <c r="P228" s="1056"/>
      <c r="Q228" s="1027"/>
      <c r="R228" s="1022"/>
      <c r="S228" s="1130">
        <v>473</v>
      </c>
      <c r="T228" s="1156">
        <v>36000000</v>
      </c>
    </row>
    <row r="229" spans="1:103" s="995" customFormat="1" ht="63.75" x14ac:dyDescent="0.25">
      <c r="A229" s="1023">
        <v>2022223</v>
      </c>
      <c r="B229" s="1023">
        <v>7655</v>
      </c>
      <c r="C229" s="1023" t="s">
        <v>670</v>
      </c>
      <c r="D229" s="1039" t="s">
        <v>673</v>
      </c>
      <c r="E229" s="1040">
        <v>80111600</v>
      </c>
      <c r="F229" s="1026" t="s">
        <v>914</v>
      </c>
      <c r="G229" s="1041" t="s">
        <v>1440</v>
      </c>
      <c r="H229" s="1028" t="s">
        <v>1440</v>
      </c>
      <c r="I229" s="1072" t="s">
        <v>1493</v>
      </c>
      <c r="J229" s="1043" t="s">
        <v>1479</v>
      </c>
      <c r="K229" s="1027" t="s">
        <v>676</v>
      </c>
      <c r="L229" s="1073" t="s">
        <v>677</v>
      </c>
      <c r="M229" s="1030">
        <v>72450000</v>
      </c>
      <c r="N229" s="1044" t="s">
        <v>732</v>
      </c>
      <c r="O229" s="1056" t="s">
        <v>1480</v>
      </c>
      <c r="P229" s="1056"/>
      <c r="Q229" s="1027"/>
      <c r="R229" s="1022"/>
      <c r="S229" s="1130">
        <v>458</v>
      </c>
      <c r="T229" s="1156">
        <v>69300000</v>
      </c>
    </row>
    <row r="230" spans="1:103" s="995" customFormat="1" ht="63.75" x14ac:dyDescent="0.25">
      <c r="A230" s="1023">
        <v>2022224</v>
      </c>
      <c r="B230" s="1023">
        <v>7655</v>
      </c>
      <c r="C230" s="1023" t="s">
        <v>670</v>
      </c>
      <c r="D230" s="1039" t="s">
        <v>673</v>
      </c>
      <c r="E230" s="1040">
        <v>80111600</v>
      </c>
      <c r="F230" s="1026" t="s">
        <v>915</v>
      </c>
      <c r="G230" s="1041" t="s">
        <v>1440</v>
      </c>
      <c r="H230" s="1028" t="s">
        <v>1440</v>
      </c>
      <c r="I230" s="1072" t="s">
        <v>1493</v>
      </c>
      <c r="J230" s="1043" t="s">
        <v>1479</v>
      </c>
      <c r="K230" s="1027" t="s">
        <v>676</v>
      </c>
      <c r="L230" s="1073" t="s">
        <v>677</v>
      </c>
      <c r="M230" s="1030">
        <v>59800000</v>
      </c>
      <c r="N230" s="1044" t="s">
        <v>732</v>
      </c>
      <c r="O230" s="1056" t="s">
        <v>1480</v>
      </c>
      <c r="P230" s="1056"/>
      <c r="Q230" s="1027"/>
      <c r="R230" s="1022"/>
      <c r="S230" s="1130">
        <v>426</v>
      </c>
      <c r="T230" s="1156">
        <v>57200000</v>
      </c>
    </row>
    <row r="231" spans="1:103" s="995" customFormat="1" ht="63.75" x14ac:dyDescent="0.25">
      <c r="A231" s="1023">
        <v>2022225</v>
      </c>
      <c r="B231" s="1023">
        <v>7655</v>
      </c>
      <c r="C231" s="1023" t="s">
        <v>670</v>
      </c>
      <c r="D231" s="1039" t="s">
        <v>673</v>
      </c>
      <c r="E231" s="1040">
        <v>80111600</v>
      </c>
      <c r="F231" s="1026" t="s">
        <v>916</v>
      </c>
      <c r="G231" s="1041" t="s">
        <v>1440</v>
      </c>
      <c r="H231" s="1028" t="s">
        <v>1440</v>
      </c>
      <c r="I231" s="1072" t="s">
        <v>1495</v>
      </c>
      <c r="J231" s="1043" t="s">
        <v>1479</v>
      </c>
      <c r="K231" s="1027" t="s">
        <v>676</v>
      </c>
      <c r="L231" s="1073" t="s">
        <v>677</v>
      </c>
      <c r="M231" s="1030">
        <v>57000000</v>
      </c>
      <c r="N231" s="1044" t="s">
        <v>732</v>
      </c>
      <c r="O231" s="1056" t="s">
        <v>1480</v>
      </c>
      <c r="P231" s="1056"/>
      <c r="Q231" s="1027"/>
      <c r="R231" s="1022"/>
      <c r="S231" s="1130">
        <v>456</v>
      </c>
      <c r="T231" s="1156">
        <v>40000000</v>
      </c>
    </row>
    <row r="232" spans="1:103" s="995" customFormat="1" ht="63.75" x14ac:dyDescent="0.25">
      <c r="A232" s="1013">
        <v>2022226</v>
      </c>
      <c r="B232" s="1013">
        <v>7655</v>
      </c>
      <c r="C232" s="1013" t="s">
        <v>670</v>
      </c>
      <c r="D232" s="1045" t="s">
        <v>673</v>
      </c>
      <c r="E232" s="1046">
        <v>80111600</v>
      </c>
      <c r="F232" s="1074" t="s">
        <v>917</v>
      </c>
      <c r="G232" s="1075"/>
      <c r="H232" s="1075"/>
      <c r="I232" s="1019"/>
      <c r="J232" s="1049" t="s">
        <v>1479</v>
      </c>
      <c r="K232" s="1017" t="s">
        <v>676</v>
      </c>
      <c r="L232" s="1076" t="s">
        <v>677</v>
      </c>
      <c r="M232" s="1077">
        <v>13800000</v>
      </c>
      <c r="N232" s="1050" t="s">
        <v>732</v>
      </c>
      <c r="O232" s="1061" t="s">
        <v>1480</v>
      </c>
      <c r="P232" s="1061"/>
      <c r="Q232" s="1017"/>
      <c r="R232" s="1022"/>
      <c r="S232" s="1130"/>
      <c r="T232" s="1156"/>
    </row>
    <row r="233" spans="1:103" s="995" customFormat="1" ht="76.5" x14ac:dyDescent="0.25">
      <c r="A233" s="1023">
        <v>2022227</v>
      </c>
      <c r="B233" s="1023">
        <v>7655</v>
      </c>
      <c r="C233" s="1023" t="s">
        <v>670</v>
      </c>
      <c r="D233" s="1039" t="s">
        <v>671</v>
      </c>
      <c r="E233" s="1040">
        <v>80111600</v>
      </c>
      <c r="F233" s="1068" t="s">
        <v>918</v>
      </c>
      <c r="G233" s="1078" t="s">
        <v>1440</v>
      </c>
      <c r="H233" s="1054" t="s">
        <v>1440</v>
      </c>
      <c r="I233" s="1079" t="s">
        <v>1496</v>
      </c>
      <c r="J233" s="1043" t="s">
        <v>1479</v>
      </c>
      <c r="K233" s="1027" t="s">
        <v>676</v>
      </c>
      <c r="L233" s="1073" t="s">
        <v>677</v>
      </c>
      <c r="M233" s="1030">
        <v>29920000</v>
      </c>
      <c r="N233" s="1044" t="s">
        <v>732</v>
      </c>
      <c r="O233" s="1056" t="s">
        <v>1480</v>
      </c>
      <c r="P233" s="1056"/>
      <c r="Q233" s="1027"/>
      <c r="R233" s="1022"/>
      <c r="S233" s="1130">
        <v>150</v>
      </c>
      <c r="T233" s="1156">
        <v>27000000</v>
      </c>
    </row>
    <row r="234" spans="1:103" s="995" customFormat="1" ht="63.75" x14ac:dyDescent="0.25">
      <c r="A234" s="1023">
        <v>2022228</v>
      </c>
      <c r="B234" s="1023">
        <v>7655</v>
      </c>
      <c r="C234" s="1023" t="s">
        <v>670</v>
      </c>
      <c r="D234" s="1039" t="s">
        <v>671</v>
      </c>
      <c r="E234" s="1040">
        <v>80111600</v>
      </c>
      <c r="F234" s="1068" t="s">
        <v>919</v>
      </c>
      <c r="G234" s="1078" t="s">
        <v>1440</v>
      </c>
      <c r="H234" s="1054" t="s">
        <v>1440</v>
      </c>
      <c r="I234" s="1079" t="s">
        <v>1496</v>
      </c>
      <c r="J234" s="1043" t="s">
        <v>1479</v>
      </c>
      <c r="K234" s="1027" t="s">
        <v>676</v>
      </c>
      <c r="L234" s="1073" t="s">
        <v>677</v>
      </c>
      <c r="M234" s="1030">
        <v>30800000</v>
      </c>
      <c r="N234" s="1044" t="s">
        <v>732</v>
      </c>
      <c r="O234" s="1056" t="s">
        <v>1480</v>
      </c>
      <c r="P234" s="1056"/>
      <c r="Q234" s="1027"/>
      <c r="R234" s="1022"/>
      <c r="S234" s="1130">
        <v>161</v>
      </c>
      <c r="T234" s="1156">
        <v>30800000</v>
      </c>
    </row>
    <row r="235" spans="1:103" s="995" customFormat="1" ht="76.5" x14ac:dyDescent="0.25">
      <c r="A235" s="1023">
        <v>2022229</v>
      </c>
      <c r="B235" s="1023">
        <v>7655</v>
      </c>
      <c r="C235" s="1023" t="s">
        <v>670</v>
      </c>
      <c r="D235" s="1039" t="s">
        <v>671</v>
      </c>
      <c r="E235" s="1040">
        <v>80111600</v>
      </c>
      <c r="F235" s="1068" t="s">
        <v>920</v>
      </c>
      <c r="G235" s="1078" t="s">
        <v>1440</v>
      </c>
      <c r="H235" s="1054" t="s">
        <v>1440</v>
      </c>
      <c r="I235" s="1079" t="s">
        <v>1496</v>
      </c>
      <c r="J235" s="1043" t="s">
        <v>1479</v>
      </c>
      <c r="K235" s="1027" t="s">
        <v>676</v>
      </c>
      <c r="L235" s="1073" t="s">
        <v>677</v>
      </c>
      <c r="M235" s="1030">
        <v>78320000</v>
      </c>
      <c r="N235" s="1044" t="s">
        <v>732</v>
      </c>
      <c r="O235" s="1056" t="s">
        <v>1480</v>
      </c>
      <c r="P235" s="1056"/>
      <c r="Q235" s="1027"/>
      <c r="R235" s="1022"/>
      <c r="S235" s="1130">
        <v>67</v>
      </c>
      <c r="T235" s="1156">
        <v>42720000</v>
      </c>
    </row>
    <row r="236" spans="1:103" s="1034" customFormat="1" ht="76.5" x14ac:dyDescent="0.25">
      <c r="A236" s="1131">
        <v>2022230</v>
      </c>
      <c r="B236" s="1131">
        <v>7655</v>
      </c>
      <c r="C236" s="1131" t="s">
        <v>670</v>
      </c>
      <c r="D236" s="1139" t="s">
        <v>671</v>
      </c>
      <c r="E236" s="1145">
        <v>80111600</v>
      </c>
      <c r="F236" s="1146" t="s">
        <v>921</v>
      </c>
      <c r="G236" s="1147" t="s">
        <v>1440</v>
      </c>
      <c r="H236" s="1148" t="s">
        <v>1440</v>
      </c>
      <c r="I236" s="1082" t="s">
        <v>1496</v>
      </c>
      <c r="J236" s="1143" t="s">
        <v>1479</v>
      </c>
      <c r="K236" s="1135" t="s">
        <v>676</v>
      </c>
      <c r="L236" s="1149" t="s">
        <v>677</v>
      </c>
      <c r="M236" s="1136">
        <v>102520000</v>
      </c>
      <c r="N236" s="1144" t="s">
        <v>732</v>
      </c>
      <c r="O236" s="1150" t="s">
        <v>1480</v>
      </c>
      <c r="P236" s="1150"/>
      <c r="Q236" s="1135"/>
      <c r="R236" s="1130">
        <v>53</v>
      </c>
      <c r="S236" s="1130"/>
      <c r="T236" s="1156"/>
      <c r="U236" s="995"/>
      <c r="V236" s="995"/>
      <c r="W236" s="995"/>
      <c r="X236" s="995"/>
      <c r="Y236" s="995"/>
      <c r="Z236" s="995"/>
      <c r="AA236" s="995"/>
      <c r="AB236" s="995"/>
      <c r="AC236" s="995"/>
      <c r="AD236" s="995"/>
      <c r="AE236" s="995"/>
      <c r="AF236" s="995"/>
      <c r="AG236" s="995"/>
      <c r="AH236" s="995"/>
      <c r="AI236" s="995"/>
      <c r="AJ236" s="995"/>
      <c r="AK236" s="995"/>
      <c r="AL236" s="995"/>
      <c r="AM236" s="995"/>
      <c r="AN236" s="995"/>
      <c r="AO236" s="995"/>
      <c r="AP236" s="995"/>
      <c r="AQ236" s="995"/>
      <c r="AR236" s="995"/>
      <c r="AS236" s="995"/>
      <c r="AT236" s="995"/>
      <c r="AU236" s="995"/>
      <c r="AV236" s="995"/>
      <c r="AW236" s="995"/>
      <c r="AX236" s="995"/>
      <c r="AY236" s="995"/>
      <c r="AZ236" s="995"/>
      <c r="BA236" s="995"/>
      <c r="BB236" s="995"/>
      <c r="BC236" s="995"/>
      <c r="BD236" s="995"/>
      <c r="BE236" s="995"/>
      <c r="BF236" s="995"/>
      <c r="BG236" s="995"/>
      <c r="BH236" s="995"/>
      <c r="BI236" s="995"/>
      <c r="BJ236" s="995"/>
      <c r="BK236" s="995"/>
      <c r="BL236" s="995"/>
      <c r="BM236" s="995"/>
      <c r="BN236" s="995"/>
      <c r="BO236" s="995"/>
      <c r="BP236" s="995"/>
      <c r="BQ236" s="995"/>
      <c r="BR236" s="995"/>
      <c r="BS236" s="995"/>
      <c r="BT236" s="995"/>
      <c r="BU236" s="995"/>
      <c r="BV236" s="995"/>
      <c r="BW236" s="995"/>
      <c r="BX236" s="995"/>
      <c r="BY236" s="995"/>
      <c r="BZ236" s="995"/>
      <c r="CA236" s="995"/>
      <c r="CB236" s="995"/>
      <c r="CC236" s="995"/>
      <c r="CD236" s="995"/>
      <c r="CE236" s="995"/>
      <c r="CF236" s="995"/>
      <c r="CG236" s="995"/>
      <c r="CH236" s="995"/>
      <c r="CI236" s="995"/>
      <c r="CJ236" s="995"/>
      <c r="CK236" s="995"/>
      <c r="CL236" s="995"/>
      <c r="CM236" s="995"/>
      <c r="CN236" s="995"/>
      <c r="CO236" s="995"/>
      <c r="CP236" s="995"/>
      <c r="CQ236" s="995"/>
      <c r="CR236" s="995"/>
      <c r="CS236" s="995"/>
      <c r="CT236" s="995"/>
      <c r="CU236" s="995"/>
      <c r="CV236" s="995"/>
      <c r="CW236" s="995"/>
      <c r="CX236" s="995"/>
      <c r="CY236" s="995"/>
    </row>
    <row r="237" spans="1:103" s="995" customFormat="1" ht="89.25" x14ac:dyDescent="0.25">
      <c r="A237" s="1023">
        <v>2022231</v>
      </c>
      <c r="B237" s="1023">
        <v>7655</v>
      </c>
      <c r="C237" s="1023" t="s">
        <v>670</v>
      </c>
      <c r="D237" s="1039" t="s">
        <v>671</v>
      </c>
      <c r="E237" s="1040">
        <v>80111600</v>
      </c>
      <c r="F237" s="1068" t="s">
        <v>922</v>
      </c>
      <c r="G237" s="1078" t="s">
        <v>1440</v>
      </c>
      <c r="H237" s="1054" t="s">
        <v>1440</v>
      </c>
      <c r="I237" s="1079" t="s">
        <v>1496</v>
      </c>
      <c r="J237" s="1043" t="s">
        <v>1479</v>
      </c>
      <c r="K237" s="1027" t="s">
        <v>676</v>
      </c>
      <c r="L237" s="1073" t="s">
        <v>677</v>
      </c>
      <c r="M237" s="1030">
        <f>101200000-8800000-19200000</f>
        <v>73200000</v>
      </c>
      <c r="N237" s="1044" t="s">
        <v>732</v>
      </c>
      <c r="O237" s="1056" t="s">
        <v>1480</v>
      </c>
      <c r="P237" s="1056"/>
      <c r="Q237" s="1027"/>
      <c r="R237" s="1022"/>
      <c r="S237" s="1130">
        <v>200</v>
      </c>
      <c r="T237" s="1156">
        <v>55200000</v>
      </c>
    </row>
    <row r="238" spans="1:103" s="995" customFormat="1" ht="63.75" x14ac:dyDescent="0.25">
      <c r="A238" s="1023">
        <v>2022232</v>
      </c>
      <c r="B238" s="1023">
        <v>7655</v>
      </c>
      <c r="C238" s="1023" t="s">
        <v>670</v>
      </c>
      <c r="D238" s="1039" t="s">
        <v>671</v>
      </c>
      <c r="E238" s="1040">
        <v>80111600</v>
      </c>
      <c r="F238" s="1068" t="s">
        <v>923</v>
      </c>
      <c r="G238" s="1078" t="s">
        <v>1440</v>
      </c>
      <c r="H238" s="1054" t="s">
        <v>1440</v>
      </c>
      <c r="I238" s="1079" t="s">
        <v>1496</v>
      </c>
      <c r="J238" s="1043" t="s">
        <v>1479</v>
      </c>
      <c r="K238" s="1027" t="s">
        <v>676</v>
      </c>
      <c r="L238" s="1073" t="s">
        <v>677</v>
      </c>
      <c r="M238" s="1030">
        <v>58080000</v>
      </c>
      <c r="N238" s="1044" t="s">
        <v>732</v>
      </c>
      <c r="O238" s="1056" t="s">
        <v>1480</v>
      </c>
      <c r="P238" s="1056"/>
      <c r="Q238" s="1027"/>
      <c r="R238" s="1022"/>
      <c r="S238" s="1130">
        <v>45</v>
      </c>
      <c r="T238" s="1156">
        <v>58080000</v>
      </c>
    </row>
    <row r="239" spans="1:103" s="995" customFormat="1" ht="102" x14ac:dyDescent="0.25">
      <c r="A239" s="1023">
        <v>2022233</v>
      </c>
      <c r="B239" s="1023">
        <v>7655</v>
      </c>
      <c r="C239" s="1023" t="s">
        <v>670</v>
      </c>
      <c r="D239" s="1039" t="s">
        <v>671</v>
      </c>
      <c r="E239" s="1040">
        <v>80111600</v>
      </c>
      <c r="F239" s="1026" t="s">
        <v>924</v>
      </c>
      <c r="G239" s="1078" t="s">
        <v>1440</v>
      </c>
      <c r="H239" s="1054" t="s">
        <v>1440</v>
      </c>
      <c r="I239" s="1079" t="s">
        <v>1496</v>
      </c>
      <c r="J239" s="1043" t="s">
        <v>1479</v>
      </c>
      <c r="K239" s="1027" t="s">
        <v>676</v>
      </c>
      <c r="L239" s="1073" t="s">
        <v>677</v>
      </c>
      <c r="M239" s="1030">
        <v>42350000</v>
      </c>
      <c r="N239" s="1044" t="s">
        <v>732</v>
      </c>
      <c r="O239" s="1056" t="s">
        <v>1480</v>
      </c>
      <c r="P239" s="1056"/>
      <c r="Q239" s="1027"/>
      <c r="R239" s="1022"/>
      <c r="S239" s="1130">
        <v>81</v>
      </c>
      <c r="T239" s="1156">
        <v>42350000</v>
      </c>
    </row>
    <row r="240" spans="1:103" s="995" customFormat="1" ht="63.75" x14ac:dyDescent="0.25">
      <c r="A240" s="1023">
        <v>2022234</v>
      </c>
      <c r="B240" s="1023">
        <v>7655</v>
      </c>
      <c r="C240" s="1023" t="s">
        <v>670</v>
      </c>
      <c r="D240" s="1039" t="s">
        <v>671</v>
      </c>
      <c r="E240" s="1040">
        <v>80111600</v>
      </c>
      <c r="F240" s="1068" t="s">
        <v>925</v>
      </c>
      <c r="G240" s="1078" t="s">
        <v>1440</v>
      </c>
      <c r="H240" s="1054" t="s">
        <v>1440</v>
      </c>
      <c r="I240" s="1079" t="s">
        <v>1442</v>
      </c>
      <c r="J240" s="1043" t="s">
        <v>1479</v>
      </c>
      <c r="K240" s="1027" t="s">
        <v>676</v>
      </c>
      <c r="L240" s="1080" t="s">
        <v>677</v>
      </c>
      <c r="M240" s="1030">
        <v>39600000</v>
      </c>
      <c r="N240" s="1044" t="s">
        <v>732</v>
      </c>
      <c r="O240" s="1056" t="s">
        <v>1480</v>
      </c>
      <c r="P240" s="1056"/>
      <c r="Q240" s="1027"/>
      <c r="R240" s="1022"/>
      <c r="S240" s="1130">
        <v>332</v>
      </c>
      <c r="T240" s="1156">
        <v>13800000</v>
      </c>
    </row>
    <row r="241" spans="1:20" s="995" customFormat="1" ht="63.75" x14ac:dyDescent="0.25">
      <c r="A241" s="1023">
        <v>2022235</v>
      </c>
      <c r="B241" s="1023">
        <v>7655</v>
      </c>
      <c r="C241" s="1023" t="s">
        <v>670</v>
      </c>
      <c r="D241" s="1039" t="s">
        <v>671</v>
      </c>
      <c r="E241" s="1040">
        <v>80111600</v>
      </c>
      <c r="F241" s="1026" t="s">
        <v>926</v>
      </c>
      <c r="G241" s="1078" t="s">
        <v>1440</v>
      </c>
      <c r="H241" s="1054" t="s">
        <v>1440</v>
      </c>
      <c r="I241" s="1079" t="s">
        <v>1496</v>
      </c>
      <c r="J241" s="1043" t="s">
        <v>1479</v>
      </c>
      <c r="K241" s="1027" t="s">
        <v>676</v>
      </c>
      <c r="L241" s="1073" t="s">
        <v>677</v>
      </c>
      <c r="M241" s="1030">
        <v>39600000</v>
      </c>
      <c r="N241" s="1044" t="s">
        <v>732</v>
      </c>
      <c r="O241" s="1056" t="s">
        <v>1480</v>
      </c>
      <c r="P241" s="1056"/>
      <c r="Q241" s="1027"/>
      <c r="R241" s="1022"/>
      <c r="S241" s="1130">
        <v>164</v>
      </c>
      <c r="T241" s="1156">
        <v>39600000</v>
      </c>
    </row>
    <row r="242" spans="1:20" s="995" customFormat="1" ht="63.75" x14ac:dyDescent="0.25">
      <c r="A242" s="1013">
        <v>2022237</v>
      </c>
      <c r="B242" s="1013">
        <v>7655</v>
      </c>
      <c r="C242" s="1013" t="s">
        <v>670</v>
      </c>
      <c r="D242" s="1045" t="s">
        <v>671</v>
      </c>
      <c r="E242" s="1046">
        <v>80111600</v>
      </c>
      <c r="F242" s="1016" t="s">
        <v>1497</v>
      </c>
      <c r="G242" s="1081" t="s">
        <v>1440</v>
      </c>
      <c r="H242" s="1059" t="s">
        <v>1440</v>
      </c>
      <c r="I242" s="1082" t="s">
        <v>1496</v>
      </c>
      <c r="J242" s="1049" t="s">
        <v>1479</v>
      </c>
      <c r="K242" s="1017" t="s">
        <v>676</v>
      </c>
      <c r="L242" s="1076" t="s">
        <v>677</v>
      </c>
      <c r="M242" s="1020">
        <v>48735000</v>
      </c>
      <c r="N242" s="1050" t="s">
        <v>732</v>
      </c>
      <c r="O242" s="1061" t="s">
        <v>1480</v>
      </c>
      <c r="P242" s="1061"/>
      <c r="Q242" s="1017"/>
      <c r="R242" s="1022"/>
      <c r="S242" s="1130"/>
      <c r="T242" s="1156"/>
    </row>
    <row r="243" spans="1:20" s="995" customFormat="1" ht="63.75" x14ac:dyDescent="0.25">
      <c r="A243" s="1023">
        <v>2022238</v>
      </c>
      <c r="B243" s="1023">
        <v>7655</v>
      </c>
      <c r="C243" s="1023" t="s">
        <v>670</v>
      </c>
      <c r="D243" s="1039" t="s">
        <v>671</v>
      </c>
      <c r="E243" s="1040">
        <v>80111600</v>
      </c>
      <c r="F243" s="1068" t="s">
        <v>929</v>
      </c>
      <c r="G243" s="1078" t="s">
        <v>1440</v>
      </c>
      <c r="H243" s="1054" t="s">
        <v>1440</v>
      </c>
      <c r="I243" s="1079" t="s">
        <v>1496</v>
      </c>
      <c r="J243" s="1043" t="s">
        <v>1479</v>
      </c>
      <c r="K243" s="1027" t="s">
        <v>676</v>
      </c>
      <c r="L243" s="1073" t="s">
        <v>677</v>
      </c>
      <c r="M243" s="1030">
        <f>44000000+8800000</f>
        <v>52800000</v>
      </c>
      <c r="N243" s="1044" t="s">
        <v>732</v>
      </c>
      <c r="O243" s="1056" t="s">
        <v>1480</v>
      </c>
      <c r="P243" s="1056"/>
      <c r="Q243" s="1027"/>
      <c r="R243" s="1022"/>
      <c r="S243" s="1130">
        <v>435</v>
      </c>
      <c r="T243" s="1156">
        <v>28800000</v>
      </c>
    </row>
    <row r="244" spans="1:20" s="995" customFormat="1" ht="63.75" x14ac:dyDescent="0.25">
      <c r="A244" s="1023">
        <v>2022239</v>
      </c>
      <c r="B244" s="1023">
        <v>7655</v>
      </c>
      <c r="C244" s="1023" t="s">
        <v>670</v>
      </c>
      <c r="D244" s="1039" t="s">
        <v>1498</v>
      </c>
      <c r="E244" s="1040">
        <v>80111600</v>
      </c>
      <c r="F244" s="1068" t="s">
        <v>930</v>
      </c>
      <c r="G244" s="1078" t="s">
        <v>1440</v>
      </c>
      <c r="H244" s="1078" t="s">
        <v>1440</v>
      </c>
      <c r="I244" s="1079" t="s">
        <v>1496</v>
      </c>
      <c r="J244" s="1043" t="s">
        <v>1479</v>
      </c>
      <c r="K244" s="1027" t="s">
        <v>676</v>
      </c>
      <c r="L244" s="1073" t="s">
        <v>677</v>
      </c>
      <c r="M244" s="1030">
        <v>102520000</v>
      </c>
      <c r="N244" s="1044" t="s">
        <v>732</v>
      </c>
      <c r="O244" s="1056" t="s">
        <v>1480</v>
      </c>
      <c r="P244" s="1056"/>
      <c r="Q244" s="1027"/>
      <c r="R244" s="1022"/>
      <c r="S244" s="1130">
        <v>158</v>
      </c>
      <c r="T244" s="1156">
        <v>102520000</v>
      </c>
    </row>
    <row r="245" spans="1:20" s="995" customFormat="1" ht="89.25" x14ac:dyDescent="0.25">
      <c r="A245" s="1023">
        <v>2022240</v>
      </c>
      <c r="B245" s="1023">
        <v>7655</v>
      </c>
      <c r="C245" s="1023" t="s">
        <v>670</v>
      </c>
      <c r="D245" s="1039" t="s">
        <v>1498</v>
      </c>
      <c r="E245" s="1040">
        <v>80111600</v>
      </c>
      <c r="F245" s="1068" t="s">
        <v>931</v>
      </c>
      <c r="G245" s="1078" t="s">
        <v>1440</v>
      </c>
      <c r="H245" s="1078" t="s">
        <v>1440</v>
      </c>
      <c r="I245" s="1079" t="s">
        <v>1496</v>
      </c>
      <c r="J245" s="1043" t="s">
        <v>1479</v>
      </c>
      <c r="K245" s="1027" t="s">
        <v>676</v>
      </c>
      <c r="L245" s="1073" t="s">
        <v>677</v>
      </c>
      <c r="M245" s="1030">
        <v>90200000</v>
      </c>
      <c r="N245" s="1044" t="s">
        <v>732</v>
      </c>
      <c r="O245" s="1056" t="s">
        <v>1480</v>
      </c>
      <c r="P245" s="1056"/>
      <c r="Q245" s="1027"/>
      <c r="R245" s="1022"/>
      <c r="S245" s="1130">
        <v>44</v>
      </c>
      <c r="T245" s="1156">
        <v>90200000</v>
      </c>
    </row>
    <row r="246" spans="1:20" s="995" customFormat="1" ht="76.5" x14ac:dyDescent="0.25">
      <c r="A246" s="1023">
        <v>2022241</v>
      </c>
      <c r="B246" s="1023">
        <v>7655</v>
      </c>
      <c r="C246" s="1023" t="s">
        <v>670</v>
      </c>
      <c r="D246" s="1039" t="s">
        <v>1498</v>
      </c>
      <c r="E246" s="1040">
        <v>80111600</v>
      </c>
      <c r="F246" s="1068" t="s">
        <v>932</v>
      </c>
      <c r="G246" s="1078" t="s">
        <v>1440</v>
      </c>
      <c r="H246" s="1078" t="s">
        <v>1440</v>
      </c>
      <c r="I246" s="1079" t="s">
        <v>1496</v>
      </c>
      <c r="J246" s="1043" t="s">
        <v>1479</v>
      </c>
      <c r="K246" s="1027" t="s">
        <v>676</v>
      </c>
      <c r="L246" s="1073" t="s">
        <v>677</v>
      </c>
      <c r="M246" s="1030">
        <v>82500000</v>
      </c>
      <c r="N246" s="1044" t="s">
        <v>732</v>
      </c>
      <c r="O246" s="1056" t="s">
        <v>1480</v>
      </c>
      <c r="P246" s="1056"/>
      <c r="Q246" s="1027"/>
      <c r="R246" s="1022"/>
      <c r="S246" s="1130">
        <v>244</v>
      </c>
      <c r="T246" s="1156">
        <v>82500000</v>
      </c>
    </row>
    <row r="247" spans="1:20" s="995" customFormat="1" ht="76.5" x14ac:dyDescent="0.25">
      <c r="A247" s="1023">
        <v>2022242</v>
      </c>
      <c r="B247" s="1023">
        <v>7655</v>
      </c>
      <c r="C247" s="1023" t="s">
        <v>670</v>
      </c>
      <c r="D247" s="1039" t="s">
        <v>1498</v>
      </c>
      <c r="E247" s="1040">
        <v>80111600</v>
      </c>
      <c r="F247" s="1068" t="s">
        <v>933</v>
      </c>
      <c r="G247" s="1078" t="s">
        <v>1440</v>
      </c>
      <c r="H247" s="1078" t="s">
        <v>1440</v>
      </c>
      <c r="I247" s="1079" t="s">
        <v>1496</v>
      </c>
      <c r="J247" s="1043" t="s">
        <v>1479</v>
      </c>
      <c r="K247" s="1027" t="s">
        <v>676</v>
      </c>
      <c r="L247" s="1073" t="s">
        <v>677</v>
      </c>
      <c r="M247" s="1030">
        <v>50600000</v>
      </c>
      <c r="N247" s="1044" t="s">
        <v>732</v>
      </c>
      <c r="O247" s="1056" t="s">
        <v>1480</v>
      </c>
      <c r="P247" s="1056"/>
      <c r="Q247" s="1027"/>
      <c r="R247" s="1022"/>
      <c r="S247" s="1130">
        <v>249</v>
      </c>
      <c r="T247" s="1156">
        <v>50600000</v>
      </c>
    </row>
    <row r="248" spans="1:20" s="995" customFormat="1" ht="63.75" x14ac:dyDescent="0.25">
      <c r="A248" s="1023">
        <v>2022243</v>
      </c>
      <c r="B248" s="1023">
        <v>7655</v>
      </c>
      <c r="C248" s="1023" t="s">
        <v>670</v>
      </c>
      <c r="D248" s="1039" t="s">
        <v>1498</v>
      </c>
      <c r="E248" s="1040">
        <v>80111600</v>
      </c>
      <c r="F248" s="1068" t="s">
        <v>934</v>
      </c>
      <c r="G248" s="1078" t="s">
        <v>1440</v>
      </c>
      <c r="H248" s="1078" t="s">
        <v>1440</v>
      </c>
      <c r="I248" s="1079" t="s">
        <v>1496</v>
      </c>
      <c r="J248" s="1043" t="s">
        <v>1479</v>
      </c>
      <c r="K248" s="1027" t="s">
        <v>676</v>
      </c>
      <c r="L248" s="1073" t="s">
        <v>677</v>
      </c>
      <c r="M248" s="1030">
        <v>35200000</v>
      </c>
      <c r="N248" s="1044" t="s">
        <v>732</v>
      </c>
      <c r="O248" s="1056" t="s">
        <v>1480</v>
      </c>
      <c r="P248" s="1056"/>
      <c r="Q248" s="1027"/>
      <c r="R248" s="1022"/>
      <c r="S248" s="1130">
        <v>376</v>
      </c>
      <c r="T248" s="1156">
        <v>30250000</v>
      </c>
    </row>
    <row r="249" spans="1:20" s="995" customFormat="1" ht="63.75" x14ac:dyDescent="0.25">
      <c r="A249" s="1023">
        <v>2022244</v>
      </c>
      <c r="B249" s="1023">
        <v>7655</v>
      </c>
      <c r="C249" s="1023" t="s">
        <v>670</v>
      </c>
      <c r="D249" s="1039" t="s">
        <v>1498</v>
      </c>
      <c r="E249" s="1040">
        <v>80111600</v>
      </c>
      <c r="F249" s="1068" t="s">
        <v>935</v>
      </c>
      <c r="G249" s="1078" t="s">
        <v>1440</v>
      </c>
      <c r="H249" s="1078" t="s">
        <v>1440</v>
      </c>
      <c r="I249" s="1079" t="s">
        <v>1496</v>
      </c>
      <c r="J249" s="1043" t="s">
        <v>1479</v>
      </c>
      <c r="K249" s="1027" t="s">
        <v>676</v>
      </c>
      <c r="L249" s="1073" t="s">
        <v>677</v>
      </c>
      <c r="M249" s="1030">
        <v>39050000</v>
      </c>
      <c r="N249" s="1044" t="s">
        <v>732</v>
      </c>
      <c r="O249" s="1056" t="s">
        <v>1480</v>
      </c>
      <c r="P249" s="1056"/>
      <c r="Q249" s="1027"/>
      <c r="R249" s="1022"/>
      <c r="S249" s="1130">
        <v>163</v>
      </c>
      <c r="T249" s="1156">
        <v>39050000</v>
      </c>
    </row>
    <row r="250" spans="1:20" s="995" customFormat="1" ht="63.75" x14ac:dyDescent="0.25">
      <c r="A250" s="1023">
        <v>2022245</v>
      </c>
      <c r="B250" s="1023">
        <v>7655</v>
      </c>
      <c r="C250" s="1023" t="s">
        <v>670</v>
      </c>
      <c r="D250" s="1039" t="s">
        <v>1498</v>
      </c>
      <c r="E250" s="1040">
        <v>80111600</v>
      </c>
      <c r="F250" s="1068" t="s">
        <v>936</v>
      </c>
      <c r="G250" s="1078" t="s">
        <v>1440</v>
      </c>
      <c r="H250" s="1078" t="s">
        <v>1440</v>
      </c>
      <c r="I250" s="1079" t="s">
        <v>1496</v>
      </c>
      <c r="J250" s="1043" t="s">
        <v>1479</v>
      </c>
      <c r="K250" s="1027" t="s">
        <v>676</v>
      </c>
      <c r="L250" s="1073" t="s">
        <v>677</v>
      </c>
      <c r="M250" s="1030">
        <v>39050000</v>
      </c>
      <c r="N250" s="1044" t="s">
        <v>732</v>
      </c>
      <c r="O250" s="1056" t="s">
        <v>1480</v>
      </c>
      <c r="P250" s="1056"/>
      <c r="Q250" s="1027"/>
      <c r="R250" s="1022"/>
      <c r="S250" s="1130">
        <v>160</v>
      </c>
      <c r="T250" s="1156">
        <v>39050000</v>
      </c>
    </row>
    <row r="251" spans="1:20" s="995" customFormat="1" ht="63.75" x14ac:dyDescent="0.25">
      <c r="A251" s="1023">
        <v>2022246</v>
      </c>
      <c r="B251" s="1023">
        <v>7655</v>
      </c>
      <c r="C251" s="1023" t="s">
        <v>670</v>
      </c>
      <c r="D251" s="1039" t="s">
        <v>1498</v>
      </c>
      <c r="E251" s="1040">
        <v>80111600</v>
      </c>
      <c r="F251" s="1068" t="s">
        <v>937</v>
      </c>
      <c r="G251" s="1078" t="s">
        <v>1440</v>
      </c>
      <c r="H251" s="1078" t="s">
        <v>1440</v>
      </c>
      <c r="I251" s="1079" t="s">
        <v>1496</v>
      </c>
      <c r="J251" s="1043" t="s">
        <v>1479</v>
      </c>
      <c r="K251" s="1027" t="s">
        <v>676</v>
      </c>
      <c r="L251" s="1073" t="s">
        <v>677</v>
      </c>
      <c r="M251" s="1030">
        <v>39050000</v>
      </c>
      <c r="N251" s="1044" t="s">
        <v>732</v>
      </c>
      <c r="O251" s="1056" t="s">
        <v>1480</v>
      </c>
      <c r="P251" s="1056"/>
      <c r="Q251" s="1027"/>
      <c r="R251" s="1022"/>
      <c r="S251" s="1130">
        <v>159</v>
      </c>
      <c r="T251" s="1156">
        <v>39050000</v>
      </c>
    </row>
    <row r="252" spans="1:20" s="995" customFormat="1" ht="76.5" x14ac:dyDescent="0.25">
      <c r="A252" s="1023">
        <v>2022247</v>
      </c>
      <c r="B252" s="1023">
        <v>7655</v>
      </c>
      <c r="C252" s="1023" t="s">
        <v>670</v>
      </c>
      <c r="D252" s="1039" t="s">
        <v>1498</v>
      </c>
      <c r="E252" s="1040">
        <v>80111600</v>
      </c>
      <c r="F252" s="1068" t="s">
        <v>938</v>
      </c>
      <c r="G252" s="1078" t="s">
        <v>1440</v>
      </c>
      <c r="H252" s="1078" t="s">
        <v>1440</v>
      </c>
      <c r="I252" s="1079" t="s">
        <v>1496</v>
      </c>
      <c r="J252" s="1043" t="s">
        <v>1479</v>
      </c>
      <c r="K252" s="1027" t="s">
        <v>676</v>
      </c>
      <c r="L252" s="1073" t="s">
        <v>677</v>
      </c>
      <c r="M252" s="1030">
        <v>30250000</v>
      </c>
      <c r="N252" s="1044" t="s">
        <v>732</v>
      </c>
      <c r="O252" s="1056" t="s">
        <v>1480</v>
      </c>
      <c r="P252" s="1056"/>
      <c r="Q252" s="1027"/>
      <c r="R252" s="1022"/>
      <c r="S252" s="1130">
        <v>96</v>
      </c>
      <c r="T252" s="1156">
        <v>30250000</v>
      </c>
    </row>
    <row r="253" spans="1:20" s="995" customFormat="1" ht="63.75" x14ac:dyDescent="0.25">
      <c r="A253" s="1023">
        <v>2022248</v>
      </c>
      <c r="B253" s="1023">
        <v>7655</v>
      </c>
      <c r="C253" s="1023" t="s">
        <v>670</v>
      </c>
      <c r="D253" s="1039" t="s">
        <v>1498</v>
      </c>
      <c r="E253" s="1040">
        <v>80111600</v>
      </c>
      <c r="F253" s="1068" t="s">
        <v>939</v>
      </c>
      <c r="G253" s="1078" t="s">
        <v>1440</v>
      </c>
      <c r="H253" s="1078" t="s">
        <v>1440</v>
      </c>
      <c r="I253" s="1079" t="s">
        <v>1496</v>
      </c>
      <c r="J253" s="1043" t="s">
        <v>1479</v>
      </c>
      <c r="K253" s="1027" t="s">
        <v>676</v>
      </c>
      <c r="L253" s="1073" t="s">
        <v>677</v>
      </c>
      <c r="M253" s="1030">
        <v>36850000</v>
      </c>
      <c r="N253" s="1044" t="s">
        <v>732</v>
      </c>
      <c r="O253" s="1056" t="s">
        <v>1480</v>
      </c>
      <c r="P253" s="1056"/>
      <c r="Q253" s="1027"/>
      <c r="R253" s="1022"/>
      <c r="S253" s="1130">
        <v>250</v>
      </c>
      <c r="T253" s="1156">
        <v>36850000</v>
      </c>
    </row>
    <row r="254" spans="1:20" s="995" customFormat="1" ht="63.75" x14ac:dyDescent="0.25">
      <c r="A254" s="1023">
        <v>2022249</v>
      </c>
      <c r="B254" s="1023">
        <v>7655</v>
      </c>
      <c r="C254" s="1023" t="s">
        <v>670</v>
      </c>
      <c r="D254" s="1039" t="s">
        <v>1498</v>
      </c>
      <c r="E254" s="1040">
        <v>80111600</v>
      </c>
      <c r="F254" s="1026" t="s">
        <v>940</v>
      </c>
      <c r="G254" s="1078" t="s">
        <v>1440</v>
      </c>
      <c r="H254" s="1054" t="s">
        <v>1440</v>
      </c>
      <c r="I254" s="1079" t="s">
        <v>1496</v>
      </c>
      <c r="J254" s="1043" t="s">
        <v>1479</v>
      </c>
      <c r="K254" s="1027" t="s">
        <v>676</v>
      </c>
      <c r="L254" s="1073" t="s">
        <v>677</v>
      </c>
      <c r="M254" s="1030">
        <v>38500000</v>
      </c>
      <c r="N254" s="1044" t="s">
        <v>732</v>
      </c>
      <c r="O254" s="1056" t="s">
        <v>1480</v>
      </c>
      <c r="P254" s="1056"/>
      <c r="Q254" s="1027"/>
      <c r="R254" s="1022"/>
      <c r="S254" s="1130">
        <v>162</v>
      </c>
      <c r="T254" s="1156">
        <v>38500000</v>
      </c>
    </row>
    <row r="255" spans="1:20" s="995" customFormat="1" ht="63.75" x14ac:dyDescent="0.25">
      <c r="A255" s="1023">
        <v>2022250</v>
      </c>
      <c r="B255" s="1023">
        <v>7655</v>
      </c>
      <c r="C255" s="1023" t="s">
        <v>670</v>
      </c>
      <c r="D255" s="1039" t="s">
        <v>1498</v>
      </c>
      <c r="E255" s="1040">
        <v>80111600</v>
      </c>
      <c r="F255" s="1068" t="s">
        <v>941</v>
      </c>
      <c r="G255" s="1078" t="s">
        <v>1440</v>
      </c>
      <c r="H255" s="1078" t="s">
        <v>1440</v>
      </c>
      <c r="I255" s="1079" t="s">
        <v>1496</v>
      </c>
      <c r="J255" s="1043" t="s">
        <v>1479</v>
      </c>
      <c r="K255" s="1027" t="s">
        <v>676</v>
      </c>
      <c r="L255" s="1073" t="s">
        <v>677</v>
      </c>
      <c r="M255" s="1030">
        <v>95700000</v>
      </c>
      <c r="N255" s="1044" t="s">
        <v>732</v>
      </c>
      <c r="O255" s="1056" t="s">
        <v>1480</v>
      </c>
      <c r="P255" s="1056"/>
      <c r="Q255" s="1027"/>
      <c r="R255" s="1022"/>
      <c r="S255" s="1130">
        <v>214</v>
      </c>
      <c r="T255" s="1156">
        <v>95700000</v>
      </c>
    </row>
    <row r="256" spans="1:20" s="995" customFormat="1" ht="89.25" x14ac:dyDescent="0.25">
      <c r="A256" s="1023">
        <v>2022251</v>
      </c>
      <c r="B256" s="1023">
        <v>7658</v>
      </c>
      <c r="C256" s="1023" t="s">
        <v>681</v>
      </c>
      <c r="D256" s="1039" t="s">
        <v>691</v>
      </c>
      <c r="E256" s="1040">
        <v>80111600</v>
      </c>
      <c r="F256" s="1026" t="s">
        <v>942</v>
      </c>
      <c r="G256" s="1041">
        <v>44575</v>
      </c>
      <c r="H256" s="1041">
        <v>44575</v>
      </c>
      <c r="I256" s="1042" t="s">
        <v>1478</v>
      </c>
      <c r="J256" s="1043" t="s">
        <v>1479</v>
      </c>
      <c r="K256" s="1027" t="s">
        <v>676</v>
      </c>
      <c r="L256" s="1029" t="s">
        <v>677</v>
      </c>
      <c r="M256" s="1030">
        <v>103500000</v>
      </c>
      <c r="N256" s="1083" t="s">
        <v>746</v>
      </c>
      <c r="O256" s="1083" t="s">
        <v>1499</v>
      </c>
      <c r="P256" s="1083"/>
      <c r="Q256" s="1027"/>
      <c r="R256" s="1022"/>
      <c r="S256" s="1130">
        <v>77</v>
      </c>
      <c r="T256" s="1156">
        <v>103500000</v>
      </c>
    </row>
    <row r="257" spans="1:20" s="995" customFormat="1" ht="89.25" x14ac:dyDescent="0.25">
      <c r="A257" s="1023">
        <v>2022253</v>
      </c>
      <c r="B257" s="1023">
        <v>7658</v>
      </c>
      <c r="C257" s="1023" t="s">
        <v>681</v>
      </c>
      <c r="D257" s="1039" t="s">
        <v>691</v>
      </c>
      <c r="E257" s="1040">
        <v>80111600</v>
      </c>
      <c r="F257" s="1026" t="s">
        <v>944</v>
      </c>
      <c r="G257" s="1041">
        <v>44575</v>
      </c>
      <c r="H257" s="1041">
        <v>44575</v>
      </c>
      <c r="I257" s="1042" t="s">
        <v>1478</v>
      </c>
      <c r="J257" s="1043" t="s">
        <v>1479</v>
      </c>
      <c r="K257" s="1027" t="s">
        <v>676</v>
      </c>
      <c r="L257" s="1029" t="s">
        <v>677</v>
      </c>
      <c r="M257" s="1030">
        <v>32775000</v>
      </c>
      <c r="N257" s="1083" t="s">
        <v>746</v>
      </c>
      <c r="O257" s="1083" t="s">
        <v>1499</v>
      </c>
      <c r="P257" s="1083"/>
      <c r="Q257" s="1027"/>
      <c r="R257" s="1022"/>
      <c r="S257" s="1130">
        <v>300</v>
      </c>
      <c r="T257" s="1156">
        <v>32200000</v>
      </c>
    </row>
    <row r="258" spans="1:20" s="995" customFormat="1" ht="89.25" x14ac:dyDescent="0.25">
      <c r="A258" s="1023">
        <v>2022255</v>
      </c>
      <c r="B258" s="1023">
        <v>7658</v>
      </c>
      <c r="C258" s="1023" t="s">
        <v>681</v>
      </c>
      <c r="D258" s="1039" t="s">
        <v>691</v>
      </c>
      <c r="E258" s="1040">
        <v>80111600</v>
      </c>
      <c r="F258" s="1026" t="s">
        <v>945</v>
      </c>
      <c r="G258" s="1041">
        <v>44575</v>
      </c>
      <c r="H258" s="1041">
        <v>44575</v>
      </c>
      <c r="I258" s="1042" t="s">
        <v>1478</v>
      </c>
      <c r="J258" s="1043" t="s">
        <v>1479</v>
      </c>
      <c r="K258" s="1027" t="s">
        <v>676</v>
      </c>
      <c r="L258" s="1029" t="s">
        <v>677</v>
      </c>
      <c r="M258" s="1030">
        <v>83950000</v>
      </c>
      <c r="N258" s="1083" t="s">
        <v>746</v>
      </c>
      <c r="O258" s="1083" t="s">
        <v>1499</v>
      </c>
      <c r="P258" s="1083"/>
      <c r="Q258" s="1027"/>
      <c r="R258" s="1022"/>
      <c r="S258" s="1130">
        <v>238</v>
      </c>
      <c r="T258" s="1156">
        <v>83950000</v>
      </c>
    </row>
    <row r="259" spans="1:20" s="995" customFormat="1" ht="89.25" x14ac:dyDescent="0.25">
      <c r="A259" s="1023">
        <v>2022258</v>
      </c>
      <c r="B259" s="1023">
        <v>7658</v>
      </c>
      <c r="C259" s="1023" t="s">
        <v>681</v>
      </c>
      <c r="D259" s="1039" t="s">
        <v>691</v>
      </c>
      <c r="E259" s="1040">
        <v>80111600</v>
      </c>
      <c r="F259" s="1026" t="s">
        <v>947</v>
      </c>
      <c r="G259" s="1041">
        <v>44575</v>
      </c>
      <c r="H259" s="1041">
        <v>44575</v>
      </c>
      <c r="I259" s="1042" t="s">
        <v>1478</v>
      </c>
      <c r="J259" s="1043" t="s">
        <v>1479</v>
      </c>
      <c r="K259" s="1027" t="s">
        <v>676</v>
      </c>
      <c r="L259" s="1029" t="s">
        <v>677</v>
      </c>
      <c r="M259" s="1030">
        <v>83950000</v>
      </c>
      <c r="N259" s="1083" t="s">
        <v>746</v>
      </c>
      <c r="O259" s="1083" t="s">
        <v>1499</v>
      </c>
      <c r="P259" s="1083"/>
      <c r="Q259" s="1027"/>
      <c r="R259" s="1022"/>
      <c r="S259" s="1130">
        <v>215</v>
      </c>
      <c r="T259" s="1156">
        <v>43800000</v>
      </c>
    </row>
    <row r="260" spans="1:20" s="995" customFormat="1" ht="89.25" x14ac:dyDescent="0.25">
      <c r="A260" s="1023">
        <v>2022260</v>
      </c>
      <c r="B260" s="1023">
        <v>7658</v>
      </c>
      <c r="C260" s="1023" t="s">
        <v>681</v>
      </c>
      <c r="D260" s="1039" t="s">
        <v>691</v>
      </c>
      <c r="E260" s="1040">
        <v>80111600</v>
      </c>
      <c r="F260" s="1026" t="s">
        <v>947</v>
      </c>
      <c r="G260" s="1041">
        <v>44575</v>
      </c>
      <c r="H260" s="1041">
        <v>44575</v>
      </c>
      <c r="I260" s="1042" t="s">
        <v>1478</v>
      </c>
      <c r="J260" s="1043" t="s">
        <v>1479</v>
      </c>
      <c r="K260" s="1027" t="s">
        <v>676</v>
      </c>
      <c r="L260" s="1029" t="s">
        <v>677</v>
      </c>
      <c r="M260" s="1030">
        <v>83950000</v>
      </c>
      <c r="N260" s="1083" t="s">
        <v>746</v>
      </c>
      <c r="O260" s="1083" t="s">
        <v>1499</v>
      </c>
      <c r="P260" s="1083"/>
      <c r="Q260" s="1027"/>
      <c r="R260" s="1022"/>
      <c r="S260" s="1130">
        <v>401</v>
      </c>
      <c r="T260" s="1156">
        <v>51100000</v>
      </c>
    </row>
    <row r="261" spans="1:20" s="995" customFormat="1" ht="89.25" x14ac:dyDescent="0.25">
      <c r="A261" s="1023">
        <v>2022261</v>
      </c>
      <c r="B261" s="1023">
        <v>7658</v>
      </c>
      <c r="C261" s="1023" t="s">
        <v>681</v>
      </c>
      <c r="D261" s="1039" t="s">
        <v>691</v>
      </c>
      <c r="E261" s="1040">
        <v>80111600</v>
      </c>
      <c r="F261" s="1026" t="s">
        <v>947</v>
      </c>
      <c r="G261" s="1041">
        <v>44575</v>
      </c>
      <c r="H261" s="1041">
        <v>44575</v>
      </c>
      <c r="I261" s="1042" t="s">
        <v>1478</v>
      </c>
      <c r="J261" s="1043" t="s">
        <v>1479</v>
      </c>
      <c r="K261" s="1027" t="s">
        <v>676</v>
      </c>
      <c r="L261" s="1029" t="s">
        <v>677</v>
      </c>
      <c r="M261" s="1030">
        <v>83950000</v>
      </c>
      <c r="N261" s="1083" t="s">
        <v>746</v>
      </c>
      <c r="O261" s="1083" t="s">
        <v>1499</v>
      </c>
      <c r="P261" s="1083"/>
      <c r="Q261" s="1027"/>
      <c r="R261" s="1022"/>
      <c r="S261" s="1130">
        <v>138</v>
      </c>
      <c r="T261" s="1156">
        <v>78200000</v>
      </c>
    </row>
    <row r="262" spans="1:20" s="995" customFormat="1" ht="89.25" x14ac:dyDescent="0.25">
      <c r="A262" s="1023">
        <v>2022262</v>
      </c>
      <c r="B262" s="1023">
        <v>7658</v>
      </c>
      <c r="C262" s="1023" t="s">
        <v>681</v>
      </c>
      <c r="D262" s="1039" t="s">
        <v>691</v>
      </c>
      <c r="E262" s="1040">
        <v>80111600</v>
      </c>
      <c r="F262" s="1026" t="s">
        <v>947</v>
      </c>
      <c r="G262" s="1041">
        <v>44575</v>
      </c>
      <c r="H262" s="1041">
        <v>44575</v>
      </c>
      <c r="I262" s="1042" t="s">
        <v>1478</v>
      </c>
      <c r="J262" s="1043" t="s">
        <v>1479</v>
      </c>
      <c r="K262" s="1027" t="s">
        <v>676</v>
      </c>
      <c r="L262" s="1029" t="s">
        <v>677</v>
      </c>
      <c r="M262" s="1030">
        <v>83950000</v>
      </c>
      <c r="N262" s="1083" t="s">
        <v>746</v>
      </c>
      <c r="O262" s="1083" t="s">
        <v>1499</v>
      </c>
      <c r="P262" s="1083"/>
      <c r="Q262" s="1027"/>
      <c r="R262" s="1022"/>
      <c r="S262" s="1130">
        <v>255</v>
      </c>
      <c r="T262" s="1156">
        <v>83950000</v>
      </c>
    </row>
    <row r="263" spans="1:20" s="995" customFormat="1" ht="89.25" x14ac:dyDescent="0.25">
      <c r="A263" s="1023">
        <v>2022264</v>
      </c>
      <c r="B263" s="1023">
        <v>7658</v>
      </c>
      <c r="C263" s="1023" t="s">
        <v>681</v>
      </c>
      <c r="D263" s="1039" t="s">
        <v>691</v>
      </c>
      <c r="E263" s="1040">
        <v>80111600</v>
      </c>
      <c r="F263" s="1026" t="s">
        <v>948</v>
      </c>
      <c r="G263" s="1041">
        <v>44575</v>
      </c>
      <c r="H263" s="1041">
        <v>44575</v>
      </c>
      <c r="I263" s="1042" t="s">
        <v>1478</v>
      </c>
      <c r="J263" s="1043" t="s">
        <v>1479</v>
      </c>
      <c r="K263" s="1027" t="s">
        <v>676</v>
      </c>
      <c r="L263" s="1029" t="s">
        <v>677</v>
      </c>
      <c r="M263" s="1030">
        <v>44275000</v>
      </c>
      <c r="N263" s="1083" t="s">
        <v>746</v>
      </c>
      <c r="O263" s="1083" t="s">
        <v>1499</v>
      </c>
      <c r="P263" s="1083"/>
      <c r="Q263" s="1027"/>
      <c r="R263" s="1022"/>
      <c r="S263" s="1130">
        <v>373</v>
      </c>
      <c r="T263" s="1156">
        <v>44275000</v>
      </c>
    </row>
    <row r="264" spans="1:20" s="995" customFormat="1" ht="89.25" x14ac:dyDescent="0.25">
      <c r="A264" s="1023">
        <v>2022265</v>
      </c>
      <c r="B264" s="1023">
        <v>7658</v>
      </c>
      <c r="C264" s="1023" t="s">
        <v>681</v>
      </c>
      <c r="D264" s="1039" t="s">
        <v>691</v>
      </c>
      <c r="E264" s="1040">
        <v>80111600</v>
      </c>
      <c r="F264" s="1026" t="s">
        <v>949</v>
      </c>
      <c r="G264" s="1041">
        <v>44575</v>
      </c>
      <c r="H264" s="1041">
        <v>44575</v>
      </c>
      <c r="I264" s="1042" t="s">
        <v>1478</v>
      </c>
      <c r="J264" s="1043" t="s">
        <v>1479</v>
      </c>
      <c r="K264" s="1027" t="s">
        <v>676</v>
      </c>
      <c r="L264" s="1029" t="s">
        <v>677</v>
      </c>
      <c r="M264" s="1030">
        <v>28175000</v>
      </c>
      <c r="N264" s="1083" t="s">
        <v>746</v>
      </c>
      <c r="O264" s="1083" t="s">
        <v>1499</v>
      </c>
      <c r="P264" s="1083"/>
      <c r="Q264" s="1027"/>
      <c r="R264" s="1022"/>
      <c r="S264" s="1130">
        <v>257</v>
      </c>
      <c r="T264" s="1156">
        <v>28175000</v>
      </c>
    </row>
    <row r="265" spans="1:20" s="995" customFormat="1" ht="89.25" x14ac:dyDescent="0.25">
      <c r="A265" s="1023">
        <v>2022266</v>
      </c>
      <c r="B265" s="1023">
        <v>7658</v>
      </c>
      <c r="C265" s="1023" t="s">
        <v>681</v>
      </c>
      <c r="D265" s="1039" t="s">
        <v>691</v>
      </c>
      <c r="E265" s="1040">
        <v>80111600</v>
      </c>
      <c r="F265" s="1026" t="s">
        <v>950</v>
      </c>
      <c r="G265" s="1041">
        <v>44575</v>
      </c>
      <c r="H265" s="1041">
        <v>44575</v>
      </c>
      <c r="I265" s="1042" t="s">
        <v>1478</v>
      </c>
      <c r="J265" s="1043" t="s">
        <v>1479</v>
      </c>
      <c r="K265" s="1027" t="s">
        <v>676</v>
      </c>
      <c r="L265" s="1029" t="s">
        <v>677</v>
      </c>
      <c r="M265" s="1030">
        <v>63250000</v>
      </c>
      <c r="N265" s="1083" t="s">
        <v>746</v>
      </c>
      <c r="O265" s="1083" t="s">
        <v>1499</v>
      </c>
      <c r="P265" s="1083"/>
      <c r="Q265" s="1027"/>
      <c r="R265" s="1022"/>
      <c r="S265" s="1130">
        <v>110</v>
      </c>
      <c r="T265" s="1156">
        <v>63250000</v>
      </c>
    </row>
    <row r="266" spans="1:20" s="995" customFormat="1" ht="89.25" x14ac:dyDescent="0.25">
      <c r="A266" s="1023">
        <v>2022267</v>
      </c>
      <c r="B266" s="1023">
        <v>7658</v>
      </c>
      <c r="C266" s="1023" t="s">
        <v>681</v>
      </c>
      <c r="D266" s="1039" t="s">
        <v>691</v>
      </c>
      <c r="E266" s="1040">
        <v>80111600</v>
      </c>
      <c r="F266" s="1026" t="s">
        <v>951</v>
      </c>
      <c r="G266" s="1041">
        <v>44575</v>
      </c>
      <c r="H266" s="1041">
        <v>44575</v>
      </c>
      <c r="I266" s="1042" t="s">
        <v>1478</v>
      </c>
      <c r="J266" s="1043" t="s">
        <v>1479</v>
      </c>
      <c r="K266" s="1027" t="s">
        <v>676</v>
      </c>
      <c r="L266" s="1029" t="s">
        <v>677</v>
      </c>
      <c r="M266" s="1030">
        <v>28175000</v>
      </c>
      <c r="N266" s="1083" t="s">
        <v>746</v>
      </c>
      <c r="O266" s="1083" t="s">
        <v>1499</v>
      </c>
      <c r="P266" s="1083"/>
      <c r="Q266" s="1027"/>
      <c r="R266" s="1022"/>
      <c r="S266" s="1130">
        <v>441</v>
      </c>
      <c r="T266" s="1156">
        <v>28175000</v>
      </c>
    </row>
    <row r="267" spans="1:20" s="995" customFormat="1" ht="89.25" x14ac:dyDescent="0.25">
      <c r="A267" s="1023">
        <v>2022268</v>
      </c>
      <c r="B267" s="1023">
        <v>7658</v>
      </c>
      <c r="C267" s="1023" t="s">
        <v>681</v>
      </c>
      <c r="D267" s="1039" t="s">
        <v>691</v>
      </c>
      <c r="E267" s="1040">
        <v>80111600</v>
      </c>
      <c r="F267" s="1026" t="s">
        <v>951</v>
      </c>
      <c r="G267" s="1041">
        <v>44575</v>
      </c>
      <c r="H267" s="1041">
        <v>44575</v>
      </c>
      <c r="I267" s="1042" t="s">
        <v>1478</v>
      </c>
      <c r="J267" s="1043" t="s">
        <v>1479</v>
      </c>
      <c r="K267" s="1027" t="s">
        <v>676</v>
      </c>
      <c r="L267" s="1029" t="s">
        <v>677</v>
      </c>
      <c r="M267" s="1030">
        <v>28175000</v>
      </c>
      <c r="N267" s="1083" t="s">
        <v>746</v>
      </c>
      <c r="O267" s="1083" t="s">
        <v>1499</v>
      </c>
      <c r="P267" s="1083"/>
      <c r="Q267" s="1027"/>
      <c r="R267" s="1022"/>
      <c r="S267" s="1130">
        <v>370</v>
      </c>
      <c r="T267" s="1156">
        <v>28175000</v>
      </c>
    </row>
    <row r="268" spans="1:20" s="995" customFormat="1" ht="89.25" x14ac:dyDescent="0.25">
      <c r="A268" s="1023">
        <v>2022269</v>
      </c>
      <c r="B268" s="1023">
        <v>7658</v>
      </c>
      <c r="C268" s="1023" t="s">
        <v>681</v>
      </c>
      <c r="D268" s="1039" t="s">
        <v>691</v>
      </c>
      <c r="E268" s="1040">
        <v>80111600</v>
      </c>
      <c r="F268" s="1026" t="s">
        <v>951</v>
      </c>
      <c r="G268" s="1041">
        <v>44575</v>
      </c>
      <c r="H268" s="1041">
        <v>44575</v>
      </c>
      <c r="I268" s="1042" t="s">
        <v>1478</v>
      </c>
      <c r="J268" s="1043" t="s">
        <v>1479</v>
      </c>
      <c r="K268" s="1027" t="s">
        <v>676</v>
      </c>
      <c r="L268" s="1029" t="s">
        <v>677</v>
      </c>
      <c r="M268" s="1030">
        <v>28175000</v>
      </c>
      <c r="N268" s="1083" t="s">
        <v>746</v>
      </c>
      <c r="O268" s="1083" t="s">
        <v>1499</v>
      </c>
      <c r="P268" s="1083"/>
      <c r="Q268" s="1027"/>
      <c r="R268" s="1022"/>
      <c r="S268" s="1130">
        <v>438</v>
      </c>
      <c r="T268" s="1156">
        <v>28175000</v>
      </c>
    </row>
    <row r="269" spans="1:20" s="995" customFormat="1" ht="89.25" x14ac:dyDescent="0.25">
      <c r="A269" s="1023">
        <v>2022270</v>
      </c>
      <c r="B269" s="1023">
        <v>7658</v>
      </c>
      <c r="C269" s="1023" t="s">
        <v>681</v>
      </c>
      <c r="D269" s="1039" t="s">
        <v>691</v>
      </c>
      <c r="E269" s="1040">
        <v>80111600</v>
      </c>
      <c r="F269" s="1026" t="s">
        <v>951</v>
      </c>
      <c r="G269" s="1041">
        <v>44575</v>
      </c>
      <c r="H269" s="1041">
        <v>44575</v>
      </c>
      <c r="I269" s="1042" t="s">
        <v>1478</v>
      </c>
      <c r="J269" s="1043" t="s">
        <v>1479</v>
      </c>
      <c r="K269" s="1027" t="s">
        <v>676</v>
      </c>
      <c r="L269" s="1029" t="s">
        <v>677</v>
      </c>
      <c r="M269" s="1030">
        <v>28175000</v>
      </c>
      <c r="N269" s="1083" t="s">
        <v>746</v>
      </c>
      <c r="O269" s="1083" t="s">
        <v>1499</v>
      </c>
      <c r="P269" s="1083"/>
      <c r="Q269" s="1027"/>
      <c r="R269" s="1022"/>
      <c r="S269" s="1130">
        <v>317</v>
      </c>
      <c r="T269" s="1156">
        <v>28175000</v>
      </c>
    </row>
    <row r="270" spans="1:20" s="995" customFormat="1" ht="89.25" x14ac:dyDescent="0.25">
      <c r="A270" s="1023">
        <v>2022271</v>
      </c>
      <c r="B270" s="1023">
        <v>7658</v>
      </c>
      <c r="C270" s="1023" t="s">
        <v>681</v>
      </c>
      <c r="D270" s="1039" t="s">
        <v>691</v>
      </c>
      <c r="E270" s="1040">
        <v>80111600</v>
      </c>
      <c r="F270" s="1026" t="s">
        <v>951</v>
      </c>
      <c r="G270" s="1041">
        <v>44575</v>
      </c>
      <c r="H270" s="1041">
        <v>44575</v>
      </c>
      <c r="I270" s="1042" t="s">
        <v>1478</v>
      </c>
      <c r="J270" s="1043" t="s">
        <v>1479</v>
      </c>
      <c r="K270" s="1027" t="s">
        <v>676</v>
      </c>
      <c r="L270" s="1029" t="s">
        <v>677</v>
      </c>
      <c r="M270" s="1030">
        <v>28175000</v>
      </c>
      <c r="N270" s="1083" t="s">
        <v>746</v>
      </c>
      <c r="O270" s="1083" t="s">
        <v>1499</v>
      </c>
      <c r="P270" s="1083"/>
      <c r="Q270" s="1027"/>
      <c r="R270" s="1022"/>
      <c r="S270" s="1130">
        <v>319</v>
      </c>
      <c r="T270" s="1156">
        <v>28175000</v>
      </c>
    </row>
    <row r="271" spans="1:20" s="995" customFormat="1" ht="89.25" x14ac:dyDescent="0.25">
      <c r="A271" s="1023">
        <v>2022272</v>
      </c>
      <c r="B271" s="1023">
        <v>7658</v>
      </c>
      <c r="C271" s="1023" t="s">
        <v>681</v>
      </c>
      <c r="D271" s="1039" t="s">
        <v>691</v>
      </c>
      <c r="E271" s="1040">
        <v>80111600</v>
      </c>
      <c r="F271" s="1026" t="s">
        <v>951</v>
      </c>
      <c r="G271" s="1041">
        <v>44575</v>
      </c>
      <c r="H271" s="1041">
        <v>44575</v>
      </c>
      <c r="I271" s="1042" t="s">
        <v>1478</v>
      </c>
      <c r="J271" s="1043" t="s">
        <v>1479</v>
      </c>
      <c r="K271" s="1027" t="s">
        <v>676</v>
      </c>
      <c r="L271" s="1029" t="s">
        <v>677</v>
      </c>
      <c r="M271" s="1030">
        <v>28175000</v>
      </c>
      <c r="N271" s="1083" t="s">
        <v>746</v>
      </c>
      <c r="O271" s="1083" t="s">
        <v>1499</v>
      </c>
      <c r="P271" s="1083"/>
      <c r="Q271" s="1027"/>
      <c r="R271" s="1022"/>
      <c r="S271" s="1130">
        <v>337</v>
      </c>
      <c r="T271" s="1156">
        <v>28175000</v>
      </c>
    </row>
    <row r="272" spans="1:20" s="995" customFormat="1" ht="89.25" x14ac:dyDescent="0.25">
      <c r="A272" s="1023">
        <v>2022273</v>
      </c>
      <c r="B272" s="1023">
        <v>7658</v>
      </c>
      <c r="C272" s="1023" t="s">
        <v>681</v>
      </c>
      <c r="D272" s="1039" t="s">
        <v>691</v>
      </c>
      <c r="E272" s="1040">
        <v>80111600</v>
      </c>
      <c r="F272" s="1026" t="s">
        <v>951</v>
      </c>
      <c r="G272" s="1041">
        <v>44575</v>
      </c>
      <c r="H272" s="1041">
        <v>44575</v>
      </c>
      <c r="I272" s="1042" t="s">
        <v>1478</v>
      </c>
      <c r="J272" s="1043" t="s">
        <v>1479</v>
      </c>
      <c r="K272" s="1027" t="s">
        <v>676</v>
      </c>
      <c r="L272" s="1029" t="s">
        <v>677</v>
      </c>
      <c r="M272" s="1030">
        <v>28175000</v>
      </c>
      <c r="N272" s="1083" t="s">
        <v>746</v>
      </c>
      <c r="O272" s="1083" t="s">
        <v>1499</v>
      </c>
      <c r="P272" s="1083"/>
      <c r="Q272" s="1027"/>
      <c r="R272" s="1022"/>
      <c r="S272" s="1130">
        <v>400</v>
      </c>
      <c r="T272" s="1156">
        <v>28175000</v>
      </c>
    </row>
    <row r="273" spans="1:103" s="995" customFormat="1" ht="89.25" x14ac:dyDescent="0.25">
      <c r="A273" s="1023">
        <v>2022274</v>
      </c>
      <c r="B273" s="1023">
        <v>7658</v>
      </c>
      <c r="C273" s="1023" t="s">
        <v>681</v>
      </c>
      <c r="D273" s="1039" t="s">
        <v>691</v>
      </c>
      <c r="E273" s="1040">
        <v>80111600</v>
      </c>
      <c r="F273" s="1026" t="s">
        <v>951</v>
      </c>
      <c r="G273" s="1041">
        <v>44575</v>
      </c>
      <c r="H273" s="1041">
        <v>44575</v>
      </c>
      <c r="I273" s="1042" t="s">
        <v>1478</v>
      </c>
      <c r="J273" s="1043" t="s">
        <v>1479</v>
      </c>
      <c r="K273" s="1027" t="s">
        <v>676</v>
      </c>
      <c r="L273" s="1029" t="s">
        <v>677</v>
      </c>
      <c r="M273" s="1030">
        <v>28175000</v>
      </c>
      <c r="N273" s="1083" t="s">
        <v>746</v>
      </c>
      <c r="O273" s="1083" t="s">
        <v>1499</v>
      </c>
      <c r="P273" s="1083"/>
      <c r="Q273" s="1027"/>
      <c r="R273" s="1022"/>
      <c r="S273" s="1130">
        <v>425</v>
      </c>
      <c r="T273" s="1156">
        <v>28175000</v>
      </c>
    </row>
    <row r="274" spans="1:103" s="995" customFormat="1" ht="89.25" x14ac:dyDescent="0.25">
      <c r="A274" s="1023">
        <v>2022275</v>
      </c>
      <c r="B274" s="1023">
        <v>7658</v>
      </c>
      <c r="C274" s="1023" t="s">
        <v>681</v>
      </c>
      <c r="D274" s="1039" t="s">
        <v>691</v>
      </c>
      <c r="E274" s="1040">
        <v>80111600</v>
      </c>
      <c r="F274" s="1026" t="s">
        <v>951</v>
      </c>
      <c r="G274" s="1041">
        <v>44575</v>
      </c>
      <c r="H274" s="1041">
        <v>44575</v>
      </c>
      <c r="I274" s="1042" t="s">
        <v>1478</v>
      </c>
      <c r="J274" s="1043" t="s">
        <v>1479</v>
      </c>
      <c r="K274" s="1027" t="s">
        <v>676</v>
      </c>
      <c r="L274" s="1029" t="s">
        <v>677</v>
      </c>
      <c r="M274" s="1030">
        <v>28175000</v>
      </c>
      <c r="N274" s="1083" t="s">
        <v>746</v>
      </c>
      <c r="O274" s="1083" t="s">
        <v>1499</v>
      </c>
      <c r="P274" s="1083"/>
      <c r="Q274" s="1027"/>
      <c r="R274" s="1022"/>
      <c r="S274" s="1130">
        <v>369</v>
      </c>
      <c r="T274" s="1156">
        <v>28175000</v>
      </c>
    </row>
    <row r="275" spans="1:103" s="995" customFormat="1" ht="89.25" x14ac:dyDescent="0.25">
      <c r="A275" s="1023">
        <v>2022276</v>
      </c>
      <c r="B275" s="1023">
        <v>7658</v>
      </c>
      <c r="C275" s="1023" t="s">
        <v>681</v>
      </c>
      <c r="D275" s="1039" t="s">
        <v>691</v>
      </c>
      <c r="E275" s="1040">
        <v>80111600</v>
      </c>
      <c r="F275" s="1026" t="s">
        <v>951</v>
      </c>
      <c r="G275" s="1041">
        <v>44575</v>
      </c>
      <c r="H275" s="1041">
        <v>44575</v>
      </c>
      <c r="I275" s="1042" t="s">
        <v>1478</v>
      </c>
      <c r="J275" s="1043" t="s">
        <v>1479</v>
      </c>
      <c r="K275" s="1027" t="s">
        <v>676</v>
      </c>
      <c r="L275" s="1029" t="s">
        <v>677</v>
      </c>
      <c r="M275" s="1030">
        <v>24150000</v>
      </c>
      <c r="N275" s="1083" t="s">
        <v>746</v>
      </c>
      <c r="O275" s="1083" t="s">
        <v>1499</v>
      </c>
      <c r="P275" s="1083"/>
      <c r="Q275" s="1027"/>
      <c r="R275" s="1022"/>
      <c r="S275" s="1130">
        <v>325</v>
      </c>
      <c r="T275" s="1156">
        <v>24150000</v>
      </c>
    </row>
    <row r="276" spans="1:103" s="995" customFormat="1" ht="89.25" x14ac:dyDescent="0.25">
      <c r="A276" s="1023">
        <v>2022277</v>
      </c>
      <c r="B276" s="1023">
        <v>7658</v>
      </c>
      <c r="C276" s="1023" t="s">
        <v>681</v>
      </c>
      <c r="D276" s="1039" t="s">
        <v>691</v>
      </c>
      <c r="E276" s="1040">
        <v>80111600</v>
      </c>
      <c r="F276" s="1026" t="s">
        <v>951</v>
      </c>
      <c r="G276" s="1041">
        <v>44575</v>
      </c>
      <c r="H276" s="1041">
        <v>44575</v>
      </c>
      <c r="I276" s="1042" t="s">
        <v>1478</v>
      </c>
      <c r="J276" s="1043" t="s">
        <v>1479</v>
      </c>
      <c r="K276" s="1027" t="s">
        <v>676</v>
      </c>
      <c r="L276" s="1029" t="s">
        <v>677</v>
      </c>
      <c r="M276" s="1030">
        <v>28175000</v>
      </c>
      <c r="N276" s="1083" t="s">
        <v>746</v>
      </c>
      <c r="O276" s="1083" t="s">
        <v>1499</v>
      </c>
      <c r="P276" s="1083"/>
      <c r="Q276" s="1027"/>
      <c r="R276" s="1022"/>
      <c r="S276" s="1130">
        <v>88</v>
      </c>
      <c r="T276" s="1156">
        <v>28175000</v>
      </c>
    </row>
    <row r="277" spans="1:103" s="995" customFormat="1" ht="89.25" x14ac:dyDescent="0.25">
      <c r="A277" s="1023">
        <v>2022278</v>
      </c>
      <c r="B277" s="1023">
        <v>7658</v>
      </c>
      <c r="C277" s="1023" t="s">
        <v>681</v>
      </c>
      <c r="D277" s="1039" t="s">
        <v>691</v>
      </c>
      <c r="E277" s="1040">
        <v>80111600</v>
      </c>
      <c r="F277" s="1026" t="s">
        <v>951</v>
      </c>
      <c r="G277" s="1041">
        <v>44575</v>
      </c>
      <c r="H277" s="1041">
        <v>44575</v>
      </c>
      <c r="I277" s="1042" t="s">
        <v>1478</v>
      </c>
      <c r="J277" s="1043" t="s">
        <v>1479</v>
      </c>
      <c r="K277" s="1027" t="s">
        <v>676</v>
      </c>
      <c r="L277" s="1029" t="s">
        <v>677</v>
      </c>
      <c r="M277" s="1030">
        <v>28175000</v>
      </c>
      <c r="N277" s="1083" t="s">
        <v>746</v>
      </c>
      <c r="O277" s="1083" t="s">
        <v>1499</v>
      </c>
      <c r="P277" s="1083"/>
      <c r="Q277" s="1027"/>
      <c r="R277" s="1022"/>
      <c r="S277" s="1130">
        <v>335</v>
      </c>
      <c r="T277" s="1156">
        <v>28175000</v>
      </c>
    </row>
    <row r="278" spans="1:103" s="995" customFormat="1" ht="89.25" x14ac:dyDescent="0.25">
      <c r="A278" s="1023">
        <v>2022280</v>
      </c>
      <c r="B278" s="1023">
        <v>7658</v>
      </c>
      <c r="C278" s="1023" t="s">
        <v>681</v>
      </c>
      <c r="D278" s="1039" t="s">
        <v>691</v>
      </c>
      <c r="E278" s="1040">
        <v>80111600</v>
      </c>
      <c r="F278" s="1026" t="s">
        <v>951</v>
      </c>
      <c r="G278" s="1041">
        <v>44575</v>
      </c>
      <c r="H278" s="1041">
        <v>44575</v>
      </c>
      <c r="I278" s="1042" t="s">
        <v>1478</v>
      </c>
      <c r="J278" s="1043" t="s">
        <v>1479</v>
      </c>
      <c r="K278" s="1027" t="s">
        <v>676</v>
      </c>
      <c r="L278" s="1029" t="s">
        <v>677</v>
      </c>
      <c r="M278" s="1030">
        <v>28175000</v>
      </c>
      <c r="N278" s="1083" t="s">
        <v>746</v>
      </c>
      <c r="O278" s="1083" t="s">
        <v>1499</v>
      </c>
      <c r="P278" s="1083"/>
      <c r="Q278" s="1027"/>
      <c r="R278" s="1022"/>
      <c r="S278" s="1130">
        <v>326</v>
      </c>
      <c r="T278" s="1156">
        <v>28175000</v>
      </c>
    </row>
    <row r="279" spans="1:103" s="995" customFormat="1" ht="89.25" x14ac:dyDescent="0.25">
      <c r="A279" s="1023">
        <v>2022281</v>
      </c>
      <c r="B279" s="1023">
        <v>7658</v>
      </c>
      <c r="C279" s="1023" t="s">
        <v>681</v>
      </c>
      <c r="D279" s="1039" t="s">
        <v>691</v>
      </c>
      <c r="E279" s="1040">
        <v>80111600</v>
      </c>
      <c r="F279" s="1026" t="s">
        <v>951</v>
      </c>
      <c r="G279" s="1041">
        <v>44575</v>
      </c>
      <c r="H279" s="1041">
        <v>44575</v>
      </c>
      <c r="I279" s="1042" t="s">
        <v>1478</v>
      </c>
      <c r="J279" s="1043" t="s">
        <v>1479</v>
      </c>
      <c r="K279" s="1027" t="s">
        <v>676</v>
      </c>
      <c r="L279" s="1029" t="s">
        <v>677</v>
      </c>
      <c r="M279" s="1030">
        <v>28175000</v>
      </c>
      <c r="N279" s="1083" t="s">
        <v>746</v>
      </c>
      <c r="O279" s="1083" t="s">
        <v>1499</v>
      </c>
      <c r="P279" s="1083"/>
      <c r="Q279" s="1027"/>
      <c r="R279" s="1022"/>
      <c r="S279" s="1130">
        <v>320</v>
      </c>
      <c r="T279" s="1156">
        <v>28175000</v>
      </c>
    </row>
    <row r="280" spans="1:103" s="995" customFormat="1" ht="89.25" x14ac:dyDescent="0.25">
      <c r="A280" s="1023">
        <v>2022283</v>
      </c>
      <c r="B280" s="1023">
        <v>7658</v>
      </c>
      <c r="C280" s="1023" t="s">
        <v>681</v>
      </c>
      <c r="D280" s="1039" t="s">
        <v>691</v>
      </c>
      <c r="E280" s="1040">
        <v>80111600</v>
      </c>
      <c r="F280" s="1026" t="s">
        <v>952</v>
      </c>
      <c r="G280" s="1041">
        <v>44575</v>
      </c>
      <c r="H280" s="1041">
        <v>44575</v>
      </c>
      <c r="I280" s="1042" t="s">
        <v>1478</v>
      </c>
      <c r="J280" s="1043" t="s">
        <v>1479</v>
      </c>
      <c r="K280" s="1027" t="s">
        <v>676</v>
      </c>
      <c r="L280" s="1029" t="s">
        <v>677</v>
      </c>
      <c r="M280" s="1030">
        <v>47150000</v>
      </c>
      <c r="N280" s="1083" t="s">
        <v>746</v>
      </c>
      <c r="O280" s="1083" t="s">
        <v>1499</v>
      </c>
      <c r="P280" s="1083"/>
      <c r="Q280" s="1027"/>
      <c r="R280" s="1022"/>
      <c r="S280" s="1130">
        <v>476</v>
      </c>
      <c r="T280" s="1156">
        <v>44275000</v>
      </c>
    </row>
    <row r="281" spans="1:103" s="995" customFormat="1" ht="89.25" x14ac:dyDescent="0.25">
      <c r="A281" s="1023">
        <v>2022284</v>
      </c>
      <c r="B281" s="1023">
        <v>7658</v>
      </c>
      <c r="C281" s="1023" t="s">
        <v>681</v>
      </c>
      <c r="D281" s="1039" t="s">
        <v>691</v>
      </c>
      <c r="E281" s="1040">
        <v>80111600</v>
      </c>
      <c r="F281" s="1026" t="s">
        <v>942</v>
      </c>
      <c r="G281" s="1041">
        <v>44575</v>
      </c>
      <c r="H281" s="1041">
        <v>44575</v>
      </c>
      <c r="I281" s="1042" t="s">
        <v>1478</v>
      </c>
      <c r="J281" s="1043" t="s">
        <v>1479</v>
      </c>
      <c r="K281" s="1027" t="s">
        <v>676</v>
      </c>
      <c r="L281" s="1029" t="s">
        <v>677</v>
      </c>
      <c r="M281" s="1030">
        <v>51750000</v>
      </c>
      <c r="N281" s="1083" t="s">
        <v>746</v>
      </c>
      <c r="O281" s="1083" t="s">
        <v>1499</v>
      </c>
      <c r="P281" s="1083"/>
      <c r="Q281" s="1027"/>
      <c r="R281" s="1022"/>
      <c r="S281" s="1130">
        <v>412</v>
      </c>
      <c r="T281" s="1156">
        <v>51100000</v>
      </c>
    </row>
    <row r="282" spans="1:103" s="995" customFormat="1" ht="89.25" x14ac:dyDescent="0.25">
      <c r="A282" s="1023">
        <v>2022304</v>
      </c>
      <c r="B282" s="1023">
        <v>7658</v>
      </c>
      <c r="C282" s="1023" t="s">
        <v>681</v>
      </c>
      <c r="D282" s="1039" t="s">
        <v>691</v>
      </c>
      <c r="E282" s="1086" t="s">
        <v>988</v>
      </c>
      <c r="F282" s="1087" t="s">
        <v>991</v>
      </c>
      <c r="G282" s="1041">
        <v>44606</v>
      </c>
      <c r="H282" s="1041">
        <v>44606</v>
      </c>
      <c r="I282" s="1042" t="s">
        <v>1500</v>
      </c>
      <c r="J282" s="1043" t="s">
        <v>1501</v>
      </c>
      <c r="K282" s="1027" t="s">
        <v>676</v>
      </c>
      <c r="L282" s="1029" t="s">
        <v>990</v>
      </c>
      <c r="M282" s="1030">
        <v>109400000</v>
      </c>
      <c r="N282" s="1083" t="s">
        <v>746</v>
      </c>
      <c r="O282" s="1083" t="s">
        <v>1499</v>
      </c>
      <c r="P282" s="1083"/>
      <c r="Q282" s="1027"/>
      <c r="R282" s="1022"/>
      <c r="S282" s="1130">
        <v>462</v>
      </c>
      <c r="T282" s="1156">
        <v>99859613</v>
      </c>
    </row>
    <row r="283" spans="1:103" s="995" customFormat="1" ht="89.25" x14ac:dyDescent="0.25">
      <c r="A283" s="1013">
        <v>2022252</v>
      </c>
      <c r="B283" s="1013">
        <v>7658</v>
      </c>
      <c r="C283" s="1013" t="s">
        <v>681</v>
      </c>
      <c r="D283" s="1045" t="s">
        <v>691</v>
      </c>
      <c r="E283" s="1046">
        <v>80111600</v>
      </c>
      <c r="F283" s="1016" t="s">
        <v>943</v>
      </c>
      <c r="G283" s="1047">
        <v>44575</v>
      </c>
      <c r="H283" s="1047">
        <v>44575</v>
      </c>
      <c r="I283" s="1048" t="s">
        <v>1478</v>
      </c>
      <c r="J283" s="1049" t="s">
        <v>1479</v>
      </c>
      <c r="K283" s="1017" t="s">
        <v>676</v>
      </c>
      <c r="L283" s="1019" t="s">
        <v>784</v>
      </c>
      <c r="M283" s="1020">
        <v>103500000</v>
      </c>
      <c r="N283" s="1037" t="s">
        <v>746</v>
      </c>
      <c r="O283" s="1037" t="s">
        <v>1499</v>
      </c>
      <c r="P283" s="1037"/>
      <c r="Q283" s="1017"/>
      <c r="R283" s="1022"/>
      <c r="S283" s="1130"/>
      <c r="T283" s="1156"/>
    </row>
    <row r="284" spans="1:103" s="1034" customFormat="1" ht="89.25" x14ac:dyDescent="0.25">
      <c r="A284" s="1013">
        <v>2022254</v>
      </c>
      <c r="B284" s="1013">
        <v>7658</v>
      </c>
      <c r="C284" s="1013" t="s">
        <v>681</v>
      </c>
      <c r="D284" s="1045" t="s">
        <v>691</v>
      </c>
      <c r="E284" s="1046">
        <v>80111600</v>
      </c>
      <c r="F284" s="1016" t="s">
        <v>1502</v>
      </c>
      <c r="G284" s="1047">
        <v>44575</v>
      </c>
      <c r="H284" s="1047">
        <v>44575</v>
      </c>
      <c r="I284" s="1048" t="s">
        <v>1478</v>
      </c>
      <c r="J284" s="1049" t="s">
        <v>1479</v>
      </c>
      <c r="K284" s="1017" t="s">
        <v>676</v>
      </c>
      <c r="L284" s="1019" t="s">
        <v>677</v>
      </c>
      <c r="M284" s="1020">
        <v>63250000</v>
      </c>
      <c r="N284" s="1037" t="s">
        <v>746</v>
      </c>
      <c r="O284" s="1037" t="s">
        <v>1499</v>
      </c>
      <c r="P284" s="1037"/>
      <c r="Q284" s="1017"/>
      <c r="R284" s="1022"/>
      <c r="S284" s="1130"/>
      <c r="T284" s="1156"/>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95"/>
      <c r="AU284" s="995"/>
      <c r="AV284" s="995"/>
      <c r="AW284" s="995"/>
      <c r="AX284" s="995"/>
      <c r="AY284" s="995"/>
      <c r="AZ284" s="995"/>
      <c r="BA284" s="995"/>
      <c r="BB284" s="995"/>
      <c r="BC284" s="995"/>
      <c r="BD284" s="995"/>
      <c r="BE284" s="995"/>
      <c r="BF284" s="995"/>
      <c r="BG284" s="995"/>
      <c r="BH284" s="995"/>
      <c r="BI284" s="995"/>
      <c r="BJ284" s="995"/>
      <c r="BK284" s="995"/>
      <c r="BL284" s="995"/>
      <c r="BM284" s="995"/>
      <c r="BN284" s="995"/>
      <c r="BO284" s="995"/>
      <c r="BP284" s="995"/>
      <c r="BQ284" s="995"/>
      <c r="BR284" s="995"/>
      <c r="BS284" s="995"/>
      <c r="BT284" s="995"/>
      <c r="BU284" s="995"/>
      <c r="BV284" s="995"/>
      <c r="BW284" s="995"/>
      <c r="BX284" s="995"/>
      <c r="BY284" s="995"/>
      <c r="BZ284" s="995"/>
      <c r="CA284" s="995"/>
      <c r="CB284" s="995"/>
      <c r="CC284" s="995"/>
      <c r="CD284" s="995"/>
      <c r="CE284" s="995"/>
      <c r="CF284" s="995"/>
      <c r="CG284" s="995"/>
      <c r="CH284" s="995"/>
      <c r="CI284" s="995"/>
      <c r="CJ284" s="995"/>
      <c r="CK284" s="995"/>
      <c r="CL284" s="995"/>
      <c r="CM284" s="995"/>
      <c r="CN284" s="995"/>
      <c r="CO284" s="995"/>
      <c r="CP284" s="995"/>
      <c r="CQ284" s="995"/>
      <c r="CR284" s="995"/>
      <c r="CS284" s="995"/>
      <c r="CT284" s="995"/>
      <c r="CU284" s="995"/>
      <c r="CV284" s="995"/>
      <c r="CW284" s="995"/>
      <c r="CX284" s="995"/>
      <c r="CY284" s="995"/>
    </row>
    <row r="285" spans="1:103" s="995" customFormat="1" ht="89.25" x14ac:dyDescent="0.25">
      <c r="A285" s="1013">
        <v>2022256</v>
      </c>
      <c r="B285" s="1013">
        <v>7658</v>
      </c>
      <c r="C285" s="1013" t="s">
        <v>681</v>
      </c>
      <c r="D285" s="1045" t="s">
        <v>691</v>
      </c>
      <c r="E285" s="1046">
        <v>80111600</v>
      </c>
      <c r="F285" s="1016" t="s">
        <v>1503</v>
      </c>
      <c r="G285" s="1047">
        <v>44575</v>
      </c>
      <c r="H285" s="1047">
        <v>44575</v>
      </c>
      <c r="I285" s="1048" t="s">
        <v>1478</v>
      </c>
      <c r="J285" s="1049" t="s">
        <v>1479</v>
      </c>
      <c r="K285" s="1017" t="s">
        <v>676</v>
      </c>
      <c r="L285" s="1019" t="s">
        <v>677</v>
      </c>
      <c r="M285" s="1020">
        <v>51750000</v>
      </c>
      <c r="N285" s="1037" t="s">
        <v>746</v>
      </c>
      <c r="O285" s="1037" t="s">
        <v>1499</v>
      </c>
      <c r="P285" s="1037"/>
      <c r="Q285" s="1017"/>
      <c r="R285" s="1022"/>
      <c r="S285" s="1130"/>
      <c r="T285" s="1156"/>
    </row>
    <row r="286" spans="1:103" s="995" customFormat="1" ht="89.25" x14ac:dyDescent="0.25">
      <c r="A286" s="1013">
        <v>2022257</v>
      </c>
      <c r="B286" s="1013">
        <v>7658</v>
      </c>
      <c r="C286" s="1013" t="s">
        <v>681</v>
      </c>
      <c r="D286" s="1045" t="s">
        <v>691</v>
      </c>
      <c r="E286" s="1046">
        <v>80111600</v>
      </c>
      <c r="F286" s="1016" t="s">
        <v>946</v>
      </c>
      <c r="G286" s="1047">
        <v>44575</v>
      </c>
      <c r="H286" s="1047">
        <v>44575</v>
      </c>
      <c r="I286" s="1048" t="s">
        <v>1478</v>
      </c>
      <c r="J286" s="1049" t="s">
        <v>1479</v>
      </c>
      <c r="K286" s="1017" t="s">
        <v>676</v>
      </c>
      <c r="L286" s="1019" t="s">
        <v>677</v>
      </c>
      <c r="M286" s="1020">
        <v>83950000</v>
      </c>
      <c r="N286" s="1037" t="s">
        <v>746</v>
      </c>
      <c r="O286" s="1037" t="s">
        <v>1499</v>
      </c>
      <c r="P286" s="1037"/>
      <c r="Q286" s="1017"/>
      <c r="R286" s="1022"/>
      <c r="S286" s="1130"/>
      <c r="T286" s="1156"/>
    </row>
    <row r="287" spans="1:103" s="995" customFormat="1" ht="89.25" x14ac:dyDescent="0.25">
      <c r="A287" s="1013">
        <v>2022259</v>
      </c>
      <c r="B287" s="1013">
        <v>7658</v>
      </c>
      <c r="C287" s="1013" t="s">
        <v>681</v>
      </c>
      <c r="D287" s="1045" t="s">
        <v>691</v>
      </c>
      <c r="E287" s="1046">
        <v>80111600</v>
      </c>
      <c r="F287" s="1016" t="s">
        <v>1504</v>
      </c>
      <c r="G287" s="1047">
        <v>44575</v>
      </c>
      <c r="H287" s="1047">
        <v>44575</v>
      </c>
      <c r="I287" s="1048" t="s">
        <v>1478</v>
      </c>
      <c r="J287" s="1049" t="s">
        <v>1479</v>
      </c>
      <c r="K287" s="1017" t="s">
        <v>676</v>
      </c>
      <c r="L287" s="1019" t="s">
        <v>677</v>
      </c>
      <c r="M287" s="1020">
        <v>94300000</v>
      </c>
      <c r="N287" s="1037" t="s">
        <v>746</v>
      </c>
      <c r="O287" s="1037" t="s">
        <v>1499</v>
      </c>
      <c r="P287" s="1037"/>
      <c r="Q287" s="1017"/>
      <c r="R287" s="1022"/>
      <c r="S287" s="1130"/>
      <c r="T287" s="1156"/>
    </row>
    <row r="288" spans="1:103" s="995" customFormat="1" ht="89.25" x14ac:dyDescent="0.25">
      <c r="A288" s="1013">
        <v>2022263</v>
      </c>
      <c r="B288" s="1013">
        <v>7658</v>
      </c>
      <c r="C288" s="1013" t="s">
        <v>681</v>
      </c>
      <c r="D288" s="1045" t="s">
        <v>691</v>
      </c>
      <c r="E288" s="1046">
        <v>80111600</v>
      </c>
      <c r="F288" s="1016" t="s">
        <v>946</v>
      </c>
      <c r="G288" s="1047">
        <v>44575</v>
      </c>
      <c r="H288" s="1047">
        <v>44575</v>
      </c>
      <c r="I288" s="1048" t="s">
        <v>1478</v>
      </c>
      <c r="J288" s="1049" t="s">
        <v>1479</v>
      </c>
      <c r="K288" s="1017" t="s">
        <v>676</v>
      </c>
      <c r="L288" s="1019" t="s">
        <v>677</v>
      </c>
      <c r="M288" s="1020">
        <v>78200000</v>
      </c>
      <c r="N288" s="1037" t="s">
        <v>746</v>
      </c>
      <c r="O288" s="1037" t="s">
        <v>1499</v>
      </c>
      <c r="P288" s="1037"/>
      <c r="Q288" s="1017"/>
      <c r="R288" s="1022"/>
      <c r="S288" s="1130"/>
      <c r="T288" s="1156"/>
    </row>
    <row r="289" spans="1:20" s="995" customFormat="1" ht="89.25" x14ac:dyDescent="0.25">
      <c r="A289" s="1131">
        <v>2022279</v>
      </c>
      <c r="B289" s="1131">
        <v>7658</v>
      </c>
      <c r="C289" s="1131" t="s">
        <v>681</v>
      </c>
      <c r="D289" s="1139" t="s">
        <v>691</v>
      </c>
      <c r="E289" s="1145">
        <v>80111600</v>
      </c>
      <c r="F289" s="1134" t="s">
        <v>951</v>
      </c>
      <c r="G289" s="1141">
        <v>44575</v>
      </c>
      <c r="H289" s="1141">
        <v>44575</v>
      </c>
      <c r="I289" s="1142" t="s">
        <v>1478</v>
      </c>
      <c r="J289" s="1143" t="s">
        <v>1479</v>
      </c>
      <c r="K289" s="1135" t="s">
        <v>676</v>
      </c>
      <c r="L289" s="1132" t="s">
        <v>677</v>
      </c>
      <c r="M289" s="1136">
        <v>28175000</v>
      </c>
      <c r="N289" s="1151" t="s">
        <v>746</v>
      </c>
      <c r="O289" s="1151" t="s">
        <v>1499</v>
      </c>
      <c r="P289" s="1151"/>
      <c r="Q289" s="1135"/>
      <c r="R289" s="1130">
        <v>209</v>
      </c>
      <c r="S289" s="1130"/>
      <c r="T289" s="1156"/>
    </row>
    <row r="290" spans="1:20" s="995" customFormat="1" ht="89.25" x14ac:dyDescent="0.25">
      <c r="A290" s="1013">
        <v>2022282</v>
      </c>
      <c r="B290" s="1013">
        <v>7658</v>
      </c>
      <c r="C290" s="1013" t="s">
        <v>681</v>
      </c>
      <c r="D290" s="1045" t="s">
        <v>691</v>
      </c>
      <c r="E290" s="1046">
        <v>80111600</v>
      </c>
      <c r="F290" s="1016" t="s">
        <v>1505</v>
      </c>
      <c r="G290" s="1047">
        <v>44575</v>
      </c>
      <c r="H290" s="1141">
        <v>44575</v>
      </c>
      <c r="I290" s="1048" t="s">
        <v>1478</v>
      </c>
      <c r="J290" s="1049" t="s">
        <v>1479</v>
      </c>
      <c r="K290" s="1017" t="s">
        <v>676</v>
      </c>
      <c r="L290" s="1019" t="s">
        <v>677</v>
      </c>
      <c r="M290" s="1020">
        <v>92000000</v>
      </c>
      <c r="N290" s="1037" t="s">
        <v>746</v>
      </c>
      <c r="O290" s="1037" t="s">
        <v>1499</v>
      </c>
      <c r="P290" s="1037"/>
      <c r="Q290" s="1017"/>
      <c r="R290" s="1022"/>
      <c r="S290" s="1130"/>
      <c r="T290" s="1156"/>
    </row>
    <row r="291" spans="1:20" s="995" customFormat="1" ht="89.25" x14ac:dyDescent="0.25">
      <c r="A291" s="1013">
        <v>2022285</v>
      </c>
      <c r="B291" s="1013">
        <v>7658</v>
      </c>
      <c r="C291" s="1013" t="s">
        <v>681</v>
      </c>
      <c r="D291" s="1045" t="s">
        <v>691</v>
      </c>
      <c r="E291" s="1051" t="s">
        <v>953</v>
      </c>
      <c r="F291" s="1016" t="s">
        <v>1506</v>
      </c>
      <c r="G291" s="1047">
        <v>44774</v>
      </c>
      <c r="H291" s="1141">
        <v>44774</v>
      </c>
      <c r="I291" s="1048" t="s">
        <v>1482</v>
      </c>
      <c r="J291" s="1049" t="s">
        <v>1447</v>
      </c>
      <c r="K291" s="1017" t="s">
        <v>676</v>
      </c>
      <c r="L291" s="1019" t="s">
        <v>955</v>
      </c>
      <c r="M291" s="1020">
        <v>100000000</v>
      </c>
      <c r="N291" s="1037" t="s">
        <v>746</v>
      </c>
      <c r="O291" s="1037" t="s">
        <v>1499</v>
      </c>
      <c r="P291" s="1037"/>
      <c r="Q291" s="1017"/>
      <c r="R291" s="1022"/>
      <c r="S291" s="1130"/>
      <c r="T291" s="1156"/>
    </row>
    <row r="292" spans="1:20" s="995" customFormat="1" ht="89.25" x14ac:dyDescent="0.25">
      <c r="A292" s="1013">
        <v>2022286</v>
      </c>
      <c r="B292" s="1013">
        <v>7658</v>
      </c>
      <c r="C292" s="1013" t="s">
        <v>681</v>
      </c>
      <c r="D292" s="1045" t="s">
        <v>691</v>
      </c>
      <c r="E292" s="1051" t="s">
        <v>957</v>
      </c>
      <c r="F292" s="1084" t="s">
        <v>1507</v>
      </c>
      <c r="G292" s="1047">
        <v>44774</v>
      </c>
      <c r="H292" s="1141">
        <v>44774</v>
      </c>
      <c r="I292" s="1048" t="s">
        <v>1482</v>
      </c>
      <c r="J292" s="1049" t="s">
        <v>1447</v>
      </c>
      <c r="K292" s="1014" t="s">
        <v>676</v>
      </c>
      <c r="L292" s="1085" t="s">
        <v>959</v>
      </c>
      <c r="M292" s="1020">
        <v>150000000</v>
      </c>
      <c r="N292" s="1037" t="s">
        <v>746</v>
      </c>
      <c r="O292" s="1037" t="s">
        <v>1499</v>
      </c>
      <c r="P292" s="1037"/>
      <c r="Q292" s="1017"/>
      <c r="R292" s="1022"/>
      <c r="S292" s="1130"/>
      <c r="T292" s="1156"/>
    </row>
    <row r="293" spans="1:20" s="995" customFormat="1" ht="89.25" x14ac:dyDescent="0.25">
      <c r="A293" s="1013">
        <v>2022287</v>
      </c>
      <c r="B293" s="1013">
        <v>7658</v>
      </c>
      <c r="C293" s="1013" t="s">
        <v>681</v>
      </c>
      <c r="D293" s="1045" t="s">
        <v>691</v>
      </c>
      <c r="E293" s="1046" t="s">
        <v>1508</v>
      </c>
      <c r="F293" s="1084" t="s">
        <v>961</v>
      </c>
      <c r="G293" s="1047">
        <v>44713</v>
      </c>
      <c r="H293" s="1141">
        <v>44713</v>
      </c>
      <c r="I293" s="1048" t="s">
        <v>1481</v>
      </c>
      <c r="J293" s="1049" t="s">
        <v>1447</v>
      </c>
      <c r="K293" s="1017" t="s">
        <v>676</v>
      </c>
      <c r="L293" s="1085" t="s">
        <v>959</v>
      </c>
      <c r="M293" s="1020">
        <v>100000000</v>
      </c>
      <c r="N293" s="1037" t="s">
        <v>746</v>
      </c>
      <c r="O293" s="1037" t="s">
        <v>1499</v>
      </c>
      <c r="P293" s="1037"/>
      <c r="Q293" s="1017"/>
      <c r="R293" s="1022"/>
      <c r="S293" s="1130"/>
      <c r="T293" s="1156"/>
    </row>
    <row r="294" spans="1:20" s="995" customFormat="1" ht="89.25" x14ac:dyDescent="0.25">
      <c r="A294" s="1013">
        <v>2022288</v>
      </c>
      <c r="B294" s="1013">
        <v>7658</v>
      </c>
      <c r="C294" s="1013" t="s">
        <v>681</v>
      </c>
      <c r="D294" s="1045" t="s">
        <v>691</v>
      </c>
      <c r="E294" s="1046" t="s">
        <v>962</v>
      </c>
      <c r="F294" s="1084" t="s">
        <v>1509</v>
      </c>
      <c r="G294" s="1047">
        <v>44743</v>
      </c>
      <c r="H294" s="1141">
        <v>44743</v>
      </c>
      <c r="I294" s="1048" t="s">
        <v>1481</v>
      </c>
      <c r="J294" s="1049" t="s">
        <v>1447</v>
      </c>
      <c r="K294" s="1017" t="s">
        <v>676</v>
      </c>
      <c r="L294" s="1085" t="s">
        <v>959</v>
      </c>
      <c r="M294" s="1020">
        <v>80000000</v>
      </c>
      <c r="N294" s="1037" t="s">
        <v>746</v>
      </c>
      <c r="O294" s="1037" t="s">
        <v>1499</v>
      </c>
      <c r="P294" s="1037"/>
      <c r="Q294" s="1017"/>
      <c r="R294" s="1022"/>
      <c r="S294" s="1130"/>
      <c r="T294" s="1156"/>
    </row>
    <row r="295" spans="1:20" s="995" customFormat="1" ht="127.5" x14ac:dyDescent="0.25">
      <c r="A295" s="1013">
        <v>2022289</v>
      </c>
      <c r="B295" s="1013">
        <v>7658</v>
      </c>
      <c r="C295" s="1013" t="s">
        <v>681</v>
      </c>
      <c r="D295" s="1045" t="s">
        <v>691</v>
      </c>
      <c r="E295" s="1051" t="s">
        <v>1510</v>
      </c>
      <c r="F295" s="1084" t="s">
        <v>1511</v>
      </c>
      <c r="G295" s="1047">
        <v>44621</v>
      </c>
      <c r="H295" s="1141">
        <v>44621</v>
      </c>
      <c r="I295" s="1048" t="s">
        <v>1484</v>
      </c>
      <c r="J295" s="1049" t="s">
        <v>1447</v>
      </c>
      <c r="K295" s="1017" t="s">
        <v>676</v>
      </c>
      <c r="L295" s="1085" t="s">
        <v>959</v>
      </c>
      <c r="M295" s="1020">
        <v>70000000</v>
      </c>
      <c r="N295" s="1037" t="s">
        <v>746</v>
      </c>
      <c r="O295" s="1037" t="s">
        <v>1499</v>
      </c>
      <c r="P295" s="1037"/>
      <c r="Q295" s="1017"/>
      <c r="R295" s="1022"/>
      <c r="S295" s="1130"/>
      <c r="T295" s="1156"/>
    </row>
    <row r="296" spans="1:20" s="995" customFormat="1" ht="89.25" x14ac:dyDescent="0.25">
      <c r="A296" s="1013">
        <v>2022290</v>
      </c>
      <c r="B296" s="1013">
        <v>7658</v>
      </c>
      <c r="C296" s="1013" t="s">
        <v>681</v>
      </c>
      <c r="D296" s="1045" t="s">
        <v>691</v>
      </c>
      <c r="E296" s="1051" t="s">
        <v>964</v>
      </c>
      <c r="F296" s="1084" t="s">
        <v>965</v>
      </c>
      <c r="G296" s="1047">
        <v>44593</v>
      </c>
      <c r="H296" s="1141">
        <v>44593</v>
      </c>
      <c r="I296" s="1048" t="s">
        <v>1442</v>
      </c>
      <c r="J296" s="1049" t="s">
        <v>1447</v>
      </c>
      <c r="K296" s="1017" t="s">
        <v>676</v>
      </c>
      <c r="L296" s="1085" t="s">
        <v>959</v>
      </c>
      <c r="M296" s="1020">
        <v>20000000</v>
      </c>
      <c r="N296" s="1037" t="s">
        <v>746</v>
      </c>
      <c r="O296" s="1037" t="s">
        <v>1499</v>
      </c>
      <c r="P296" s="1037"/>
      <c r="Q296" s="1017"/>
      <c r="R296" s="1022"/>
      <c r="S296" s="1130"/>
      <c r="T296" s="1156"/>
    </row>
    <row r="297" spans="1:20" s="995" customFormat="1" ht="63.75" x14ac:dyDescent="0.25">
      <c r="A297" s="1013">
        <v>2022291</v>
      </c>
      <c r="B297" s="1013">
        <v>7658</v>
      </c>
      <c r="C297" s="1013" t="s">
        <v>681</v>
      </c>
      <c r="D297" s="1045" t="s">
        <v>691</v>
      </c>
      <c r="E297" s="1051" t="s">
        <v>966</v>
      </c>
      <c r="F297" s="1084" t="s">
        <v>1512</v>
      </c>
      <c r="G297" s="1047">
        <v>44593</v>
      </c>
      <c r="H297" s="1141">
        <v>44593</v>
      </c>
      <c r="I297" s="1048" t="s">
        <v>1484</v>
      </c>
      <c r="J297" s="1049" t="s">
        <v>1513</v>
      </c>
      <c r="K297" s="1017" t="s">
        <v>772</v>
      </c>
      <c r="L297" s="1019" t="s">
        <v>968</v>
      </c>
      <c r="M297" s="1020">
        <v>900000000</v>
      </c>
      <c r="N297" s="1037" t="s">
        <v>724</v>
      </c>
      <c r="O297" s="1037" t="s">
        <v>1514</v>
      </c>
      <c r="P297" s="1037"/>
      <c r="Q297" s="1017"/>
      <c r="R297" s="1022"/>
      <c r="S297" s="1130"/>
      <c r="T297" s="1156"/>
    </row>
    <row r="298" spans="1:20" s="995" customFormat="1" ht="89.25" x14ac:dyDescent="0.25">
      <c r="A298" s="1013">
        <v>2022292</v>
      </c>
      <c r="B298" s="1013">
        <v>7658</v>
      </c>
      <c r="C298" s="1013" t="s">
        <v>681</v>
      </c>
      <c r="D298" s="1045" t="s">
        <v>691</v>
      </c>
      <c r="E298" s="1051" t="s">
        <v>969</v>
      </c>
      <c r="F298" s="1084" t="s">
        <v>1515</v>
      </c>
      <c r="G298" s="1047">
        <v>44593</v>
      </c>
      <c r="H298" s="1141">
        <v>44593</v>
      </c>
      <c r="I298" s="1048" t="s">
        <v>1442</v>
      </c>
      <c r="J298" s="1049" t="s">
        <v>1513</v>
      </c>
      <c r="K298" s="1017" t="s">
        <v>772</v>
      </c>
      <c r="L298" s="1019" t="s">
        <v>968</v>
      </c>
      <c r="M298" s="1020">
        <v>180000000</v>
      </c>
      <c r="N298" s="1037" t="s">
        <v>724</v>
      </c>
      <c r="O298" s="1037" t="s">
        <v>1514</v>
      </c>
      <c r="P298" s="1037"/>
      <c r="Q298" s="1017"/>
      <c r="R298" s="1022"/>
      <c r="S298" s="1130"/>
      <c r="T298" s="1156"/>
    </row>
    <row r="299" spans="1:20" s="995" customFormat="1" ht="51" x14ac:dyDescent="0.25">
      <c r="A299" s="1013">
        <v>2022293</v>
      </c>
      <c r="B299" s="1013">
        <v>7658</v>
      </c>
      <c r="C299" s="1013" t="s">
        <v>681</v>
      </c>
      <c r="D299" s="1045" t="s">
        <v>691</v>
      </c>
      <c r="E299" s="1051" t="s">
        <v>966</v>
      </c>
      <c r="F299" s="1084" t="s">
        <v>1516</v>
      </c>
      <c r="G299" s="1047">
        <v>44593</v>
      </c>
      <c r="H299" s="1141">
        <v>44593</v>
      </c>
      <c r="I299" s="1048" t="s">
        <v>1484</v>
      </c>
      <c r="J299" s="1049" t="s">
        <v>1513</v>
      </c>
      <c r="K299" s="1017" t="s">
        <v>772</v>
      </c>
      <c r="L299" s="1019" t="s">
        <v>968</v>
      </c>
      <c r="M299" s="1020">
        <v>450000000</v>
      </c>
      <c r="N299" s="1037" t="s">
        <v>724</v>
      </c>
      <c r="O299" s="1037" t="s">
        <v>1514</v>
      </c>
      <c r="P299" s="1037"/>
      <c r="Q299" s="1017"/>
      <c r="R299" s="1022"/>
      <c r="S299" s="1130"/>
      <c r="T299" s="1156"/>
    </row>
    <row r="300" spans="1:20" s="995" customFormat="1" ht="76.5" x14ac:dyDescent="0.25">
      <c r="A300" s="1013">
        <v>2022294</v>
      </c>
      <c r="B300" s="1013">
        <v>7658</v>
      </c>
      <c r="C300" s="1013" t="s">
        <v>681</v>
      </c>
      <c r="D300" s="1045" t="s">
        <v>691</v>
      </c>
      <c r="E300" s="1051" t="s">
        <v>969</v>
      </c>
      <c r="F300" s="1084" t="s">
        <v>972</v>
      </c>
      <c r="G300" s="1047">
        <v>44593</v>
      </c>
      <c r="H300" s="1141">
        <v>44593</v>
      </c>
      <c r="I300" s="1048" t="s">
        <v>1442</v>
      </c>
      <c r="J300" s="1049" t="s">
        <v>1513</v>
      </c>
      <c r="K300" s="1017" t="s">
        <v>772</v>
      </c>
      <c r="L300" s="1019" t="s">
        <v>968</v>
      </c>
      <c r="M300" s="1020">
        <v>90000000</v>
      </c>
      <c r="N300" s="1037" t="s">
        <v>724</v>
      </c>
      <c r="O300" s="1037" t="s">
        <v>1514</v>
      </c>
      <c r="P300" s="1037"/>
      <c r="Q300" s="1017"/>
      <c r="R300" s="1022"/>
      <c r="S300" s="1130"/>
      <c r="T300" s="1156"/>
    </row>
    <row r="301" spans="1:20" s="995" customFormat="1" ht="89.25" x14ac:dyDescent="0.25">
      <c r="A301" s="1013">
        <v>2022295</v>
      </c>
      <c r="B301" s="1013">
        <v>7658</v>
      </c>
      <c r="C301" s="1013" t="s">
        <v>681</v>
      </c>
      <c r="D301" s="1045" t="s">
        <v>691</v>
      </c>
      <c r="E301" s="1051" t="s">
        <v>973</v>
      </c>
      <c r="F301" s="1084" t="s">
        <v>974</v>
      </c>
      <c r="G301" s="1047">
        <v>44593</v>
      </c>
      <c r="H301" s="1141">
        <v>44593</v>
      </c>
      <c r="I301" s="1048" t="s">
        <v>1481</v>
      </c>
      <c r="J301" s="1049" t="s">
        <v>1447</v>
      </c>
      <c r="K301" s="1017" t="s">
        <v>676</v>
      </c>
      <c r="L301" s="1085" t="s">
        <v>959</v>
      </c>
      <c r="M301" s="1020">
        <v>70000000</v>
      </c>
      <c r="N301" s="1037" t="s">
        <v>746</v>
      </c>
      <c r="O301" s="1037" t="s">
        <v>1499</v>
      </c>
      <c r="P301" s="1037"/>
      <c r="Q301" s="1017"/>
      <c r="R301" s="1022"/>
      <c r="S301" s="1130"/>
      <c r="T301" s="1156"/>
    </row>
    <row r="302" spans="1:20" s="995" customFormat="1" ht="89.25" x14ac:dyDescent="0.25">
      <c r="A302" s="1013">
        <v>2022296</v>
      </c>
      <c r="B302" s="1013">
        <v>7658</v>
      </c>
      <c r="C302" s="1013" t="s">
        <v>681</v>
      </c>
      <c r="D302" s="1045" t="s">
        <v>691</v>
      </c>
      <c r="E302" s="1051" t="s">
        <v>975</v>
      </c>
      <c r="F302" s="1084" t="s">
        <v>1517</v>
      </c>
      <c r="G302" s="1047">
        <v>44652</v>
      </c>
      <c r="H302" s="1141">
        <v>44652</v>
      </c>
      <c r="I302" s="1048" t="s">
        <v>1486</v>
      </c>
      <c r="J302" s="1049" t="s">
        <v>1462</v>
      </c>
      <c r="K302" s="1017" t="s">
        <v>676</v>
      </c>
      <c r="L302" s="1019" t="s">
        <v>1518</v>
      </c>
      <c r="M302" s="1020">
        <v>300000000</v>
      </c>
      <c r="N302" s="1037" t="s">
        <v>746</v>
      </c>
      <c r="O302" s="1037" t="s">
        <v>1499</v>
      </c>
      <c r="P302" s="1037"/>
      <c r="Q302" s="1017"/>
      <c r="R302" s="1022"/>
      <c r="S302" s="1130"/>
      <c r="T302" s="1156"/>
    </row>
    <row r="303" spans="1:20" s="995" customFormat="1" ht="89.25" x14ac:dyDescent="0.25">
      <c r="A303" s="1013">
        <v>2022297</v>
      </c>
      <c r="B303" s="1013">
        <v>7658</v>
      </c>
      <c r="C303" s="1013" t="s">
        <v>681</v>
      </c>
      <c r="D303" s="1045" t="s">
        <v>691</v>
      </c>
      <c r="E303" s="1051" t="s">
        <v>977</v>
      </c>
      <c r="F303" s="1084" t="s">
        <v>1519</v>
      </c>
      <c r="G303" s="1047">
        <v>44593</v>
      </c>
      <c r="H303" s="1141">
        <v>44593</v>
      </c>
      <c r="I303" s="1048" t="s">
        <v>1442</v>
      </c>
      <c r="J303" s="1049" t="s">
        <v>1328</v>
      </c>
      <c r="K303" s="1017" t="s">
        <v>676</v>
      </c>
      <c r="L303" s="1019" t="s">
        <v>968</v>
      </c>
      <c r="M303" s="1020">
        <v>1119870000</v>
      </c>
      <c r="N303" s="1037" t="s">
        <v>746</v>
      </c>
      <c r="O303" s="1037" t="s">
        <v>1499</v>
      </c>
      <c r="P303" s="1037"/>
      <c r="Q303" s="1017"/>
      <c r="R303" s="1022"/>
      <c r="S303" s="1130"/>
      <c r="T303" s="1156"/>
    </row>
    <row r="304" spans="1:20" s="995" customFormat="1" ht="89.25" x14ac:dyDescent="0.25">
      <c r="A304" s="1013">
        <v>2022298</v>
      </c>
      <c r="B304" s="1013">
        <v>7658</v>
      </c>
      <c r="C304" s="1013" t="s">
        <v>681</v>
      </c>
      <c r="D304" s="1045" t="s">
        <v>691</v>
      </c>
      <c r="E304" s="1051" t="s">
        <v>969</v>
      </c>
      <c r="F304" s="1084" t="s">
        <v>979</v>
      </c>
      <c r="G304" s="1047">
        <v>44593</v>
      </c>
      <c r="H304" s="1141">
        <v>44593</v>
      </c>
      <c r="I304" s="1048" t="s">
        <v>1442</v>
      </c>
      <c r="J304" s="1049" t="s">
        <v>1513</v>
      </c>
      <c r="K304" s="1017" t="s">
        <v>676</v>
      </c>
      <c r="L304" s="1019" t="s">
        <v>968</v>
      </c>
      <c r="M304" s="1020">
        <v>420000000</v>
      </c>
      <c r="N304" s="1037" t="s">
        <v>746</v>
      </c>
      <c r="O304" s="1037" t="s">
        <v>1499</v>
      </c>
      <c r="P304" s="1037"/>
      <c r="Q304" s="1017"/>
      <c r="R304" s="1022"/>
      <c r="S304" s="1130"/>
      <c r="T304" s="1156"/>
    </row>
    <row r="305" spans="1:20" s="995" customFormat="1" ht="89.25" x14ac:dyDescent="0.25">
      <c r="A305" s="1013">
        <v>2022299</v>
      </c>
      <c r="B305" s="1013">
        <v>7658</v>
      </c>
      <c r="C305" s="1013" t="s">
        <v>681</v>
      </c>
      <c r="D305" s="1045" t="s">
        <v>691</v>
      </c>
      <c r="E305" s="1051" t="s">
        <v>1520</v>
      </c>
      <c r="F305" s="1084" t="s">
        <v>1521</v>
      </c>
      <c r="G305" s="1047">
        <v>44621</v>
      </c>
      <c r="H305" s="1141">
        <v>44621</v>
      </c>
      <c r="I305" s="1048" t="s">
        <v>1522</v>
      </c>
      <c r="J305" s="1049" t="s">
        <v>1523</v>
      </c>
      <c r="K305" s="1017" t="s">
        <v>772</v>
      </c>
      <c r="L305" s="1019" t="s">
        <v>1518</v>
      </c>
      <c r="M305" s="1020">
        <v>500000000</v>
      </c>
      <c r="N305" s="1037" t="s">
        <v>746</v>
      </c>
      <c r="O305" s="1037" t="s">
        <v>1499</v>
      </c>
      <c r="P305" s="1037"/>
      <c r="Q305" s="1017"/>
      <c r="R305" s="1022"/>
      <c r="S305" s="1130"/>
      <c r="T305" s="1156"/>
    </row>
    <row r="306" spans="1:20" s="995" customFormat="1" ht="89.25" x14ac:dyDescent="0.25">
      <c r="A306" s="1013">
        <v>2022300</v>
      </c>
      <c r="B306" s="1013">
        <v>7658</v>
      </c>
      <c r="C306" s="1013" t="s">
        <v>681</v>
      </c>
      <c r="D306" s="1045" t="s">
        <v>691</v>
      </c>
      <c r="E306" s="1051" t="s">
        <v>980</v>
      </c>
      <c r="F306" s="1084" t="s">
        <v>1524</v>
      </c>
      <c r="G306" s="1047">
        <v>44621</v>
      </c>
      <c r="H306" s="1141">
        <v>44621</v>
      </c>
      <c r="I306" s="1048" t="s">
        <v>1483</v>
      </c>
      <c r="J306" s="1049" t="s">
        <v>1523</v>
      </c>
      <c r="K306" s="1017" t="s">
        <v>772</v>
      </c>
      <c r="L306" s="1019" t="s">
        <v>1518</v>
      </c>
      <c r="M306" s="1020">
        <v>300000000</v>
      </c>
      <c r="N306" s="1037" t="s">
        <v>746</v>
      </c>
      <c r="O306" s="1037" t="s">
        <v>1499</v>
      </c>
      <c r="P306" s="1037"/>
      <c r="Q306" s="1017"/>
      <c r="R306" s="1022"/>
      <c r="S306" s="1130"/>
      <c r="T306" s="1156"/>
    </row>
    <row r="307" spans="1:20" s="995" customFormat="1" ht="51" x14ac:dyDescent="0.25">
      <c r="A307" s="1013">
        <v>2022301</v>
      </c>
      <c r="B307" s="1013">
        <v>7658</v>
      </c>
      <c r="C307" s="1013" t="s">
        <v>681</v>
      </c>
      <c r="D307" s="1045" t="s">
        <v>691</v>
      </c>
      <c r="E307" s="1046" t="s">
        <v>97</v>
      </c>
      <c r="F307" s="1084" t="s">
        <v>982</v>
      </c>
      <c r="G307" s="1047">
        <v>44621</v>
      </c>
      <c r="H307" s="1141">
        <v>44621</v>
      </c>
      <c r="I307" s="1018" t="s">
        <v>97</v>
      </c>
      <c r="J307" s="1049" t="s">
        <v>816</v>
      </c>
      <c r="K307" s="1017" t="s">
        <v>676</v>
      </c>
      <c r="L307" s="1019" t="s">
        <v>968</v>
      </c>
      <c r="M307" s="1020">
        <v>170000000</v>
      </c>
      <c r="N307" s="1019" t="s">
        <v>724</v>
      </c>
      <c r="O307" s="1019" t="s">
        <v>1514</v>
      </c>
      <c r="P307" s="1019"/>
      <c r="Q307" s="1017"/>
      <c r="R307" s="1022"/>
      <c r="S307" s="1130"/>
      <c r="T307" s="1156"/>
    </row>
    <row r="308" spans="1:20" s="995" customFormat="1" ht="89.25" x14ac:dyDescent="0.25">
      <c r="A308" s="1131">
        <v>2022302</v>
      </c>
      <c r="B308" s="1131">
        <v>7658</v>
      </c>
      <c r="C308" s="1131" t="s">
        <v>681</v>
      </c>
      <c r="D308" s="1139" t="s">
        <v>691</v>
      </c>
      <c r="E308" s="1140" t="s">
        <v>985</v>
      </c>
      <c r="F308" s="1152" t="s">
        <v>986</v>
      </c>
      <c r="G308" s="1141">
        <v>44652</v>
      </c>
      <c r="H308" s="1141">
        <v>44652</v>
      </c>
      <c r="I308" s="1142" t="s">
        <v>1486</v>
      </c>
      <c r="J308" s="1143" t="s">
        <v>1328</v>
      </c>
      <c r="K308" s="1135" t="s">
        <v>676</v>
      </c>
      <c r="L308" s="1132" t="s">
        <v>1525</v>
      </c>
      <c r="M308" s="1136">
        <v>308129000</v>
      </c>
      <c r="N308" s="1151" t="s">
        <v>746</v>
      </c>
      <c r="O308" s="1151" t="s">
        <v>1499</v>
      </c>
      <c r="P308" s="1151"/>
      <c r="Q308" s="1135"/>
      <c r="R308" s="1130">
        <v>594</v>
      </c>
      <c r="S308" s="1130"/>
      <c r="T308" s="1156"/>
    </row>
    <row r="309" spans="1:20" s="995" customFormat="1" ht="89.25" x14ac:dyDescent="0.25">
      <c r="A309" s="1013">
        <v>2022303</v>
      </c>
      <c r="B309" s="1013">
        <v>7658</v>
      </c>
      <c r="C309" s="1013" t="s">
        <v>681</v>
      </c>
      <c r="D309" s="1045" t="s">
        <v>691</v>
      </c>
      <c r="E309" s="1051" t="s">
        <v>988</v>
      </c>
      <c r="F309" s="1084" t="s">
        <v>989</v>
      </c>
      <c r="G309" s="1047">
        <v>44575</v>
      </c>
      <c r="H309" s="1141">
        <v>44575</v>
      </c>
      <c r="I309" s="1048" t="s">
        <v>1526</v>
      </c>
      <c r="J309" s="1049" t="s">
        <v>1501</v>
      </c>
      <c r="K309" s="1017" t="s">
        <v>676</v>
      </c>
      <c r="L309" s="1019" t="s">
        <v>990</v>
      </c>
      <c r="M309" s="1020">
        <v>10600000</v>
      </c>
      <c r="N309" s="1037" t="s">
        <v>746</v>
      </c>
      <c r="O309" s="1037" t="s">
        <v>1499</v>
      </c>
      <c r="P309" s="1037"/>
      <c r="Q309" s="1017"/>
      <c r="R309" s="1022"/>
      <c r="S309" s="1130"/>
      <c r="T309" s="1156"/>
    </row>
    <row r="310" spans="1:20" s="995" customFormat="1" ht="51" x14ac:dyDescent="0.25">
      <c r="A310" s="1013">
        <v>2022305</v>
      </c>
      <c r="B310" s="1013">
        <v>7658</v>
      </c>
      <c r="C310" s="1013" t="s">
        <v>681</v>
      </c>
      <c r="D310" s="1045" t="s">
        <v>691</v>
      </c>
      <c r="E310" s="1046" t="s">
        <v>1527</v>
      </c>
      <c r="F310" s="1084" t="s">
        <v>1528</v>
      </c>
      <c r="G310" s="1047">
        <v>44606</v>
      </c>
      <c r="H310" s="1141">
        <v>44606</v>
      </c>
      <c r="I310" s="1048" t="s">
        <v>1482</v>
      </c>
      <c r="J310" s="1049" t="s">
        <v>1447</v>
      </c>
      <c r="K310" s="1017" t="s">
        <v>772</v>
      </c>
      <c r="L310" s="1019" t="s">
        <v>968</v>
      </c>
      <c r="M310" s="1020">
        <v>205000000</v>
      </c>
      <c r="N310" s="1037" t="s">
        <v>724</v>
      </c>
      <c r="O310" s="1037" t="s">
        <v>1514</v>
      </c>
      <c r="P310" s="1037"/>
      <c r="Q310" s="1017"/>
      <c r="R310" s="1022"/>
      <c r="S310" s="1130"/>
      <c r="T310" s="1156"/>
    </row>
    <row r="311" spans="1:20" s="995" customFormat="1" ht="102" x14ac:dyDescent="0.25">
      <c r="A311" s="1013">
        <v>2022306</v>
      </c>
      <c r="B311" s="1013">
        <v>7658</v>
      </c>
      <c r="C311" s="1013" t="s">
        <v>681</v>
      </c>
      <c r="D311" s="1045" t="s">
        <v>691</v>
      </c>
      <c r="E311" s="1051" t="s">
        <v>969</v>
      </c>
      <c r="F311" s="1084" t="s">
        <v>994</v>
      </c>
      <c r="G311" s="1047">
        <v>44606</v>
      </c>
      <c r="H311" s="1141">
        <v>44606</v>
      </c>
      <c r="I311" s="1048" t="s">
        <v>1486</v>
      </c>
      <c r="J311" s="1049" t="s">
        <v>1513</v>
      </c>
      <c r="K311" s="1017" t="s">
        <v>772</v>
      </c>
      <c r="L311" s="1019" t="s">
        <v>968</v>
      </c>
      <c r="M311" s="1020">
        <v>21000000</v>
      </c>
      <c r="N311" s="1037" t="s">
        <v>724</v>
      </c>
      <c r="O311" s="1037" t="s">
        <v>1514</v>
      </c>
      <c r="P311" s="1037"/>
      <c r="Q311" s="1017"/>
      <c r="R311" s="1022"/>
      <c r="S311" s="1130"/>
      <c r="T311" s="1156"/>
    </row>
    <row r="312" spans="1:20" s="995" customFormat="1" ht="51" x14ac:dyDescent="0.25">
      <c r="A312" s="1013">
        <v>2022307</v>
      </c>
      <c r="B312" s="1013">
        <v>7658</v>
      </c>
      <c r="C312" s="1013" t="s">
        <v>681</v>
      </c>
      <c r="D312" s="1045" t="s">
        <v>691</v>
      </c>
      <c r="E312" s="1051" t="s">
        <v>973</v>
      </c>
      <c r="F312" s="1084" t="s">
        <v>1529</v>
      </c>
      <c r="G312" s="1047">
        <v>44634</v>
      </c>
      <c r="H312" s="1141">
        <v>44634</v>
      </c>
      <c r="I312" s="1048" t="s">
        <v>1487</v>
      </c>
      <c r="J312" s="1049" t="s">
        <v>1328</v>
      </c>
      <c r="K312" s="1017" t="s">
        <v>772</v>
      </c>
      <c r="L312" s="1019" t="s">
        <v>968</v>
      </c>
      <c r="M312" s="1020">
        <v>1000000000</v>
      </c>
      <c r="N312" s="1037" t="s">
        <v>724</v>
      </c>
      <c r="O312" s="1037" t="s">
        <v>1514</v>
      </c>
      <c r="P312" s="1037"/>
      <c r="Q312" s="1017"/>
      <c r="R312" s="1022"/>
      <c r="S312" s="1130"/>
      <c r="T312" s="1156"/>
    </row>
    <row r="313" spans="1:20" s="995" customFormat="1" ht="89.25" x14ac:dyDescent="0.25">
      <c r="A313" s="1013">
        <v>2022308</v>
      </c>
      <c r="B313" s="1013">
        <v>7658</v>
      </c>
      <c r="C313" s="1013" t="s">
        <v>681</v>
      </c>
      <c r="D313" s="1045" t="s">
        <v>691</v>
      </c>
      <c r="E313" s="1051" t="s">
        <v>969</v>
      </c>
      <c r="F313" s="1084" t="s">
        <v>1530</v>
      </c>
      <c r="G313" s="1047">
        <v>44634</v>
      </c>
      <c r="H313" s="1141">
        <v>44634</v>
      </c>
      <c r="I313" s="1048" t="s">
        <v>1531</v>
      </c>
      <c r="J313" s="1049" t="s">
        <v>1513</v>
      </c>
      <c r="K313" s="1017" t="s">
        <v>772</v>
      </c>
      <c r="L313" s="1019" t="s">
        <v>968</v>
      </c>
      <c r="M313" s="1020">
        <v>345000000</v>
      </c>
      <c r="N313" s="1037" t="s">
        <v>724</v>
      </c>
      <c r="O313" s="1037" t="s">
        <v>1514</v>
      </c>
      <c r="P313" s="1037"/>
      <c r="Q313" s="1017"/>
      <c r="R313" s="1022"/>
      <c r="S313" s="1130"/>
      <c r="T313" s="1156"/>
    </row>
    <row r="314" spans="1:20" s="995" customFormat="1" ht="102" x14ac:dyDescent="0.25">
      <c r="A314" s="1013">
        <v>2022309</v>
      </c>
      <c r="B314" s="1013">
        <v>7658</v>
      </c>
      <c r="C314" s="1013" t="s">
        <v>681</v>
      </c>
      <c r="D314" s="1045" t="s">
        <v>691</v>
      </c>
      <c r="E314" s="1051" t="s">
        <v>1532</v>
      </c>
      <c r="F314" s="1084" t="s">
        <v>1533</v>
      </c>
      <c r="G314" s="1047">
        <v>44695</v>
      </c>
      <c r="H314" s="1141">
        <v>44695</v>
      </c>
      <c r="I314" s="1048" t="s">
        <v>1481</v>
      </c>
      <c r="J314" s="1049" t="s">
        <v>1328</v>
      </c>
      <c r="K314" s="1017" t="s">
        <v>772</v>
      </c>
      <c r="L314" s="1019" t="s">
        <v>968</v>
      </c>
      <c r="M314" s="1020">
        <v>175000000</v>
      </c>
      <c r="N314" s="1037" t="s">
        <v>761</v>
      </c>
      <c r="O314" s="1037" t="s">
        <v>1534</v>
      </c>
      <c r="P314" s="1037"/>
      <c r="Q314" s="1017"/>
      <c r="R314" s="1022"/>
      <c r="S314" s="1130"/>
      <c r="T314" s="1156"/>
    </row>
    <row r="315" spans="1:20" s="995" customFormat="1" ht="102" x14ac:dyDescent="0.25">
      <c r="A315" s="1013">
        <v>2022310</v>
      </c>
      <c r="B315" s="1013">
        <v>7658</v>
      </c>
      <c r="C315" s="1013" t="s">
        <v>681</v>
      </c>
      <c r="D315" s="1045" t="s">
        <v>697</v>
      </c>
      <c r="E315" s="1046">
        <v>80111600</v>
      </c>
      <c r="F315" s="1016" t="s">
        <v>1000</v>
      </c>
      <c r="G315" s="1047" t="s">
        <v>1440</v>
      </c>
      <c r="H315" s="1141" t="s">
        <v>1440</v>
      </c>
      <c r="I315" s="1048" t="s">
        <v>1482</v>
      </c>
      <c r="J315" s="1049" t="s">
        <v>1479</v>
      </c>
      <c r="K315" s="1017" t="s">
        <v>676</v>
      </c>
      <c r="L315" s="1085" t="s">
        <v>677</v>
      </c>
      <c r="M315" s="1020">
        <v>30429000</v>
      </c>
      <c r="N315" s="1037" t="s">
        <v>1535</v>
      </c>
      <c r="O315" s="1037" t="s">
        <v>1536</v>
      </c>
      <c r="P315" s="1037"/>
      <c r="Q315" s="1017"/>
      <c r="R315" s="1022"/>
      <c r="S315" s="1130"/>
      <c r="T315" s="1156"/>
    </row>
    <row r="316" spans="1:20" s="995" customFormat="1" ht="102" x14ac:dyDescent="0.25">
      <c r="A316" s="1023">
        <v>2022311</v>
      </c>
      <c r="B316" s="1023">
        <v>7658</v>
      </c>
      <c r="C316" s="1023" t="s">
        <v>681</v>
      </c>
      <c r="D316" s="1039" t="s">
        <v>697</v>
      </c>
      <c r="E316" s="1040">
        <v>80111600</v>
      </c>
      <c r="F316" s="1026" t="s">
        <v>1001</v>
      </c>
      <c r="G316" s="1041" t="s">
        <v>1440</v>
      </c>
      <c r="H316" s="1141" t="s">
        <v>1440</v>
      </c>
      <c r="I316" s="1042" t="s">
        <v>1442</v>
      </c>
      <c r="J316" s="1043" t="s">
        <v>1479</v>
      </c>
      <c r="K316" s="1027" t="s">
        <v>676</v>
      </c>
      <c r="L316" s="1088" t="s">
        <v>677</v>
      </c>
      <c r="M316" s="1030">
        <v>26950000</v>
      </c>
      <c r="N316" s="1083" t="s">
        <v>1535</v>
      </c>
      <c r="O316" s="1083" t="s">
        <v>1536</v>
      </c>
      <c r="P316" s="1083"/>
      <c r="Q316" s="1027"/>
      <c r="R316" s="1022"/>
      <c r="S316" s="1130">
        <v>117</v>
      </c>
      <c r="T316" s="1156">
        <v>17150000</v>
      </c>
    </row>
    <row r="317" spans="1:20" s="995" customFormat="1" ht="102" x14ac:dyDescent="0.25">
      <c r="A317" s="1023">
        <v>2022312</v>
      </c>
      <c r="B317" s="1023">
        <v>7658</v>
      </c>
      <c r="C317" s="1023" t="s">
        <v>681</v>
      </c>
      <c r="D317" s="1039" t="s">
        <v>697</v>
      </c>
      <c r="E317" s="1040">
        <v>80111600</v>
      </c>
      <c r="F317" s="1026" t="s">
        <v>1001</v>
      </c>
      <c r="G317" s="1041" t="s">
        <v>1440</v>
      </c>
      <c r="H317" s="1141" t="s">
        <v>1440</v>
      </c>
      <c r="I317" s="1042" t="s">
        <v>1442</v>
      </c>
      <c r="J317" s="1043" t="s">
        <v>1479</v>
      </c>
      <c r="K317" s="1027" t="s">
        <v>676</v>
      </c>
      <c r="L317" s="1088" t="s">
        <v>677</v>
      </c>
      <c r="M317" s="1030">
        <v>26950000</v>
      </c>
      <c r="N317" s="1083" t="s">
        <v>1535</v>
      </c>
      <c r="O317" s="1083" t="s">
        <v>1536</v>
      </c>
      <c r="P317" s="1083"/>
      <c r="Q317" s="1027"/>
      <c r="R317" s="1022"/>
      <c r="S317" s="1130">
        <v>192</v>
      </c>
      <c r="T317" s="1156">
        <v>17150000</v>
      </c>
    </row>
    <row r="318" spans="1:20" s="995" customFormat="1" ht="102" x14ac:dyDescent="0.25">
      <c r="A318" s="1023">
        <v>2022313</v>
      </c>
      <c r="B318" s="1023">
        <v>7658</v>
      </c>
      <c r="C318" s="1023" t="s">
        <v>681</v>
      </c>
      <c r="D318" s="1039" t="s">
        <v>697</v>
      </c>
      <c r="E318" s="1040">
        <v>80111600</v>
      </c>
      <c r="F318" s="1026" t="s">
        <v>1002</v>
      </c>
      <c r="G318" s="1041" t="s">
        <v>1440</v>
      </c>
      <c r="H318" s="1141" t="s">
        <v>1440</v>
      </c>
      <c r="I318" s="1042" t="s">
        <v>1442</v>
      </c>
      <c r="J318" s="1043" t="s">
        <v>1479</v>
      </c>
      <c r="K318" s="1027" t="s">
        <v>676</v>
      </c>
      <c r="L318" s="1088" t="s">
        <v>677</v>
      </c>
      <c r="M318" s="1030">
        <v>59202000</v>
      </c>
      <c r="N318" s="1083" t="s">
        <v>1535</v>
      </c>
      <c r="O318" s="1083" t="s">
        <v>1536</v>
      </c>
      <c r="P318" s="1083"/>
      <c r="Q318" s="1027"/>
      <c r="R318" s="1022"/>
      <c r="S318" s="1130">
        <v>60</v>
      </c>
      <c r="T318" s="1156">
        <v>48438000</v>
      </c>
    </row>
    <row r="319" spans="1:20" s="995" customFormat="1" ht="102" x14ac:dyDescent="0.25">
      <c r="A319" s="1023">
        <v>2022314</v>
      </c>
      <c r="B319" s="1023">
        <v>7658</v>
      </c>
      <c r="C319" s="1023" t="s">
        <v>681</v>
      </c>
      <c r="D319" s="1039" t="s">
        <v>697</v>
      </c>
      <c r="E319" s="1040">
        <v>80111600</v>
      </c>
      <c r="F319" s="1026" t="s">
        <v>1003</v>
      </c>
      <c r="G319" s="1041" t="s">
        <v>1440</v>
      </c>
      <c r="H319" s="1141" t="s">
        <v>1440</v>
      </c>
      <c r="I319" s="1042" t="s">
        <v>1442</v>
      </c>
      <c r="J319" s="1043" t="s">
        <v>1479</v>
      </c>
      <c r="K319" s="1027" t="s">
        <v>676</v>
      </c>
      <c r="L319" s="1088" t="s">
        <v>677</v>
      </c>
      <c r="M319" s="1030">
        <v>36850000</v>
      </c>
      <c r="N319" s="1083" t="s">
        <v>1535</v>
      </c>
      <c r="O319" s="1083" t="s">
        <v>1536</v>
      </c>
      <c r="P319" s="1083"/>
      <c r="Q319" s="1027"/>
      <c r="R319" s="1022"/>
      <c r="S319" s="1130">
        <v>180</v>
      </c>
      <c r="T319" s="1156">
        <v>36850000</v>
      </c>
    </row>
    <row r="320" spans="1:20" s="995" customFormat="1" ht="102" x14ac:dyDescent="0.25">
      <c r="A320" s="1023">
        <v>2022315</v>
      </c>
      <c r="B320" s="1023">
        <v>7658</v>
      </c>
      <c r="C320" s="1023" t="s">
        <v>681</v>
      </c>
      <c r="D320" s="1039" t="s">
        <v>697</v>
      </c>
      <c r="E320" s="1040">
        <v>80111600</v>
      </c>
      <c r="F320" s="1026" t="s">
        <v>1004</v>
      </c>
      <c r="G320" s="1041" t="s">
        <v>1440</v>
      </c>
      <c r="H320" s="1141" t="s">
        <v>1440</v>
      </c>
      <c r="I320" s="1042" t="s">
        <v>1442</v>
      </c>
      <c r="J320" s="1043" t="s">
        <v>1479</v>
      </c>
      <c r="K320" s="1027" t="s">
        <v>676</v>
      </c>
      <c r="L320" s="1088" t="s">
        <v>677</v>
      </c>
      <c r="M320" s="1030">
        <v>47817000</v>
      </c>
      <c r="N320" s="1083" t="s">
        <v>1535</v>
      </c>
      <c r="O320" s="1083" t="s">
        <v>1536</v>
      </c>
      <c r="P320" s="1083"/>
      <c r="Q320" s="1027"/>
      <c r="R320" s="1022"/>
      <c r="S320" s="1130">
        <v>118</v>
      </c>
      <c r="T320" s="1156">
        <v>30429000</v>
      </c>
    </row>
    <row r="321" spans="1:103" s="995" customFormat="1" ht="102" x14ac:dyDescent="0.25">
      <c r="A321" s="1023">
        <v>2022316</v>
      </c>
      <c r="B321" s="1023">
        <v>7658</v>
      </c>
      <c r="C321" s="1023" t="s">
        <v>681</v>
      </c>
      <c r="D321" s="1039" t="s">
        <v>697</v>
      </c>
      <c r="E321" s="1040">
        <v>80111600</v>
      </c>
      <c r="F321" s="1026" t="s">
        <v>1005</v>
      </c>
      <c r="G321" s="1041" t="s">
        <v>1440</v>
      </c>
      <c r="H321" s="1141" t="s">
        <v>1440</v>
      </c>
      <c r="I321" s="1042" t="s">
        <v>1442</v>
      </c>
      <c r="J321" s="1043" t="s">
        <v>1479</v>
      </c>
      <c r="K321" s="1027" t="s">
        <v>676</v>
      </c>
      <c r="L321" s="1088" t="s">
        <v>677</v>
      </c>
      <c r="M321" s="1030">
        <v>59202000</v>
      </c>
      <c r="N321" s="1083" t="s">
        <v>1535</v>
      </c>
      <c r="O321" s="1083" t="s">
        <v>1536</v>
      </c>
      <c r="P321" s="1083"/>
      <c r="Q321" s="1027"/>
      <c r="R321" s="1022"/>
      <c r="S321" s="1130">
        <v>178</v>
      </c>
      <c r="T321" s="1156">
        <v>59202000</v>
      </c>
    </row>
    <row r="322" spans="1:103" s="995" customFormat="1" ht="102" x14ac:dyDescent="0.25">
      <c r="A322" s="1023">
        <v>2022317</v>
      </c>
      <c r="B322" s="1023">
        <v>7658</v>
      </c>
      <c r="C322" s="1023" t="s">
        <v>681</v>
      </c>
      <c r="D322" s="1039" t="s">
        <v>697</v>
      </c>
      <c r="E322" s="1040">
        <v>80111600</v>
      </c>
      <c r="F322" s="1026" t="s">
        <v>1006</v>
      </c>
      <c r="G322" s="1041" t="s">
        <v>1440</v>
      </c>
      <c r="H322" s="1141" t="s">
        <v>1440</v>
      </c>
      <c r="I322" s="1042" t="s">
        <v>1442</v>
      </c>
      <c r="J322" s="1043" t="s">
        <v>1479</v>
      </c>
      <c r="K322" s="1027" t="s">
        <v>676</v>
      </c>
      <c r="L322" s="1088" t="s">
        <v>677</v>
      </c>
      <c r="M322" s="1030">
        <v>31880000</v>
      </c>
      <c r="N322" s="1083" t="s">
        <v>1535</v>
      </c>
      <c r="O322" s="1083" t="s">
        <v>1536</v>
      </c>
      <c r="P322" s="1083"/>
      <c r="Q322" s="1027"/>
      <c r="R322" s="1022"/>
      <c r="S322" s="1130">
        <v>186</v>
      </c>
      <c r="T322" s="1156">
        <v>27895000</v>
      </c>
    </row>
    <row r="323" spans="1:103" s="995" customFormat="1" ht="102" x14ac:dyDescent="0.25">
      <c r="A323" s="1023">
        <v>2022318</v>
      </c>
      <c r="B323" s="1023">
        <v>7658</v>
      </c>
      <c r="C323" s="1023" t="s">
        <v>681</v>
      </c>
      <c r="D323" s="1039" t="s">
        <v>697</v>
      </c>
      <c r="E323" s="1040">
        <v>80111600</v>
      </c>
      <c r="F323" s="1026" t="s">
        <v>1007</v>
      </c>
      <c r="G323" s="1041" t="s">
        <v>1440</v>
      </c>
      <c r="H323" s="1141" t="s">
        <v>1440</v>
      </c>
      <c r="I323" s="1042" t="s">
        <v>1442</v>
      </c>
      <c r="J323" s="1043" t="s">
        <v>1479</v>
      </c>
      <c r="K323" s="1027" t="s">
        <v>676</v>
      </c>
      <c r="L323" s="1088" t="s">
        <v>677</v>
      </c>
      <c r="M323" s="1030">
        <v>16146000</v>
      </c>
      <c r="N323" s="1083" t="s">
        <v>1535</v>
      </c>
      <c r="O323" s="1083" t="s">
        <v>1536</v>
      </c>
      <c r="P323" s="1083"/>
      <c r="Q323" s="1027"/>
      <c r="R323" s="1022"/>
      <c r="S323" s="1130">
        <v>191</v>
      </c>
      <c r="T323" s="1156">
        <v>16146000</v>
      </c>
    </row>
    <row r="324" spans="1:103" s="995" customFormat="1" ht="102" x14ac:dyDescent="0.25">
      <c r="A324" s="1023">
        <v>2022319</v>
      </c>
      <c r="B324" s="1023">
        <v>7658</v>
      </c>
      <c r="C324" s="1023" t="s">
        <v>681</v>
      </c>
      <c r="D324" s="1039" t="s">
        <v>697</v>
      </c>
      <c r="E324" s="1040">
        <v>80111600</v>
      </c>
      <c r="F324" s="1026" t="s">
        <v>1008</v>
      </c>
      <c r="G324" s="1041" t="s">
        <v>1440</v>
      </c>
      <c r="H324" s="1141" t="s">
        <v>1440</v>
      </c>
      <c r="I324" s="1042" t="s">
        <v>1442</v>
      </c>
      <c r="J324" s="1043" t="s">
        <v>1479</v>
      </c>
      <c r="K324" s="1027" t="s">
        <v>676</v>
      </c>
      <c r="L324" s="1088" t="s">
        <v>677</v>
      </c>
      <c r="M324" s="1030">
        <v>80300000</v>
      </c>
      <c r="N324" s="1083" t="s">
        <v>1535</v>
      </c>
      <c r="O324" s="1083" t="s">
        <v>1536</v>
      </c>
      <c r="P324" s="1083"/>
      <c r="Q324" s="1027"/>
      <c r="R324" s="1022"/>
      <c r="S324" s="1130">
        <v>179</v>
      </c>
      <c r="T324" s="1156">
        <v>80300000</v>
      </c>
    </row>
    <row r="325" spans="1:103" s="995" customFormat="1" ht="102" x14ac:dyDescent="0.25">
      <c r="A325" s="1023">
        <v>2022320</v>
      </c>
      <c r="B325" s="1023">
        <v>7658</v>
      </c>
      <c r="C325" s="1023" t="s">
        <v>681</v>
      </c>
      <c r="D325" s="1039" t="s">
        <v>697</v>
      </c>
      <c r="E325" s="1040">
        <v>80111600</v>
      </c>
      <c r="F325" s="1026" t="s">
        <v>1009</v>
      </c>
      <c r="G325" s="1041" t="s">
        <v>1440</v>
      </c>
      <c r="H325" s="1141" t="s">
        <v>1440</v>
      </c>
      <c r="I325" s="1042" t="s">
        <v>1442</v>
      </c>
      <c r="J325" s="1043" t="s">
        <v>1479</v>
      </c>
      <c r="K325" s="1027" t="s">
        <v>676</v>
      </c>
      <c r="L325" s="1088" t="s">
        <v>677</v>
      </c>
      <c r="M325" s="1030">
        <v>56925000</v>
      </c>
      <c r="N325" s="1083" t="s">
        <v>1535</v>
      </c>
      <c r="O325" s="1083" t="s">
        <v>1536</v>
      </c>
      <c r="P325" s="1083"/>
      <c r="Q325" s="1027"/>
      <c r="R325" s="1022"/>
      <c r="S325" s="1130">
        <v>97</v>
      </c>
      <c r="T325" s="1156">
        <v>36225000</v>
      </c>
    </row>
    <row r="326" spans="1:103" s="995" customFormat="1" ht="102" x14ac:dyDescent="0.25">
      <c r="A326" s="1023">
        <v>2022321</v>
      </c>
      <c r="B326" s="1023">
        <v>7658</v>
      </c>
      <c r="C326" s="1023" t="s">
        <v>681</v>
      </c>
      <c r="D326" s="1039" t="s">
        <v>697</v>
      </c>
      <c r="E326" s="1040">
        <v>80111600</v>
      </c>
      <c r="F326" s="1026" t="s">
        <v>1010</v>
      </c>
      <c r="G326" s="1041" t="s">
        <v>1440</v>
      </c>
      <c r="H326" s="1141" t="s">
        <v>1440</v>
      </c>
      <c r="I326" s="1042" t="s">
        <v>1484</v>
      </c>
      <c r="J326" s="1043" t="s">
        <v>1479</v>
      </c>
      <c r="K326" s="1027" t="s">
        <v>676</v>
      </c>
      <c r="L326" s="1088" t="s">
        <v>677</v>
      </c>
      <c r="M326" s="1030">
        <v>23100000</v>
      </c>
      <c r="N326" s="1083" t="s">
        <v>1535</v>
      </c>
      <c r="O326" s="1083" t="s">
        <v>1536</v>
      </c>
      <c r="P326" s="1083"/>
      <c r="Q326" s="1027"/>
      <c r="R326" s="1022"/>
      <c r="S326" s="1130">
        <v>235</v>
      </c>
      <c r="T326" s="1156">
        <v>11550000</v>
      </c>
    </row>
    <row r="327" spans="1:103" s="995" customFormat="1" ht="102" x14ac:dyDescent="0.25">
      <c r="A327" s="1023">
        <v>2022322</v>
      </c>
      <c r="B327" s="1023">
        <v>7658</v>
      </c>
      <c r="C327" s="1023" t="s">
        <v>681</v>
      </c>
      <c r="D327" s="1039" t="s">
        <v>697</v>
      </c>
      <c r="E327" s="1040">
        <v>80111600</v>
      </c>
      <c r="F327" s="1026" t="s">
        <v>1011</v>
      </c>
      <c r="G327" s="1041" t="s">
        <v>1440</v>
      </c>
      <c r="H327" s="1141" t="s">
        <v>1440</v>
      </c>
      <c r="I327" s="1042" t="s">
        <v>1483</v>
      </c>
      <c r="J327" s="1043" t="s">
        <v>1479</v>
      </c>
      <c r="K327" s="1027" t="s">
        <v>676</v>
      </c>
      <c r="L327" s="1088" t="s">
        <v>677</v>
      </c>
      <c r="M327" s="1030">
        <v>26950000</v>
      </c>
      <c r="N327" s="1083" t="s">
        <v>1535</v>
      </c>
      <c r="O327" s="1083" t="s">
        <v>1536</v>
      </c>
      <c r="P327" s="1083"/>
      <c r="Q327" s="1027"/>
      <c r="R327" s="1022"/>
      <c r="S327" s="1130">
        <v>339</v>
      </c>
      <c r="T327" s="1156">
        <v>26950000</v>
      </c>
    </row>
    <row r="328" spans="1:103" s="995" customFormat="1" ht="102" x14ac:dyDescent="0.25">
      <c r="A328" s="1023">
        <v>2022323</v>
      </c>
      <c r="B328" s="1023">
        <v>7658</v>
      </c>
      <c r="C328" s="1023" t="s">
        <v>681</v>
      </c>
      <c r="D328" s="1039" t="s">
        <v>697</v>
      </c>
      <c r="E328" s="1040">
        <v>80111600</v>
      </c>
      <c r="F328" s="1026" t="s">
        <v>1012</v>
      </c>
      <c r="G328" s="1041" t="s">
        <v>1440</v>
      </c>
      <c r="H328" s="1141" t="s">
        <v>1440</v>
      </c>
      <c r="I328" s="1042" t="s">
        <v>1442</v>
      </c>
      <c r="J328" s="1043" t="s">
        <v>1479</v>
      </c>
      <c r="K328" s="1027" t="s">
        <v>676</v>
      </c>
      <c r="L328" s="1088" t="s">
        <v>677</v>
      </c>
      <c r="M328" s="1030">
        <v>47817000</v>
      </c>
      <c r="N328" s="1083" t="s">
        <v>1535</v>
      </c>
      <c r="O328" s="1083" t="s">
        <v>1536</v>
      </c>
      <c r="P328" s="1083"/>
      <c r="Q328" s="1027"/>
      <c r="R328" s="1022"/>
      <c r="S328" s="1130">
        <v>177</v>
      </c>
      <c r="T328" s="1156">
        <v>34776000</v>
      </c>
    </row>
    <row r="329" spans="1:103" s="995" customFormat="1" ht="118.5" customHeight="1" x14ac:dyDescent="0.25">
      <c r="A329" s="1013">
        <v>2022324</v>
      </c>
      <c r="B329" s="1013">
        <v>7658</v>
      </c>
      <c r="C329" s="1013" t="s">
        <v>681</v>
      </c>
      <c r="D329" s="1045" t="s">
        <v>697</v>
      </c>
      <c r="E329" s="1051" t="s">
        <v>1013</v>
      </c>
      <c r="F329" s="1016" t="s">
        <v>1014</v>
      </c>
      <c r="G329" s="1047" t="s">
        <v>1445</v>
      </c>
      <c r="H329" s="1141" t="s">
        <v>1453</v>
      </c>
      <c r="I329" s="1048" t="s">
        <v>1481</v>
      </c>
      <c r="J329" s="1049" t="s">
        <v>1537</v>
      </c>
      <c r="K329" s="1017" t="s">
        <v>772</v>
      </c>
      <c r="L329" s="1019" t="s">
        <v>1518</v>
      </c>
      <c r="M329" s="1020">
        <v>200000000</v>
      </c>
      <c r="N329" s="1037" t="s">
        <v>1535</v>
      </c>
      <c r="O329" s="1037" t="s">
        <v>1536</v>
      </c>
      <c r="P329" s="1037"/>
      <c r="Q329" s="1047">
        <v>44600</v>
      </c>
      <c r="R329" s="1022"/>
      <c r="S329" s="1130"/>
      <c r="T329" s="1156"/>
    </row>
    <row r="330" spans="1:103" s="995" customFormat="1" ht="102" x14ac:dyDescent="0.25">
      <c r="A330" s="1013">
        <v>2022325</v>
      </c>
      <c r="B330" s="1013">
        <v>7658</v>
      </c>
      <c r="C330" s="1013" t="s">
        <v>681</v>
      </c>
      <c r="D330" s="1045" t="s">
        <v>697</v>
      </c>
      <c r="E330" s="1051" t="s">
        <v>1015</v>
      </c>
      <c r="F330" s="1016" t="s">
        <v>1538</v>
      </c>
      <c r="G330" s="1047" t="s">
        <v>1440</v>
      </c>
      <c r="H330" s="1141" t="s">
        <v>1445</v>
      </c>
      <c r="I330" s="1048" t="s">
        <v>1481</v>
      </c>
      <c r="J330" s="1049" t="s">
        <v>1328</v>
      </c>
      <c r="K330" s="1017" t="s">
        <v>676</v>
      </c>
      <c r="L330" s="1085" t="s">
        <v>677</v>
      </c>
      <c r="M330" s="1020">
        <v>770904000</v>
      </c>
      <c r="N330" s="1037" t="s">
        <v>1535</v>
      </c>
      <c r="O330" s="1037" t="s">
        <v>1536</v>
      </c>
      <c r="P330" s="1037"/>
      <c r="Q330" s="1017"/>
      <c r="R330" s="1022"/>
      <c r="S330" s="1130"/>
      <c r="T330" s="1156"/>
    </row>
    <row r="331" spans="1:103" s="995" customFormat="1" ht="102" x14ac:dyDescent="0.25">
      <c r="A331" s="1013">
        <v>2022326</v>
      </c>
      <c r="B331" s="1013">
        <v>7658</v>
      </c>
      <c r="C331" s="1013" t="s">
        <v>681</v>
      </c>
      <c r="D331" s="1045" t="s">
        <v>697</v>
      </c>
      <c r="E331" s="1046">
        <v>46201002</v>
      </c>
      <c r="F331" s="1016" t="s">
        <v>1539</v>
      </c>
      <c r="G331" s="1047" t="s">
        <v>1440</v>
      </c>
      <c r="H331" s="1141" t="s">
        <v>1445</v>
      </c>
      <c r="I331" s="1048" t="s">
        <v>1481</v>
      </c>
      <c r="J331" s="1049" t="s">
        <v>1328</v>
      </c>
      <c r="K331" s="1017" t="s">
        <v>772</v>
      </c>
      <c r="L331" s="1019" t="s">
        <v>1518</v>
      </c>
      <c r="M331" s="1020">
        <v>1100000000</v>
      </c>
      <c r="N331" s="1037" t="s">
        <v>1535</v>
      </c>
      <c r="O331" s="1037" t="s">
        <v>1536</v>
      </c>
      <c r="P331" s="1037"/>
      <c r="Q331" s="1047">
        <v>44600</v>
      </c>
      <c r="R331" s="1022"/>
      <c r="S331" s="1130"/>
      <c r="T331" s="1156"/>
    </row>
    <row r="332" spans="1:103" s="995" customFormat="1" ht="102" x14ac:dyDescent="0.25">
      <c r="A332" s="1023">
        <v>2022327</v>
      </c>
      <c r="B332" s="1023">
        <v>7658</v>
      </c>
      <c r="C332" s="1023" t="s">
        <v>681</v>
      </c>
      <c r="D332" s="1039" t="s">
        <v>697</v>
      </c>
      <c r="E332" s="1040">
        <v>90121800</v>
      </c>
      <c r="F332" s="1026" t="s">
        <v>1019</v>
      </c>
      <c r="G332" s="1041" t="s">
        <v>1440</v>
      </c>
      <c r="H332" s="1141" t="s">
        <v>1440</v>
      </c>
      <c r="I332" s="1042" t="s">
        <v>1485</v>
      </c>
      <c r="J332" s="1043" t="s">
        <v>816</v>
      </c>
      <c r="K332" s="1027" t="s">
        <v>676</v>
      </c>
      <c r="L332" s="1088" t="s">
        <v>677</v>
      </c>
      <c r="M332" s="1030">
        <f>40000000+10000000</f>
        <v>50000000</v>
      </c>
      <c r="N332" s="1083" t="s">
        <v>1535</v>
      </c>
      <c r="O332" s="1083" t="s">
        <v>1536</v>
      </c>
      <c r="P332" s="1083"/>
      <c r="Q332" s="1041">
        <v>44600</v>
      </c>
      <c r="R332" s="1022"/>
      <c r="S332" s="1130">
        <v>388</v>
      </c>
      <c r="T332" s="1156">
        <v>306300</v>
      </c>
    </row>
    <row r="333" spans="1:103" s="1034" customFormat="1" ht="102" x14ac:dyDescent="0.25">
      <c r="A333" s="1131">
        <v>2022328</v>
      </c>
      <c r="B333" s="1131">
        <v>7658</v>
      </c>
      <c r="C333" s="1131" t="s">
        <v>681</v>
      </c>
      <c r="D333" s="1139" t="s">
        <v>697</v>
      </c>
      <c r="E333" s="1145">
        <v>90121800</v>
      </c>
      <c r="F333" s="1134" t="s">
        <v>1020</v>
      </c>
      <c r="G333" s="1141" t="s">
        <v>1440</v>
      </c>
      <c r="H333" s="1141" t="s">
        <v>1440</v>
      </c>
      <c r="I333" s="1142" t="s">
        <v>1485</v>
      </c>
      <c r="J333" s="1143" t="s">
        <v>816</v>
      </c>
      <c r="K333" s="1135" t="s">
        <v>676</v>
      </c>
      <c r="L333" s="1153" t="s">
        <v>677</v>
      </c>
      <c r="M333" s="1136">
        <v>80000000</v>
      </c>
      <c r="N333" s="1151" t="s">
        <v>1535</v>
      </c>
      <c r="O333" s="1151" t="s">
        <v>1536</v>
      </c>
      <c r="P333" s="1151"/>
      <c r="Q333" s="1135"/>
      <c r="R333" s="1130">
        <v>537</v>
      </c>
      <c r="S333" s="1130"/>
      <c r="T333" s="1156"/>
      <c r="U333" s="995"/>
      <c r="V333" s="995"/>
      <c r="W333" s="995"/>
      <c r="X333" s="995"/>
      <c r="Y333" s="995"/>
      <c r="Z333" s="995"/>
      <c r="AA333" s="995"/>
      <c r="AB333" s="995"/>
      <c r="AC333" s="995"/>
      <c r="AD333" s="995"/>
      <c r="AE333" s="995"/>
      <c r="AF333" s="995"/>
      <c r="AG333" s="995"/>
      <c r="AH333" s="995"/>
      <c r="AI333" s="995"/>
      <c r="AJ333" s="995"/>
      <c r="AK333" s="995"/>
      <c r="AL333" s="995"/>
      <c r="AM333" s="995"/>
      <c r="AN333" s="995"/>
      <c r="AO333" s="995"/>
      <c r="AP333" s="995"/>
      <c r="AQ333" s="995"/>
      <c r="AR333" s="995"/>
      <c r="AS333" s="995"/>
      <c r="AT333" s="995"/>
      <c r="AU333" s="995"/>
      <c r="AV333" s="995"/>
      <c r="AW333" s="995"/>
      <c r="AX333" s="995"/>
      <c r="AY333" s="995"/>
      <c r="AZ333" s="995"/>
      <c r="BA333" s="995"/>
      <c r="BB333" s="995"/>
      <c r="BC333" s="995"/>
      <c r="BD333" s="995"/>
      <c r="BE333" s="995"/>
      <c r="BF333" s="995"/>
      <c r="BG333" s="995"/>
      <c r="BH333" s="995"/>
      <c r="BI333" s="995"/>
      <c r="BJ333" s="995"/>
      <c r="BK333" s="995"/>
      <c r="BL333" s="995"/>
      <c r="BM333" s="995"/>
      <c r="BN333" s="995"/>
      <c r="BO333" s="995"/>
      <c r="BP333" s="995"/>
      <c r="BQ333" s="995"/>
      <c r="BR333" s="995"/>
      <c r="BS333" s="995"/>
      <c r="BT333" s="995"/>
      <c r="BU333" s="995"/>
      <c r="BV333" s="995"/>
      <c r="BW333" s="995"/>
      <c r="BX333" s="995"/>
      <c r="BY333" s="995"/>
      <c r="BZ333" s="995"/>
      <c r="CA333" s="995"/>
      <c r="CB333" s="995"/>
      <c r="CC333" s="995"/>
      <c r="CD333" s="995"/>
      <c r="CE333" s="995"/>
      <c r="CF333" s="995"/>
      <c r="CG333" s="995"/>
      <c r="CH333" s="995"/>
      <c r="CI333" s="995"/>
      <c r="CJ333" s="995"/>
      <c r="CK333" s="995"/>
      <c r="CL333" s="995"/>
      <c r="CM333" s="995"/>
      <c r="CN333" s="995"/>
      <c r="CO333" s="995"/>
      <c r="CP333" s="995"/>
      <c r="CQ333" s="995"/>
      <c r="CR333" s="995"/>
      <c r="CS333" s="995"/>
      <c r="CT333" s="995"/>
      <c r="CU333" s="995"/>
      <c r="CV333" s="995"/>
      <c r="CW333" s="995"/>
      <c r="CX333" s="995"/>
      <c r="CY333" s="995"/>
    </row>
    <row r="334" spans="1:103" s="995" customFormat="1" ht="102" x14ac:dyDescent="0.25">
      <c r="A334" s="1013">
        <v>2022329</v>
      </c>
      <c r="B334" s="1013">
        <v>7658</v>
      </c>
      <c r="C334" s="1013" t="s">
        <v>681</v>
      </c>
      <c r="D334" s="1045" t="s">
        <v>697</v>
      </c>
      <c r="E334" s="1046">
        <v>80111600</v>
      </c>
      <c r="F334" s="1016" t="s">
        <v>1021</v>
      </c>
      <c r="G334" s="1047" t="s">
        <v>1440</v>
      </c>
      <c r="H334" s="1141" t="s">
        <v>1440</v>
      </c>
      <c r="I334" s="1048" t="s">
        <v>1484</v>
      </c>
      <c r="J334" s="1049" t="s">
        <v>1479</v>
      </c>
      <c r="K334" s="1017" t="s">
        <v>676</v>
      </c>
      <c r="L334" s="1085" t="s">
        <v>677</v>
      </c>
      <c r="M334" s="1020">
        <v>39357000</v>
      </c>
      <c r="N334" s="1037" t="s">
        <v>1535</v>
      </c>
      <c r="O334" s="1037" t="s">
        <v>1536</v>
      </c>
      <c r="P334" s="1037"/>
      <c r="Q334" s="1017"/>
      <c r="R334" s="1022"/>
      <c r="S334" s="1130"/>
      <c r="T334" s="1156"/>
    </row>
    <row r="335" spans="1:103" s="995" customFormat="1" ht="89.25" x14ac:dyDescent="0.25">
      <c r="A335" s="1013">
        <v>2022330</v>
      </c>
      <c r="B335" s="1013">
        <v>7658</v>
      </c>
      <c r="C335" s="1013" t="s">
        <v>681</v>
      </c>
      <c r="D335" s="1045" t="s">
        <v>703</v>
      </c>
      <c r="E335" s="1051" t="s">
        <v>1022</v>
      </c>
      <c r="F335" s="1016" t="s">
        <v>1023</v>
      </c>
      <c r="G335" s="1047" t="s">
        <v>1440</v>
      </c>
      <c r="H335" s="1141" t="s">
        <v>1445</v>
      </c>
      <c r="I335" s="1048" t="s">
        <v>1485</v>
      </c>
      <c r="J335" s="1049" t="s">
        <v>1328</v>
      </c>
      <c r="K335" s="1017" t="s">
        <v>772</v>
      </c>
      <c r="L335" s="1019" t="s">
        <v>983</v>
      </c>
      <c r="M335" s="1020">
        <v>5600000000</v>
      </c>
      <c r="N335" s="1037" t="s">
        <v>754</v>
      </c>
      <c r="O335" s="1037" t="s">
        <v>1499</v>
      </c>
      <c r="P335" s="1037"/>
      <c r="Q335" s="1017"/>
      <c r="R335" s="1022"/>
      <c r="S335" s="1130"/>
      <c r="T335" s="1156"/>
    </row>
    <row r="336" spans="1:103" s="995" customFormat="1" ht="89.25" x14ac:dyDescent="0.25">
      <c r="A336" s="1013">
        <v>2022331</v>
      </c>
      <c r="B336" s="1013">
        <v>7658</v>
      </c>
      <c r="C336" s="1013" t="s">
        <v>681</v>
      </c>
      <c r="D336" s="1045" t="s">
        <v>703</v>
      </c>
      <c r="E336" s="1051" t="s">
        <v>1024</v>
      </c>
      <c r="F336" s="1016" t="s">
        <v>1025</v>
      </c>
      <c r="G336" s="1047" t="s">
        <v>1440</v>
      </c>
      <c r="H336" s="1141" t="s">
        <v>1445</v>
      </c>
      <c r="I336" s="1048" t="s">
        <v>1540</v>
      </c>
      <c r="J336" s="1049" t="s">
        <v>1328</v>
      </c>
      <c r="K336" s="1017" t="s">
        <v>772</v>
      </c>
      <c r="L336" s="1019" t="s">
        <v>983</v>
      </c>
      <c r="M336" s="1020">
        <v>1325000000</v>
      </c>
      <c r="N336" s="1037" t="s">
        <v>751</v>
      </c>
      <c r="O336" s="1037" t="s">
        <v>1499</v>
      </c>
      <c r="P336" s="1037"/>
      <c r="Q336" s="1017"/>
      <c r="R336" s="1022"/>
      <c r="S336" s="1130"/>
      <c r="T336" s="1156"/>
    </row>
    <row r="337" spans="1:20" s="995" customFormat="1" ht="89.25" x14ac:dyDescent="0.25">
      <c r="A337" s="1013">
        <v>2022332</v>
      </c>
      <c r="B337" s="1013">
        <v>7658</v>
      </c>
      <c r="C337" s="1013" t="s">
        <v>681</v>
      </c>
      <c r="D337" s="1045" t="s">
        <v>703</v>
      </c>
      <c r="E337" s="1051" t="s">
        <v>1024</v>
      </c>
      <c r="F337" s="1016" t="s">
        <v>1025</v>
      </c>
      <c r="G337" s="1047" t="s">
        <v>1440</v>
      </c>
      <c r="H337" s="1141" t="s">
        <v>1445</v>
      </c>
      <c r="I337" s="1048" t="s">
        <v>1540</v>
      </c>
      <c r="J337" s="1049" t="s">
        <v>1328</v>
      </c>
      <c r="K337" s="1017" t="s">
        <v>676</v>
      </c>
      <c r="L337" s="1019" t="s">
        <v>983</v>
      </c>
      <c r="M337" s="1020">
        <v>548720000</v>
      </c>
      <c r="N337" s="1037" t="s">
        <v>751</v>
      </c>
      <c r="O337" s="1037" t="s">
        <v>1499</v>
      </c>
      <c r="P337" s="1037"/>
      <c r="Q337" s="1017"/>
      <c r="R337" s="1022"/>
      <c r="S337" s="1130"/>
      <c r="T337" s="1156"/>
    </row>
    <row r="338" spans="1:20" s="995" customFormat="1" ht="89.25" x14ac:dyDescent="0.25">
      <c r="A338" s="1013">
        <v>2022333</v>
      </c>
      <c r="B338" s="1013">
        <v>7658</v>
      </c>
      <c r="C338" s="1013" t="s">
        <v>681</v>
      </c>
      <c r="D338" s="1045" t="s">
        <v>703</v>
      </c>
      <c r="E338" s="1051" t="s">
        <v>1541</v>
      </c>
      <c r="F338" s="1016" t="s">
        <v>1028</v>
      </c>
      <c r="G338" s="1047" t="s">
        <v>1440</v>
      </c>
      <c r="H338" s="1141" t="s">
        <v>1542</v>
      </c>
      <c r="I338" s="1048" t="s">
        <v>1540</v>
      </c>
      <c r="J338" s="1049" t="s">
        <v>1328</v>
      </c>
      <c r="K338" s="1017" t="s">
        <v>772</v>
      </c>
      <c r="L338" s="1019" t="s">
        <v>983</v>
      </c>
      <c r="M338" s="1020">
        <v>1078000000</v>
      </c>
      <c r="N338" s="1037" t="s">
        <v>751</v>
      </c>
      <c r="O338" s="1037" t="s">
        <v>1499</v>
      </c>
      <c r="P338" s="1037"/>
      <c r="Q338" s="1017"/>
      <c r="R338" s="1022"/>
      <c r="S338" s="1130"/>
      <c r="T338" s="1156"/>
    </row>
    <row r="339" spans="1:20" s="995" customFormat="1" ht="89.25" x14ac:dyDescent="0.25">
      <c r="A339" s="1013">
        <v>2022334</v>
      </c>
      <c r="B339" s="1013">
        <v>7658</v>
      </c>
      <c r="C339" s="1013" t="s">
        <v>681</v>
      </c>
      <c r="D339" s="1045" t="s">
        <v>703</v>
      </c>
      <c r="E339" s="1051" t="s">
        <v>1541</v>
      </c>
      <c r="F339" s="1016" t="s">
        <v>1028</v>
      </c>
      <c r="G339" s="1047" t="s">
        <v>1440</v>
      </c>
      <c r="H339" s="1141" t="s">
        <v>1542</v>
      </c>
      <c r="I339" s="1048" t="s">
        <v>1540</v>
      </c>
      <c r="J339" s="1049" t="s">
        <v>1328</v>
      </c>
      <c r="K339" s="1017" t="s">
        <v>676</v>
      </c>
      <c r="L339" s="1019" t="s">
        <v>983</v>
      </c>
      <c r="M339" s="1020">
        <v>204051000</v>
      </c>
      <c r="N339" s="1037" t="s">
        <v>751</v>
      </c>
      <c r="O339" s="1037" t="s">
        <v>1499</v>
      </c>
      <c r="P339" s="1037"/>
      <c r="Q339" s="1017"/>
      <c r="R339" s="1022"/>
      <c r="S339" s="1130"/>
      <c r="T339" s="1156"/>
    </row>
    <row r="340" spans="1:20" s="995" customFormat="1" ht="89.25" x14ac:dyDescent="0.25">
      <c r="A340" s="1013">
        <v>2022335</v>
      </c>
      <c r="B340" s="1013">
        <v>7658</v>
      </c>
      <c r="C340" s="1013" t="s">
        <v>681</v>
      </c>
      <c r="D340" s="1045" t="s">
        <v>703</v>
      </c>
      <c r="E340" s="1051" t="s">
        <v>1543</v>
      </c>
      <c r="F340" s="1016" t="s">
        <v>1544</v>
      </c>
      <c r="G340" s="1047" t="s">
        <v>1440</v>
      </c>
      <c r="H340" s="1141" t="s">
        <v>1542</v>
      </c>
      <c r="I340" s="1048" t="s">
        <v>1545</v>
      </c>
      <c r="J340" s="1049" t="s">
        <v>1447</v>
      </c>
      <c r="K340" s="1017" t="s">
        <v>676</v>
      </c>
      <c r="L340" s="1019" t="s">
        <v>983</v>
      </c>
      <c r="M340" s="1020">
        <v>40000000</v>
      </c>
      <c r="N340" s="1037" t="s">
        <v>751</v>
      </c>
      <c r="O340" s="1037" t="s">
        <v>1499</v>
      </c>
      <c r="P340" s="1037"/>
      <c r="Q340" s="1017"/>
      <c r="R340" s="1022"/>
      <c r="S340" s="1130"/>
      <c r="T340" s="1156"/>
    </row>
    <row r="341" spans="1:20" s="995" customFormat="1" ht="89.25" x14ac:dyDescent="0.25">
      <c r="A341" s="1013">
        <v>2022336</v>
      </c>
      <c r="B341" s="1013">
        <v>7658</v>
      </c>
      <c r="C341" s="1013" t="s">
        <v>681</v>
      </c>
      <c r="D341" s="1045" t="s">
        <v>703</v>
      </c>
      <c r="E341" s="1051" t="s">
        <v>1029</v>
      </c>
      <c r="F341" s="1016" t="s">
        <v>1030</v>
      </c>
      <c r="G341" s="1047" t="s">
        <v>1440</v>
      </c>
      <c r="H341" s="1141" t="s">
        <v>1449</v>
      </c>
      <c r="I341" s="1048" t="s">
        <v>1545</v>
      </c>
      <c r="J341" s="1049" t="s">
        <v>1447</v>
      </c>
      <c r="K341" s="1017" t="s">
        <v>676</v>
      </c>
      <c r="L341" s="1019" t="s">
        <v>983</v>
      </c>
      <c r="M341" s="1020">
        <v>125000000</v>
      </c>
      <c r="N341" s="1037" t="s">
        <v>751</v>
      </c>
      <c r="O341" s="1037" t="s">
        <v>1499</v>
      </c>
      <c r="P341" s="1037"/>
      <c r="Q341" s="1017"/>
      <c r="R341" s="1022"/>
      <c r="S341" s="1130"/>
      <c r="T341" s="1156"/>
    </row>
    <row r="342" spans="1:20" s="995" customFormat="1" ht="89.25" x14ac:dyDescent="0.25">
      <c r="A342" s="1023">
        <v>2022337</v>
      </c>
      <c r="B342" s="1023">
        <v>7658</v>
      </c>
      <c r="C342" s="1023" t="s">
        <v>681</v>
      </c>
      <c r="D342" s="1039" t="s">
        <v>703</v>
      </c>
      <c r="E342" s="1040">
        <v>80111600</v>
      </c>
      <c r="F342" s="1026" t="s">
        <v>1031</v>
      </c>
      <c r="G342" s="1041" t="s">
        <v>1440</v>
      </c>
      <c r="H342" s="1141" t="s">
        <v>1440</v>
      </c>
      <c r="I342" s="1042" t="s">
        <v>1485</v>
      </c>
      <c r="J342" s="1043" t="s">
        <v>1479</v>
      </c>
      <c r="K342" s="1027" t="s">
        <v>676</v>
      </c>
      <c r="L342" s="1088" t="s">
        <v>677</v>
      </c>
      <c r="M342" s="1030">
        <v>25980000</v>
      </c>
      <c r="N342" s="1083" t="s">
        <v>751</v>
      </c>
      <c r="O342" s="1083" t="s">
        <v>1499</v>
      </c>
      <c r="P342" s="1083"/>
      <c r="Q342" s="1027"/>
      <c r="R342" s="1022"/>
      <c r="S342" s="1130">
        <v>242</v>
      </c>
      <c r="T342" s="1156">
        <v>25200000</v>
      </c>
    </row>
    <row r="343" spans="1:20" s="995" customFormat="1" ht="89.25" x14ac:dyDescent="0.25">
      <c r="A343" s="1023">
        <v>2022338</v>
      </c>
      <c r="B343" s="1023">
        <v>7658</v>
      </c>
      <c r="C343" s="1023" t="s">
        <v>681</v>
      </c>
      <c r="D343" s="1039" t="s">
        <v>703</v>
      </c>
      <c r="E343" s="1040">
        <v>80111600</v>
      </c>
      <c r="F343" s="1026" t="s">
        <v>1031</v>
      </c>
      <c r="G343" s="1041" t="s">
        <v>1440</v>
      </c>
      <c r="H343" s="1141" t="s">
        <v>1440</v>
      </c>
      <c r="I343" s="1042" t="s">
        <v>1485</v>
      </c>
      <c r="J343" s="1043" t="s">
        <v>1479</v>
      </c>
      <c r="K343" s="1027" t="s">
        <v>676</v>
      </c>
      <c r="L343" s="1088" t="s">
        <v>677</v>
      </c>
      <c r="M343" s="1030">
        <v>25980000</v>
      </c>
      <c r="N343" s="1083" t="s">
        <v>751</v>
      </c>
      <c r="O343" s="1083" t="s">
        <v>1499</v>
      </c>
      <c r="P343" s="1083"/>
      <c r="Q343" s="1027"/>
      <c r="R343" s="1022"/>
      <c r="S343" s="1130">
        <v>251</v>
      </c>
      <c r="T343" s="1156">
        <v>25200000</v>
      </c>
    </row>
    <row r="344" spans="1:20" s="995" customFormat="1" ht="89.25" x14ac:dyDescent="0.25">
      <c r="A344" s="1023">
        <v>2022339</v>
      </c>
      <c r="B344" s="1023">
        <v>7658</v>
      </c>
      <c r="C344" s="1023" t="s">
        <v>681</v>
      </c>
      <c r="D344" s="1039" t="s">
        <v>703</v>
      </c>
      <c r="E344" s="1040">
        <v>80111600</v>
      </c>
      <c r="F344" s="1026" t="s">
        <v>1031</v>
      </c>
      <c r="G344" s="1041" t="s">
        <v>1440</v>
      </c>
      <c r="H344" s="1141" t="s">
        <v>1440</v>
      </c>
      <c r="I344" s="1042" t="s">
        <v>1485</v>
      </c>
      <c r="J344" s="1043" t="s">
        <v>1479</v>
      </c>
      <c r="K344" s="1027" t="s">
        <v>676</v>
      </c>
      <c r="L344" s="1088" t="s">
        <v>677</v>
      </c>
      <c r="M344" s="1030">
        <v>25980000</v>
      </c>
      <c r="N344" s="1083" t="s">
        <v>751</v>
      </c>
      <c r="O344" s="1083" t="s">
        <v>1499</v>
      </c>
      <c r="P344" s="1083"/>
      <c r="Q344" s="1027"/>
      <c r="R344" s="1022"/>
      <c r="S344" s="1130">
        <v>349</v>
      </c>
      <c r="T344" s="1156">
        <v>25200000</v>
      </c>
    </row>
    <row r="345" spans="1:20" s="995" customFormat="1" ht="89.25" x14ac:dyDescent="0.25">
      <c r="A345" s="1023">
        <v>2022340</v>
      </c>
      <c r="B345" s="1023">
        <v>7658</v>
      </c>
      <c r="C345" s="1023" t="s">
        <v>681</v>
      </c>
      <c r="D345" s="1039" t="s">
        <v>703</v>
      </c>
      <c r="E345" s="1040">
        <v>80111600</v>
      </c>
      <c r="F345" s="1026" t="s">
        <v>1031</v>
      </c>
      <c r="G345" s="1041" t="s">
        <v>1440</v>
      </c>
      <c r="H345" s="1141" t="s">
        <v>1440</v>
      </c>
      <c r="I345" s="1042" t="s">
        <v>1485</v>
      </c>
      <c r="J345" s="1043" t="s">
        <v>1479</v>
      </c>
      <c r="K345" s="1027" t="s">
        <v>676</v>
      </c>
      <c r="L345" s="1088" t="s">
        <v>677</v>
      </c>
      <c r="M345" s="1030">
        <v>25980000</v>
      </c>
      <c r="N345" s="1083" t="s">
        <v>751</v>
      </c>
      <c r="O345" s="1083" t="s">
        <v>1499</v>
      </c>
      <c r="P345" s="1083"/>
      <c r="Q345" s="1027"/>
      <c r="R345" s="1022"/>
      <c r="S345" s="1130">
        <v>252</v>
      </c>
      <c r="T345" s="1156">
        <v>25200000</v>
      </c>
    </row>
    <row r="346" spans="1:20" s="995" customFormat="1" ht="89.25" x14ac:dyDescent="0.25">
      <c r="A346" s="1023">
        <v>2022341</v>
      </c>
      <c r="B346" s="1023">
        <v>7658</v>
      </c>
      <c r="C346" s="1023" t="s">
        <v>681</v>
      </c>
      <c r="D346" s="1039" t="s">
        <v>703</v>
      </c>
      <c r="E346" s="1040">
        <v>80111600</v>
      </c>
      <c r="F346" s="1026" t="s">
        <v>1031</v>
      </c>
      <c r="G346" s="1041" t="s">
        <v>1440</v>
      </c>
      <c r="H346" s="1141" t="s">
        <v>1440</v>
      </c>
      <c r="I346" s="1042" t="s">
        <v>1485</v>
      </c>
      <c r="J346" s="1043" t="s">
        <v>1479</v>
      </c>
      <c r="K346" s="1027" t="s">
        <v>676</v>
      </c>
      <c r="L346" s="1088" t="s">
        <v>677</v>
      </c>
      <c r="M346" s="1030">
        <v>25980000</v>
      </c>
      <c r="N346" s="1083" t="s">
        <v>751</v>
      </c>
      <c r="O346" s="1083" t="s">
        <v>1499</v>
      </c>
      <c r="P346" s="1083"/>
      <c r="Q346" s="1027"/>
      <c r="R346" s="1022"/>
      <c r="S346" s="1130">
        <v>321</v>
      </c>
      <c r="T346" s="1156">
        <v>25200000</v>
      </c>
    </row>
    <row r="347" spans="1:20" s="995" customFormat="1" ht="89.25" x14ac:dyDescent="0.25">
      <c r="A347" s="1023">
        <v>2022342</v>
      </c>
      <c r="B347" s="1023">
        <v>7658</v>
      </c>
      <c r="C347" s="1023" t="s">
        <v>681</v>
      </c>
      <c r="D347" s="1039" t="s">
        <v>703</v>
      </c>
      <c r="E347" s="1040">
        <v>80111600</v>
      </c>
      <c r="F347" s="1026" t="s">
        <v>1031</v>
      </c>
      <c r="G347" s="1041" t="s">
        <v>1440</v>
      </c>
      <c r="H347" s="1141" t="s">
        <v>1440</v>
      </c>
      <c r="I347" s="1042" t="s">
        <v>1485</v>
      </c>
      <c r="J347" s="1043" t="s">
        <v>1479</v>
      </c>
      <c r="K347" s="1027" t="s">
        <v>676</v>
      </c>
      <c r="L347" s="1088" t="s">
        <v>677</v>
      </c>
      <c r="M347" s="1030">
        <v>25980000</v>
      </c>
      <c r="N347" s="1083" t="s">
        <v>751</v>
      </c>
      <c r="O347" s="1083" t="s">
        <v>1499</v>
      </c>
      <c r="P347" s="1083"/>
      <c r="Q347" s="1027"/>
      <c r="R347" s="1022"/>
      <c r="S347" s="1130">
        <v>241</v>
      </c>
      <c r="T347" s="1156">
        <v>25200000</v>
      </c>
    </row>
    <row r="348" spans="1:20" s="995" customFormat="1" ht="89.25" x14ac:dyDescent="0.25">
      <c r="A348" s="1023">
        <v>2022343</v>
      </c>
      <c r="B348" s="1023">
        <v>7658</v>
      </c>
      <c r="C348" s="1023" t="s">
        <v>681</v>
      </c>
      <c r="D348" s="1039" t="s">
        <v>703</v>
      </c>
      <c r="E348" s="1040">
        <v>80111600</v>
      </c>
      <c r="F348" s="1026" t="s">
        <v>1031</v>
      </c>
      <c r="G348" s="1041" t="s">
        <v>1440</v>
      </c>
      <c r="H348" s="1141" t="s">
        <v>1440</v>
      </c>
      <c r="I348" s="1042" t="s">
        <v>1485</v>
      </c>
      <c r="J348" s="1043" t="s">
        <v>1479</v>
      </c>
      <c r="K348" s="1027" t="s">
        <v>676</v>
      </c>
      <c r="L348" s="1088" t="s">
        <v>677</v>
      </c>
      <c r="M348" s="1030">
        <v>25980000</v>
      </c>
      <c r="N348" s="1083" t="s">
        <v>751</v>
      </c>
      <c r="O348" s="1083" t="s">
        <v>1499</v>
      </c>
      <c r="P348" s="1083"/>
      <c r="Q348" s="1027"/>
      <c r="R348" s="1022"/>
      <c r="S348" s="1130">
        <v>254</v>
      </c>
      <c r="T348" s="1156">
        <v>25200000</v>
      </c>
    </row>
    <row r="349" spans="1:20" s="995" customFormat="1" ht="89.25" x14ac:dyDescent="0.25">
      <c r="A349" s="1023">
        <v>2022344</v>
      </c>
      <c r="B349" s="1023">
        <v>7658</v>
      </c>
      <c r="C349" s="1023" t="s">
        <v>681</v>
      </c>
      <c r="D349" s="1039" t="s">
        <v>703</v>
      </c>
      <c r="E349" s="1040">
        <v>80111600</v>
      </c>
      <c r="F349" s="1026" t="s">
        <v>1031</v>
      </c>
      <c r="G349" s="1041" t="s">
        <v>1440</v>
      </c>
      <c r="H349" s="1141" t="s">
        <v>1440</v>
      </c>
      <c r="I349" s="1042" t="s">
        <v>1485</v>
      </c>
      <c r="J349" s="1043" t="s">
        <v>1479</v>
      </c>
      <c r="K349" s="1027" t="s">
        <v>676</v>
      </c>
      <c r="L349" s="1088" t="s">
        <v>677</v>
      </c>
      <c r="M349" s="1030">
        <v>25980000</v>
      </c>
      <c r="N349" s="1083" t="s">
        <v>751</v>
      </c>
      <c r="O349" s="1083" t="s">
        <v>1499</v>
      </c>
      <c r="P349" s="1083"/>
      <c r="Q349" s="1027"/>
      <c r="R349" s="1022"/>
      <c r="S349" s="1130">
        <v>271</v>
      </c>
      <c r="T349" s="1156">
        <v>25200000</v>
      </c>
    </row>
    <row r="350" spans="1:20" s="995" customFormat="1" ht="89.25" x14ac:dyDescent="0.25">
      <c r="A350" s="1023">
        <v>2022345</v>
      </c>
      <c r="B350" s="1023">
        <v>7658</v>
      </c>
      <c r="C350" s="1023" t="s">
        <v>681</v>
      </c>
      <c r="D350" s="1039" t="s">
        <v>703</v>
      </c>
      <c r="E350" s="1040">
        <v>80111600</v>
      </c>
      <c r="F350" s="1026" t="s">
        <v>1031</v>
      </c>
      <c r="G350" s="1041" t="s">
        <v>1440</v>
      </c>
      <c r="H350" s="1141" t="s">
        <v>1440</v>
      </c>
      <c r="I350" s="1042" t="s">
        <v>1485</v>
      </c>
      <c r="J350" s="1043" t="s">
        <v>1479</v>
      </c>
      <c r="K350" s="1027" t="s">
        <v>676</v>
      </c>
      <c r="L350" s="1088" t="s">
        <v>677</v>
      </c>
      <c r="M350" s="1030">
        <v>25980000</v>
      </c>
      <c r="N350" s="1083" t="s">
        <v>751</v>
      </c>
      <c r="O350" s="1083" t="s">
        <v>1499</v>
      </c>
      <c r="P350" s="1083"/>
      <c r="Q350" s="1027"/>
      <c r="R350" s="1022"/>
      <c r="S350" s="1130">
        <v>245</v>
      </c>
      <c r="T350" s="1156">
        <v>25200000</v>
      </c>
    </row>
    <row r="351" spans="1:20" s="995" customFormat="1" ht="89.25" x14ac:dyDescent="0.25">
      <c r="A351" s="1023">
        <v>2022346</v>
      </c>
      <c r="B351" s="1023">
        <v>7658</v>
      </c>
      <c r="C351" s="1023" t="s">
        <v>681</v>
      </c>
      <c r="D351" s="1039" t="s">
        <v>703</v>
      </c>
      <c r="E351" s="1040">
        <v>80111600</v>
      </c>
      <c r="F351" s="1026" t="s">
        <v>1031</v>
      </c>
      <c r="G351" s="1041" t="s">
        <v>1440</v>
      </c>
      <c r="H351" s="1141" t="s">
        <v>1440</v>
      </c>
      <c r="I351" s="1042" t="s">
        <v>1485</v>
      </c>
      <c r="J351" s="1043" t="s">
        <v>1479</v>
      </c>
      <c r="K351" s="1027" t="s">
        <v>676</v>
      </c>
      <c r="L351" s="1088" t="s">
        <v>677</v>
      </c>
      <c r="M351" s="1030">
        <v>25980000</v>
      </c>
      <c r="N351" s="1083" t="s">
        <v>751</v>
      </c>
      <c r="O351" s="1083" t="s">
        <v>1499</v>
      </c>
      <c r="P351" s="1083"/>
      <c r="Q351" s="1027"/>
      <c r="R351" s="1022"/>
      <c r="S351" s="1130">
        <v>246</v>
      </c>
      <c r="T351" s="1156">
        <v>25200000</v>
      </c>
    </row>
    <row r="352" spans="1:20" s="1022" customFormat="1" ht="89.25" x14ac:dyDescent="0.25">
      <c r="A352" s="1013">
        <v>2022347</v>
      </c>
      <c r="B352" s="1013">
        <v>7658</v>
      </c>
      <c r="C352" s="1013" t="s">
        <v>681</v>
      </c>
      <c r="D352" s="1045" t="s">
        <v>703</v>
      </c>
      <c r="E352" s="1046">
        <v>80111600</v>
      </c>
      <c r="F352" s="1016" t="s">
        <v>1031</v>
      </c>
      <c r="G352" s="1047" t="s">
        <v>1440</v>
      </c>
      <c r="H352" s="1141" t="s">
        <v>1440</v>
      </c>
      <c r="I352" s="1048" t="s">
        <v>1485</v>
      </c>
      <c r="J352" s="1049" t="s">
        <v>1479</v>
      </c>
      <c r="K352" s="1017" t="s">
        <v>676</v>
      </c>
      <c r="L352" s="1085" t="s">
        <v>677</v>
      </c>
      <c r="M352" s="1020">
        <f>25980000-25980000</f>
        <v>0</v>
      </c>
      <c r="N352" s="1037" t="s">
        <v>751</v>
      </c>
      <c r="O352" s="1037" t="s">
        <v>1499</v>
      </c>
      <c r="P352" s="1037"/>
      <c r="Q352" s="1017"/>
      <c r="S352" s="1130"/>
      <c r="T352" s="1156"/>
    </row>
    <row r="353" spans="1:20" s="995" customFormat="1" ht="89.25" x14ac:dyDescent="0.25">
      <c r="A353" s="1023">
        <v>2022348</v>
      </c>
      <c r="B353" s="1023">
        <v>7658</v>
      </c>
      <c r="C353" s="1023" t="s">
        <v>681</v>
      </c>
      <c r="D353" s="1039" t="s">
        <v>703</v>
      </c>
      <c r="E353" s="1040">
        <v>80111600</v>
      </c>
      <c r="F353" s="1026" t="s">
        <v>1031</v>
      </c>
      <c r="G353" s="1041" t="s">
        <v>1440</v>
      </c>
      <c r="H353" s="1141" t="s">
        <v>1440</v>
      </c>
      <c r="I353" s="1042" t="s">
        <v>1485</v>
      </c>
      <c r="J353" s="1043" t="s">
        <v>1479</v>
      </c>
      <c r="K353" s="1027" t="s">
        <v>676</v>
      </c>
      <c r="L353" s="1088" t="s">
        <v>677</v>
      </c>
      <c r="M353" s="1030">
        <v>25980000</v>
      </c>
      <c r="N353" s="1083" t="s">
        <v>751</v>
      </c>
      <c r="O353" s="1083" t="s">
        <v>1499</v>
      </c>
      <c r="P353" s="1083"/>
      <c r="Q353" s="1027"/>
      <c r="R353" s="1022"/>
      <c r="S353" s="1130">
        <v>253</v>
      </c>
      <c r="T353" s="1156">
        <v>25200000</v>
      </c>
    </row>
    <row r="354" spans="1:20" s="995" customFormat="1" ht="89.25" x14ac:dyDescent="0.25">
      <c r="A354" s="1023">
        <v>2022349</v>
      </c>
      <c r="B354" s="1023">
        <v>7658</v>
      </c>
      <c r="C354" s="1023" t="s">
        <v>681</v>
      </c>
      <c r="D354" s="1039" t="s">
        <v>703</v>
      </c>
      <c r="E354" s="1040">
        <v>80111600</v>
      </c>
      <c r="F354" s="1026" t="s">
        <v>1031</v>
      </c>
      <c r="G354" s="1041" t="s">
        <v>1440</v>
      </c>
      <c r="H354" s="1141" t="s">
        <v>1440</v>
      </c>
      <c r="I354" s="1042" t="s">
        <v>1485</v>
      </c>
      <c r="J354" s="1043" t="s">
        <v>1479</v>
      </c>
      <c r="K354" s="1027" t="s">
        <v>676</v>
      </c>
      <c r="L354" s="1088" t="s">
        <v>677</v>
      </c>
      <c r="M354" s="1030">
        <v>25980000</v>
      </c>
      <c r="N354" s="1083" t="s">
        <v>751</v>
      </c>
      <c r="O354" s="1083" t="s">
        <v>1499</v>
      </c>
      <c r="P354" s="1083"/>
      <c r="Q354" s="1027"/>
      <c r="R354" s="1022"/>
      <c r="S354" s="1130">
        <v>247</v>
      </c>
      <c r="T354" s="1156">
        <v>25200000</v>
      </c>
    </row>
    <row r="355" spans="1:20" s="995" customFormat="1" ht="89.25" x14ac:dyDescent="0.25">
      <c r="A355" s="1023">
        <v>2022350</v>
      </c>
      <c r="B355" s="1023">
        <v>7658</v>
      </c>
      <c r="C355" s="1023" t="s">
        <v>681</v>
      </c>
      <c r="D355" s="1039" t="s">
        <v>703</v>
      </c>
      <c r="E355" s="1040">
        <v>80111600</v>
      </c>
      <c r="F355" s="1026" t="s">
        <v>1031</v>
      </c>
      <c r="G355" s="1041" t="s">
        <v>1440</v>
      </c>
      <c r="H355" s="1141" t="s">
        <v>1440</v>
      </c>
      <c r="I355" s="1042" t="s">
        <v>1485</v>
      </c>
      <c r="J355" s="1043" t="s">
        <v>1479</v>
      </c>
      <c r="K355" s="1027" t="s">
        <v>676</v>
      </c>
      <c r="L355" s="1088" t="s">
        <v>677</v>
      </c>
      <c r="M355" s="1030">
        <v>25980000</v>
      </c>
      <c r="N355" s="1083" t="s">
        <v>751</v>
      </c>
      <c r="O355" s="1083" t="s">
        <v>1499</v>
      </c>
      <c r="P355" s="1083"/>
      <c r="Q355" s="1027"/>
      <c r="R355" s="1022"/>
      <c r="S355" s="1130">
        <v>322</v>
      </c>
      <c r="T355" s="1156">
        <v>25200000</v>
      </c>
    </row>
    <row r="356" spans="1:20" s="995" customFormat="1" ht="89.25" x14ac:dyDescent="0.25">
      <c r="A356" s="1023">
        <v>2022351</v>
      </c>
      <c r="B356" s="1023">
        <v>7658</v>
      </c>
      <c r="C356" s="1023" t="s">
        <v>681</v>
      </c>
      <c r="D356" s="1039" t="s">
        <v>703</v>
      </c>
      <c r="E356" s="1040">
        <v>80111600</v>
      </c>
      <c r="F356" s="1026" t="s">
        <v>1031</v>
      </c>
      <c r="G356" s="1041" t="s">
        <v>1440</v>
      </c>
      <c r="H356" s="1141" t="s">
        <v>1440</v>
      </c>
      <c r="I356" s="1042" t="s">
        <v>1485</v>
      </c>
      <c r="J356" s="1043" t="s">
        <v>1479</v>
      </c>
      <c r="K356" s="1027" t="s">
        <v>676</v>
      </c>
      <c r="L356" s="1088" t="s">
        <v>677</v>
      </c>
      <c r="M356" s="1030">
        <v>25980000</v>
      </c>
      <c r="N356" s="1083" t="s">
        <v>751</v>
      </c>
      <c r="O356" s="1083" t="s">
        <v>1499</v>
      </c>
      <c r="P356" s="1083"/>
      <c r="Q356" s="1027"/>
      <c r="R356" s="1022"/>
      <c r="S356" s="1130">
        <v>272</v>
      </c>
      <c r="T356" s="1156">
        <v>25200000</v>
      </c>
    </row>
    <row r="357" spans="1:20" s="995" customFormat="1" ht="89.25" x14ac:dyDescent="0.25">
      <c r="A357" s="1023">
        <v>2022352</v>
      </c>
      <c r="B357" s="1023">
        <v>7658</v>
      </c>
      <c r="C357" s="1023" t="s">
        <v>681</v>
      </c>
      <c r="D357" s="1039" t="s">
        <v>703</v>
      </c>
      <c r="E357" s="1040">
        <v>80111600</v>
      </c>
      <c r="F357" s="1026" t="s">
        <v>1031</v>
      </c>
      <c r="G357" s="1041" t="s">
        <v>1440</v>
      </c>
      <c r="H357" s="1141" t="s">
        <v>1440</v>
      </c>
      <c r="I357" s="1042" t="s">
        <v>1485</v>
      </c>
      <c r="J357" s="1043" t="s">
        <v>1479</v>
      </c>
      <c r="K357" s="1027" t="s">
        <v>676</v>
      </c>
      <c r="L357" s="1088" t="s">
        <v>677</v>
      </c>
      <c r="M357" s="1030">
        <v>25980000</v>
      </c>
      <c r="N357" s="1083" t="s">
        <v>751</v>
      </c>
      <c r="O357" s="1083" t="s">
        <v>1499</v>
      </c>
      <c r="P357" s="1083"/>
      <c r="Q357" s="1027"/>
      <c r="R357" s="1022"/>
      <c r="S357" s="1130">
        <v>288</v>
      </c>
      <c r="T357" s="1156">
        <v>25200000</v>
      </c>
    </row>
    <row r="358" spans="1:20" s="995" customFormat="1" ht="89.25" x14ac:dyDescent="0.25">
      <c r="A358" s="1023">
        <v>2022353</v>
      </c>
      <c r="B358" s="1023">
        <v>7658</v>
      </c>
      <c r="C358" s="1023" t="s">
        <v>681</v>
      </c>
      <c r="D358" s="1039" t="s">
        <v>703</v>
      </c>
      <c r="E358" s="1040">
        <v>80111600</v>
      </c>
      <c r="F358" s="1026" t="s">
        <v>1031</v>
      </c>
      <c r="G358" s="1041" t="s">
        <v>1440</v>
      </c>
      <c r="H358" s="1141" t="s">
        <v>1440</v>
      </c>
      <c r="I358" s="1042" t="s">
        <v>1485</v>
      </c>
      <c r="J358" s="1043" t="s">
        <v>1479</v>
      </c>
      <c r="K358" s="1027" t="s">
        <v>676</v>
      </c>
      <c r="L358" s="1088" t="s">
        <v>677</v>
      </c>
      <c r="M358" s="1030">
        <f>25980000+25980000</f>
        <v>51960000</v>
      </c>
      <c r="N358" s="1083" t="s">
        <v>751</v>
      </c>
      <c r="O358" s="1083" t="s">
        <v>1499</v>
      </c>
      <c r="P358" s="1083"/>
      <c r="Q358" s="1027"/>
      <c r="R358" s="1022"/>
      <c r="S358" s="1130">
        <v>328</v>
      </c>
      <c r="T358" s="1156">
        <v>25200000</v>
      </c>
    </row>
    <row r="359" spans="1:20" s="995" customFormat="1" ht="89.25" x14ac:dyDescent="0.25">
      <c r="A359" s="1023">
        <v>2022354</v>
      </c>
      <c r="B359" s="1023">
        <v>7658</v>
      </c>
      <c r="C359" s="1023" t="s">
        <v>681</v>
      </c>
      <c r="D359" s="1039" t="s">
        <v>703</v>
      </c>
      <c r="E359" s="1040">
        <v>80111600</v>
      </c>
      <c r="F359" s="1026" t="s">
        <v>1032</v>
      </c>
      <c r="G359" s="1041" t="s">
        <v>1440</v>
      </c>
      <c r="H359" s="1141" t="s">
        <v>1440</v>
      </c>
      <c r="I359" s="1042" t="s">
        <v>1485</v>
      </c>
      <c r="J359" s="1043" t="s">
        <v>1479</v>
      </c>
      <c r="K359" s="1027" t="s">
        <v>676</v>
      </c>
      <c r="L359" s="1088" t="s">
        <v>677</v>
      </c>
      <c r="M359" s="1030">
        <v>30300000</v>
      </c>
      <c r="N359" s="1083" t="s">
        <v>751</v>
      </c>
      <c r="O359" s="1083" t="s">
        <v>1499</v>
      </c>
      <c r="P359" s="1083"/>
      <c r="Q359" s="1027"/>
      <c r="R359" s="1022"/>
      <c r="S359" s="1130">
        <v>345</v>
      </c>
      <c r="T359" s="1156">
        <v>29400000</v>
      </c>
    </row>
    <row r="360" spans="1:20" s="995" customFormat="1" ht="89.25" x14ac:dyDescent="0.25">
      <c r="A360" s="1023">
        <v>2022355</v>
      </c>
      <c r="B360" s="1023">
        <v>7658</v>
      </c>
      <c r="C360" s="1023" t="s">
        <v>681</v>
      </c>
      <c r="D360" s="1039" t="s">
        <v>703</v>
      </c>
      <c r="E360" s="1040">
        <v>80111600</v>
      </c>
      <c r="F360" s="1026" t="s">
        <v>1032</v>
      </c>
      <c r="G360" s="1041" t="s">
        <v>1440</v>
      </c>
      <c r="H360" s="1141" t="s">
        <v>1440</v>
      </c>
      <c r="I360" s="1042" t="s">
        <v>1485</v>
      </c>
      <c r="J360" s="1043" t="s">
        <v>1479</v>
      </c>
      <c r="K360" s="1027" t="s">
        <v>676</v>
      </c>
      <c r="L360" s="1088" t="s">
        <v>677</v>
      </c>
      <c r="M360" s="1030">
        <v>30300000</v>
      </c>
      <c r="N360" s="1083" t="s">
        <v>751</v>
      </c>
      <c r="O360" s="1083" t="s">
        <v>1499</v>
      </c>
      <c r="P360" s="1083"/>
      <c r="Q360" s="1027"/>
      <c r="R360" s="1022"/>
      <c r="S360" s="1130">
        <v>353</v>
      </c>
      <c r="T360" s="1156">
        <v>29400000</v>
      </c>
    </row>
    <row r="361" spans="1:20" s="995" customFormat="1" ht="89.25" x14ac:dyDescent="0.25">
      <c r="A361" s="1023">
        <v>2022356</v>
      </c>
      <c r="B361" s="1023">
        <v>7658</v>
      </c>
      <c r="C361" s="1023" t="s">
        <v>681</v>
      </c>
      <c r="D361" s="1039" t="s">
        <v>703</v>
      </c>
      <c r="E361" s="1040">
        <v>80111600</v>
      </c>
      <c r="F361" s="1026" t="s">
        <v>1032</v>
      </c>
      <c r="G361" s="1041" t="s">
        <v>1440</v>
      </c>
      <c r="H361" s="1141" t="s">
        <v>1440</v>
      </c>
      <c r="I361" s="1042" t="s">
        <v>1485</v>
      </c>
      <c r="J361" s="1043" t="s">
        <v>1479</v>
      </c>
      <c r="K361" s="1027" t="s">
        <v>676</v>
      </c>
      <c r="L361" s="1088" t="s">
        <v>677</v>
      </c>
      <c r="M361" s="1030">
        <v>30300000</v>
      </c>
      <c r="N361" s="1083" t="s">
        <v>751</v>
      </c>
      <c r="O361" s="1083" t="s">
        <v>1499</v>
      </c>
      <c r="P361" s="1083"/>
      <c r="Q361" s="1027"/>
      <c r="R361" s="1022"/>
      <c r="S361" s="1130">
        <v>421</v>
      </c>
      <c r="T361" s="1156">
        <v>29400000</v>
      </c>
    </row>
    <row r="362" spans="1:20" s="995" customFormat="1" ht="89.25" x14ac:dyDescent="0.25">
      <c r="A362" s="1023">
        <v>2022357</v>
      </c>
      <c r="B362" s="1023">
        <v>7658</v>
      </c>
      <c r="C362" s="1023" t="s">
        <v>681</v>
      </c>
      <c r="D362" s="1039" t="s">
        <v>703</v>
      </c>
      <c r="E362" s="1040">
        <v>80111600</v>
      </c>
      <c r="F362" s="1026" t="s">
        <v>1032</v>
      </c>
      <c r="G362" s="1041" t="s">
        <v>1440</v>
      </c>
      <c r="H362" s="1141" t="s">
        <v>1440</v>
      </c>
      <c r="I362" s="1042" t="s">
        <v>1485</v>
      </c>
      <c r="J362" s="1043" t="s">
        <v>1479</v>
      </c>
      <c r="K362" s="1027" t="s">
        <v>676</v>
      </c>
      <c r="L362" s="1088" t="s">
        <v>677</v>
      </c>
      <c r="M362" s="1030">
        <v>30300000</v>
      </c>
      <c r="N362" s="1083" t="s">
        <v>751</v>
      </c>
      <c r="O362" s="1083" t="s">
        <v>1499</v>
      </c>
      <c r="P362" s="1083"/>
      <c r="Q362" s="1027"/>
      <c r="R362" s="1022"/>
      <c r="S362" s="1130">
        <v>420</v>
      </c>
      <c r="T362" s="1156">
        <v>29400000</v>
      </c>
    </row>
    <row r="363" spans="1:20" s="995" customFormat="1" ht="89.25" x14ac:dyDescent="0.25">
      <c r="A363" s="1023">
        <v>2022358</v>
      </c>
      <c r="B363" s="1023">
        <v>7658</v>
      </c>
      <c r="C363" s="1023" t="s">
        <v>681</v>
      </c>
      <c r="D363" s="1039" t="s">
        <v>703</v>
      </c>
      <c r="E363" s="1040">
        <v>80111600</v>
      </c>
      <c r="F363" s="1026" t="s">
        <v>1032</v>
      </c>
      <c r="G363" s="1041" t="s">
        <v>1440</v>
      </c>
      <c r="H363" s="1141" t="s">
        <v>1440</v>
      </c>
      <c r="I363" s="1042" t="s">
        <v>1442</v>
      </c>
      <c r="J363" s="1043" t="s">
        <v>1479</v>
      </c>
      <c r="K363" s="1027" t="s">
        <v>676</v>
      </c>
      <c r="L363" s="1088" t="s">
        <v>677</v>
      </c>
      <c r="M363" s="1030">
        <v>27775000</v>
      </c>
      <c r="N363" s="1083" t="s">
        <v>751</v>
      </c>
      <c r="O363" s="1083" t="s">
        <v>1499</v>
      </c>
      <c r="P363" s="1083"/>
      <c r="Q363" s="1027"/>
      <c r="R363" s="1022"/>
      <c r="S363" s="1130">
        <v>411</v>
      </c>
      <c r="T363" s="1156">
        <v>26950000</v>
      </c>
    </row>
    <row r="364" spans="1:20" s="995" customFormat="1" ht="89.25" x14ac:dyDescent="0.25">
      <c r="A364" s="1023">
        <v>2022359</v>
      </c>
      <c r="B364" s="1023">
        <v>7658</v>
      </c>
      <c r="C364" s="1023" t="s">
        <v>681</v>
      </c>
      <c r="D364" s="1039" t="s">
        <v>703</v>
      </c>
      <c r="E364" s="1040">
        <v>80111600</v>
      </c>
      <c r="F364" s="1026" t="s">
        <v>1032</v>
      </c>
      <c r="G364" s="1041" t="s">
        <v>1440</v>
      </c>
      <c r="H364" s="1141" t="s">
        <v>1440</v>
      </c>
      <c r="I364" s="1042" t="s">
        <v>1442</v>
      </c>
      <c r="J364" s="1043" t="s">
        <v>1479</v>
      </c>
      <c r="K364" s="1027" t="s">
        <v>676</v>
      </c>
      <c r="L364" s="1088" t="s">
        <v>677</v>
      </c>
      <c r="M364" s="1030">
        <v>27775000</v>
      </c>
      <c r="N364" s="1083" t="s">
        <v>751</v>
      </c>
      <c r="O364" s="1083" t="s">
        <v>1499</v>
      </c>
      <c r="P364" s="1083"/>
      <c r="Q364" s="1027"/>
      <c r="R364" s="1022"/>
      <c r="S364" s="1130">
        <v>403</v>
      </c>
      <c r="T364" s="1156">
        <v>26950000</v>
      </c>
    </row>
    <row r="365" spans="1:20" s="995" customFormat="1" ht="89.25" x14ac:dyDescent="0.25">
      <c r="A365" s="1023">
        <v>2022360</v>
      </c>
      <c r="B365" s="1023">
        <v>7658</v>
      </c>
      <c r="C365" s="1023" t="s">
        <v>681</v>
      </c>
      <c r="D365" s="1039" t="s">
        <v>703</v>
      </c>
      <c r="E365" s="1040">
        <v>80111600</v>
      </c>
      <c r="F365" s="1026" t="s">
        <v>1032</v>
      </c>
      <c r="G365" s="1041" t="s">
        <v>1440</v>
      </c>
      <c r="H365" s="1141" t="s">
        <v>1440</v>
      </c>
      <c r="I365" s="1042" t="s">
        <v>1442</v>
      </c>
      <c r="J365" s="1043" t="s">
        <v>1479</v>
      </c>
      <c r="K365" s="1027" t="s">
        <v>676</v>
      </c>
      <c r="L365" s="1088" t="s">
        <v>677</v>
      </c>
      <c r="M365" s="1030">
        <v>27775000</v>
      </c>
      <c r="N365" s="1083" t="s">
        <v>751</v>
      </c>
      <c r="O365" s="1083" t="s">
        <v>1499</v>
      </c>
      <c r="P365" s="1083"/>
      <c r="Q365" s="1027"/>
      <c r="R365" s="1022"/>
      <c r="S365" s="1130">
        <v>368</v>
      </c>
      <c r="T365" s="1156">
        <v>26950000</v>
      </c>
    </row>
    <row r="366" spans="1:20" s="995" customFormat="1" ht="89.25" x14ac:dyDescent="0.25">
      <c r="A366" s="1023">
        <v>2022361</v>
      </c>
      <c r="B366" s="1023">
        <v>7658</v>
      </c>
      <c r="C366" s="1023" t="s">
        <v>681</v>
      </c>
      <c r="D366" s="1039" t="s">
        <v>703</v>
      </c>
      <c r="E366" s="1040">
        <v>80111600</v>
      </c>
      <c r="F366" s="1026" t="s">
        <v>1032</v>
      </c>
      <c r="G366" s="1041" t="s">
        <v>1440</v>
      </c>
      <c r="H366" s="1141" t="s">
        <v>1440</v>
      </c>
      <c r="I366" s="1042" t="s">
        <v>1442</v>
      </c>
      <c r="J366" s="1043" t="s">
        <v>1479</v>
      </c>
      <c r="K366" s="1027" t="s">
        <v>676</v>
      </c>
      <c r="L366" s="1088" t="s">
        <v>677</v>
      </c>
      <c r="M366" s="1030">
        <v>27775000</v>
      </c>
      <c r="N366" s="1083" t="s">
        <v>751</v>
      </c>
      <c r="O366" s="1083" t="s">
        <v>1499</v>
      </c>
      <c r="P366" s="1083"/>
      <c r="Q366" s="1027"/>
      <c r="R366" s="1022"/>
      <c r="S366" s="1130">
        <v>378</v>
      </c>
      <c r="T366" s="1156">
        <v>26950000</v>
      </c>
    </row>
    <row r="367" spans="1:20" s="995" customFormat="1" ht="89.25" x14ac:dyDescent="0.25">
      <c r="A367" s="1023">
        <v>2022362</v>
      </c>
      <c r="B367" s="1023">
        <v>7658</v>
      </c>
      <c r="C367" s="1023" t="s">
        <v>681</v>
      </c>
      <c r="D367" s="1039" t="s">
        <v>703</v>
      </c>
      <c r="E367" s="1040">
        <v>80111600</v>
      </c>
      <c r="F367" s="1026" t="s">
        <v>1032</v>
      </c>
      <c r="G367" s="1041" t="s">
        <v>1440</v>
      </c>
      <c r="H367" s="1141" t="s">
        <v>1440</v>
      </c>
      <c r="I367" s="1042" t="s">
        <v>1442</v>
      </c>
      <c r="J367" s="1043" t="s">
        <v>1479</v>
      </c>
      <c r="K367" s="1027" t="s">
        <v>676</v>
      </c>
      <c r="L367" s="1088" t="s">
        <v>677</v>
      </c>
      <c r="M367" s="1030">
        <v>27775000</v>
      </c>
      <c r="N367" s="1083" t="s">
        <v>751</v>
      </c>
      <c r="O367" s="1083" t="s">
        <v>1499</v>
      </c>
      <c r="P367" s="1083"/>
      <c r="Q367" s="1027"/>
      <c r="R367" s="1022"/>
      <c r="S367" s="1130">
        <v>344</v>
      </c>
      <c r="T367" s="1156">
        <v>26950000</v>
      </c>
    </row>
    <row r="368" spans="1:20" s="995" customFormat="1" ht="89.25" x14ac:dyDescent="0.25">
      <c r="A368" s="1023">
        <v>2022363</v>
      </c>
      <c r="B368" s="1023">
        <v>7658</v>
      </c>
      <c r="C368" s="1023" t="s">
        <v>681</v>
      </c>
      <c r="D368" s="1039" t="s">
        <v>703</v>
      </c>
      <c r="E368" s="1040">
        <v>80111600</v>
      </c>
      <c r="F368" s="1026" t="s">
        <v>1032</v>
      </c>
      <c r="G368" s="1041" t="s">
        <v>1440</v>
      </c>
      <c r="H368" s="1141" t="s">
        <v>1440</v>
      </c>
      <c r="I368" s="1042" t="s">
        <v>1442</v>
      </c>
      <c r="J368" s="1043" t="s">
        <v>1479</v>
      </c>
      <c r="K368" s="1027" t="s">
        <v>676</v>
      </c>
      <c r="L368" s="1088" t="s">
        <v>677</v>
      </c>
      <c r="M368" s="1030">
        <v>27775000</v>
      </c>
      <c r="N368" s="1083" t="s">
        <v>751</v>
      </c>
      <c r="O368" s="1083" t="s">
        <v>1499</v>
      </c>
      <c r="P368" s="1083"/>
      <c r="Q368" s="1027"/>
      <c r="R368" s="1022"/>
      <c r="S368" s="1130">
        <v>381</v>
      </c>
      <c r="T368" s="1156">
        <v>26950000</v>
      </c>
    </row>
    <row r="369" spans="1:103" s="995" customFormat="1" ht="89.25" x14ac:dyDescent="0.25">
      <c r="A369" s="1023">
        <v>2022364</v>
      </c>
      <c r="B369" s="1023">
        <v>7658</v>
      </c>
      <c r="C369" s="1023" t="s">
        <v>681</v>
      </c>
      <c r="D369" s="1039" t="s">
        <v>703</v>
      </c>
      <c r="E369" s="1040">
        <v>80111600</v>
      </c>
      <c r="F369" s="1026" t="s">
        <v>1032</v>
      </c>
      <c r="G369" s="1041" t="s">
        <v>1440</v>
      </c>
      <c r="H369" s="1141" t="s">
        <v>1440</v>
      </c>
      <c r="I369" s="1042" t="s">
        <v>1484</v>
      </c>
      <c r="J369" s="1043" t="s">
        <v>1479</v>
      </c>
      <c r="K369" s="1027" t="s">
        <v>676</v>
      </c>
      <c r="L369" s="1088" t="s">
        <v>677</v>
      </c>
      <c r="M369" s="1030">
        <v>25250000</v>
      </c>
      <c r="N369" s="1083" t="s">
        <v>751</v>
      </c>
      <c r="O369" s="1083" t="s">
        <v>1499</v>
      </c>
      <c r="P369" s="1083"/>
      <c r="Q369" s="1027"/>
      <c r="R369" s="1022"/>
      <c r="S369" s="1130">
        <v>385</v>
      </c>
      <c r="T369" s="1156">
        <v>24500000</v>
      </c>
    </row>
    <row r="370" spans="1:103" s="995" customFormat="1" ht="89.25" x14ac:dyDescent="0.25">
      <c r="A370" s="1023">
        <v>2022365</v>
      </c>
      <c r="B370" s="1023">
        <v>7658</v>
      </c>
      <c r="C370" s="1023" t="s">
        <v>681</v>
      </c>
      <c r="D370" s="1039" t="s">
        <v>703</v>
      </c>
      <c r="E370" s="1040">
        <v>80111600</v>
      </c>
      <c r="F370" s="1026" t="s">
        <v>1032</v>
      </c>
      <c r="G370" s="1041" t="s">
        <v>1440</v>
      </c>
      <c r="H370" s="1141" t="s">
        <v>1440</v>
      </c>
      <c r="I370" s="1042" t="s">
        <v>1484</v>
      </c>
      <c r="J370" s="1043" t="s">
        <v>1479</v>
      </c>
      <c r="K370" s="1027" t="s">
        <v>676</v>
      </c>
      <c r="L370" s="1088" t="s">
        <v>677</v>
      </c>
      <c r="M370" s="1030">
        <v>25250000</v>
      </c>
      <c r="N370" s="1083" t="s">
        <v>751</v>
      </c>
      <c r="O370" s="1083" t="s">
        <v>1499</v>
      </c>
      <c r="P370" s="1083"/>
      <c r="Q370" s="1027"/>
      <c r="R370" s="1022"/>
      <c r="S370" s="1130">
        <v>402</v>
      </c>
      <c r="T370" s="1156">
        <v>24500000</v>
      </c>
    </row>
    <row r="371" spans="1:103" s="995" customFormat="1" ht="89.25" x14ac:dyDescent="0.25">
      <c r="A371" s="1023">
        <v>2022366</v>
      </c>
      <c r="B371" s="1023">
        <v>7658</v>
      </c>
      <c r="C371" s="1023" t="s">
        <v>681</v>
      </c>
      <c r="D371" s="1039" t="s">
        <v>703</v>
      </c>
      <c r="E371" s="1040">
        <v>80111600</v>
      </c>
      <c r="F371" s="1026" t="s">
        <v>1033</v>
      </c>
      <c r="G371" s="1041" t="s">
        <v>1440</v>
      </c>
      <c r="H371" s="1141" t="s">
        <v>1440</v>
      </c>
      <c r="I371" s="1042" t="s">
        <v>1485</v>
      </c>
      <c r="J371" s="1043" t="s">
        <v>1479</v>
      </c>
      <c r="K371" s="1027" t="s">
        <v>676</v>
      </c>
      <c r="L371" s="1088" t="s">
        <v>677</v>
      </c>
      <c r="M371" s="1030">
        <v>25956000</v>
      </c>
      <c r="N371" s="1083" t="s">
        <v>751</v>
      </c>
      <c r="O371" s="1083" t="s">
        <v>1499</v>
      </c>
      <c r="P371" s="1083"/>
      <c r="Q371" s="1027"/>
      <c r="R371" s="1022"/>
      <c r="S371" s="1130">
        <v>360</v>
      </c>
      <c r="T371" s="1156">
        <v>25200000</v>
      </c>
    </row>
    <row r="372" spans="1:103" s="995" customFormat="1" ht="89.25" x14ac:dyDescent="0.25">
      <c r="A372" s="1023">
        <v>2022367</v>
      </c>
      <c r="B372" s="1023">
        <v>7658</v>
      </c>
      <c r="C372" s="1023" t="s">
        <v>681</v>
      </c>
      <c r="D372" s="1039" t="s">
        <v>703</v>
      </c>
      <c r="E372" s="1040">
        <v>80111600</v>
      </c>
      <c r="F372" s="1026" t="s">
        <v>1034</v>
      </c>
      <c r="G372" s="1041" t="s">
        <v>1440</v>
      </c>
      <c r="H372" s="1141" t="s">
        <v>1440</v>
      </c>
      <c r="I372" s="1042" t="s">
        <v>1485</v>
      </c>
      <c r="J372" s="1043" t="s">
        <v>1479</v>
      </c>
      <c r="K372" s="1027" t="s">
        <v>676</v>
      </c>
      <c r="L372" s="1088" t="s">
        <v>677</v>
      </c>
      <c r="M372" s="1030">
        <v>41400000</v>
      </c>
      <c r="N372" s="1083" t="s">
        <v>751</v>
      </c>
      <c r="O372" s="1083" t="s">
        <v>1499</v>
      </c>
      <c r="P372" s="1083"/>
      <c r="Q372" s="1027"/>
      <c r="R372" s="1022"/>
      <c r="S372" s="1130">
        <v>290</v>
      </c>
      <c r="T372" s="1156">
        <v>40200000</v>
      </c>
    </row>
    <row r="373" spans="1:103" s="995" customFormat="1" ht="89.25" x14ac:dyDescent="0.25">
      <c r="A373" s="1023">
        <v>2022368</v>
      </c>
      <c r="B373" s="1023">
        <v>7658</v>
      </c>
      <c r="C373" s="1023" t="s">
        <v>681</v>
      </c>
      <c r="D373" s="1039" t="s">
        <v>703</v>
      </c>
      <c r="E373" s="1040">
        <v>80111600</v>
      </c>
      <c r="F373" s="1026" t="s">
        <v>1035</v>
      </c>
      <c r="G373" s="1041" t="s">
        <v>1440</v>
      </c>
      <c r="H373" s="1141" t="s">
        <v>1440</v>
      </c>
      <c r="I373" s="1042" t="s">
        <v>1485</v>
      </c>
      <c r="J373" s="1043" t="s">
        <v>1479</v>
      </c>
      <c r="K373" s="1027" t="s">
        <v>676</v>
      </c>
      <c r="L373" s="1088" t="s">
        <v>677</v>
      </c>
      <c r="M373" s="1030">
        <v>25200000</v>
      </c>
      <c r="N373" s="1083" t="s">
        <v>751</v>
      </c>
      <c r="O373" s="1083" t="s">
        <v>1499</v>
      </c>
      <c r="P373" s="1083"/>
      <c r="Q373" s="1027"/>
      <c r="R373" s="1022"/>
      <c r="S373" s="1130">
        <v>428</v>
      </c>
      <c r="T373" s="1156">
        <v>20100000</v>
      </c>
    </row>
    <row r="374" spans="1:103" s="995" customFormat="1" ht="89.25" x14ac:dyDescent="0.25">
      <c r="A374" s="1023">
        <v>2022369</v>
      </c>
      <c r="B374" s="1023">
        <v>7658</v>
      </c>
      <c r="C374" s="1023" t="s">
        <v>681</v>
      </c>
      <c r="D374" s="1039" t="s">
        <v>703</v>
      </c>
      <c r="E374" s="1040">
        <v>80111600</v>
      </c>
      <c r="F374" s="1026" t="s">
        <v>1036</v>
      </c>
      <c r="G374" s="1041" t="s">
        <v>1440</v>
      </c>
      <c r="H374" s="1141" t="s">
        <v>1440</v>
      </c>
      <c r="I374" s="1042" t="s">
        <v>1442</v>
      </c>
      <c r="J374" s="1043" t="s">
        <v>1479</v>
      </c>
      <c r="K374" s="1027" t="s">
        <v>676</v>
      </c>
      <c r="L374" s="1088" t="s">
        <v>677</v>
      </c>
      <c r="M374" s="1030">
        <v>37950000</v>
      </c>
      <c r="N374" s="1083" t="s">
        <v>751</v>
      </c>
      <c r="O374" s="1083" t="s">
        <v>1499</v>
      </c>
      <c r="P374" s="1083"/>
      <c r="Q374" s="1027"/>
      <c r="R374" s="1022"/>
      <c r="S374" s="1130">
        <v>207</v>
      </c>
      <c r="T374" s="1156">
        <v>36850000</v>
      </c>
    </row>
    <row r="375" spans="1:103" s="995" customFormat="1" ht="89.25" x14ac:dyDescent="0.25">
      <c r="A375" s="1023">
        <v>2022370</v>
      </c>
      <c r="B375" s="1023">
        <v>7658</v>
      </c>
      <c r="C375" s="1023" t="s">
        <v>681</v>
      </c>
      <c r="D375" s="1039" t="s">
        <v>703</v>
      </c>
      <c r="E375" s="1040">
        <v>80111600</v>
      </c>
      <c r="F375" s="1026" t="s">
        <v>1037</v>
      </c>
      <c r="G375" s="1041" t="s">
        <v>1440</v>
      </c>
      <c r="H375" s="1141" t="s">
        <v>1440</v>
      </c>
      <c r="I375" s="1042" t="s">
        <v>1485</v>
      </c>
      <c r="J375" s="1043" t="s">
        <v>1479</v>
      </c>
      <c r="K375" s="1027" t="s">
        <v>676</v>
      </c>
      <c r="L375" s="1088" t="s">
        <v>677</v>
      </c>
      <c r="M375" s="1030">
        <v>47586000</v>
      </c>
      <c r="N375" s="1083" t="s">
        <v>751</v>
      </c>
      <c r="O375" s="1083" t="s">
        <v>1499</v>
      </c>
      <c r="P375" s="1083"/>
      <c r="Q375" s="1027"/>
      <c r="R375" s="1022"/>
      <c r="S375" s="1130">
        <v>208</v>
      </c>
      <c r="T375" s="1156">
        <v>46200000</v>
      </c>
    </row>
    <row r="376" spans="1:103" s="1034" customFormat="1" ht="89.25" x14ac:dyDescent="0.25">
      <c r="A376" s="1131">
        <v>2022371</v>
      </c>
      <c r="B376" s="1131">
        <v>7658</v>
      </c>
      <c r="C376" s="1131" t="s">
        <v>681</v>
      </c>
      <c r="D376" s="1139" t="s">
        <v>703</v>
      </c>
      <c r="E376" s="1145">
        <v>80111600</v>
      </c>
      <c r="F376" s="1134" t="s">
        <v>1038</v>
      </c>
      <c r="G376" s="1141" t="s">
        <v>1440</v>
      </c>
      <c r="H376" s="1141" t="s">
        <v>1440</v>
      </c>
      <c r="I376" s="1142" t="s">
        <v>1442</v>
      </c>
      <c r="J376" s="1143" t="s">
        <v>1479</v>
      </c>
      <c r="K376" s="1135" t="s">
        <v>676</v>
      </c>
      <c r="L376" s="1153" t="s">
        <v>677</v>
      </c>
      <c r="M376" s="1136">
        <v>37956000</v>
      </c>
      <c r="N376" s="1151" t="s">
        <v>751</v>
      </c>
      <c r="O376" s="1151" t="s">
        <v>1499</v>
      </c>
      <c r="P376" s="1151"/>
      <c r="Q376" s="1135"/>
      <c r="R376" s="1130">
        <v>388</v>
      </c>
      <c r="S376" s="1130"/>
      <c r="T376" s="1156"/>
      <c r="U376" s="995"/>
      <c r="V376" s="995"/>
      <c r="W376" s="995"/>
      <c r="X376" s="995"/>
      <c r="Y376" s="995"/>
      <c r="Z376" s="995"/>
      <c r="AA376" s="995"/>
      <c r="AB376" s="995"/>
      <c r="AC376" s="995"/>
      <c r="AD376" s="995"/>
      <c r="AE376" s="995"/>
      <c r="AF376" s="995"/>
      <c r="AG376" s="995"/>
      <c r="AH376" s="995"/>
      <c r="AI376" s="995"/>
      <c r="AJ376" s="995"/>
      <c r="AK376" s="995"/>
      <c r="AL376" s="995"/>
      <c r="AM376" s="995"/>
      <c r="AN376" s="995"/>
      <c r="AO376" s="995"/>
      <c r="AP376" s="995"/>
      <c r="AQ376" s="995"/>
      <c r="AR376" s="995"/>
      <c r="AS376" s="995"/>
      <c r="AT376" s="995"/>
      <c r="AU376" s="995"/>
      <c r="AV376" s="995"/>
      <c r="AW376" s="995"/>
      <c r="AX376" s="995"/>
      <c r="AY376" s="995"/>
      <c r="AZ376" s="995"/>
      <c r="BA376" s="995"/>
      <c r="BB376" s="995"/>
      <c r="BC376" s="995"/>
      <c r="BD376" s="995"/>
      <c r="BE376" s="995"/>
      <c r="BF376" s="995"/>
      <c r="BG376" s="995"/>
      <c r="BH376" s="995"/>
      <c r="BI376" s="995"/>
      <c r="BJ376" s="995"/>
      <c r="BK376" s="995"/>
      <c r="BL376" s="995"/>
      <c r="BM376" s="995"/>
      <c r="BN376" s="995"/>
      <c r="BO376" s="995"/>
      <c r="BP376" s="995"/>
      <c r="BQ376" s="995"/>
      <c r="BR376" s="995"/>
      <c r="BS376" s="995"/>
      <c r="BT376" s="995"/>
      <c r="BU376" s="995"/>
      <c r="BV376" s="995"/>
      <c r="BW376" s="995"/>
      <c r="BX376" s="995"/>
      <c r="BY376" s="995"/>
      <c r="BZ376" s="995"/>
      <c r="CA376" s="995"/>
      <c r="CB376" s="995"/>
      <c r="CC376" s="995"/>
      <c r="CD376" s="995"/>
      <c r="CE376" s="995"/>
      <c r="CF376" s="995"/>
      <c r="CG376" s="995"/>
      <c r="CH376" s="995"/>
      <c r="CI376" s="995"/>
      <c r="CJ376" s="995"/>
      <c r="CK376" s="995"/>
      <c r="CL376" s="995"/>
      <c r="CM376" s="995"/>
      <c r="CN376" s="995"/>
      <c r="CO376" s="995"/>
      <c r="CP376" s="995"/>
      <c r="CQ376" s="995"/>
      <c r="CR376" s="995"/>
      <c r="CS376" s="995"/>
      <c r="CT376" s="995"/>
      <c r="CU376" s="995"/>
      <c r="CV376" s="995"/>
      <c r="CW376" s="995"/>
      <c r="CX376" s="995"/>
      <c r="CY376" s="995"/>
    </row>
    <row r="377" spans="1:103" s="995" customFormat="1" ht="89.25" x14ac:dyDescent="0.25">
      <c r="A377" s="1023">
        <v>2022372</v>
      </c>
      <c r="B377" s="1023">
        <v>7658</v>
      </c>
      <c r="C377" s="1023" t="s">
        <v>681</v>
      </c>
      <c r="D377" s="1039" t="s">
        <v>703</v>
      </c>
      <c r="E377" s="1040">
        <v>80111600</v>
      </c>
      <c r="F377" s="1026" t="s">
        <v>1039</v>
      </c>
      <c r="G377" s="1041" t="s">
        <v>1440</v>
      </c>
      <c r="H377" s="1141" t="s">
        <v>1440</v>
      </c>
      <c r="I377" s="1042" t="s">
        <v>1485</v>
      </c>
      <c r="J377" s="1043" t="s">
        <v>1479</v>
      </c>
      <c r="K377" s="1027" t="s">
        <v>676</v>
      </c>
      <c r="L377" s="1088" t="s">
        <v>677</v>
      </c>
      <c r="M377" s="1030">
        <v>63036000</v>
      </c>
      <c r="N377" s="1083" t="s">
        <v>751</v>
      </c>
      <c r="O377" s="1083" t="s">
        <v>1499</v>
      </c>
      <c r="P377" s="1083"/>
      <c r="Q377" s="1027"/>
      <c r="R377" s="1022"/>
      <c r="S377" s="1130">
        <v>367</v>
      </c>
      <c r="T377" s="1156">
        <v>61200000</v>
      </c>
    </row>
    <row r="378" spans="1:103" s="995" customFormat="1" ht="89.25" x14ac:dyDescent="0.25">
      <c r="A378" s="1023">
        <v>2022373</v>
      </c>
      <c r="B378" s="1023">
        <v>7658</v>
      </c>
      <c r="C378" s="1023" t="s">
        <v>681</v>
      </c>
      <c r="D378" s="1039" t="s">
        <v>703</v>
      </c>
      <c r="E378" s="1040">
        <v>80111600</v>
      </c>
      <c r="F378" s="1026" t="s">
        <v>1039</v>
      </c>
      <c r="G378" s="1041" t="s">
        <v>1440</v>
      </c>
      <c r="H378" s="1141" t="s">
        <v>1440</v>
      </c>
      <c r="I378" s="1042" t="s">
        <v>1484</v>
      </c>
      <c r="J378" s="1043" t="s">
        <v>1479</v>
      </c>
      <c r="K378" s="1027" t="s">
        <v>676</v>
      </c>
      <c r="L378" s="1088" t="s">
        <v>677</v>
      </c>
      <c r="M378" s="1030">
        <v>39700000</v>
      </c>
      <c r="N378" s="1083" t="s">
        <v>751</v>
      </c>
      <c r="O378" s="1083" t="s">
        <v>1499</v>
      </c>
      <c r="P378" s="1083"/>
      <c r="Q378" s="1027"/>
      <c r="R378" s="1022"/>
      <c r="S378" s="1130">
        <v>291</v>
      </c>
      <c r="T378" s="1156">
        <v>38500000</v>
      </c>
    </row>
    <row r="379" spans="1:103" s="995" customFormat="1" ht="89.25" x14ac:dyDescent="0.25">
      <c r="A379" s="1023">
        <v>2022374</v>
      </c>
      <c r="B379" s="1023">
        <v>7658</v>
      </c>
      <c r="C379" s="1023" t="s">
        <v>681</v>
      </c>
      <c r="D379" s="1039" t="s">
        <v>703</v>
      </c>
      <c r="E379" s="1040">
        <v>80111600</v>
      </c>
      <c r="F379" s="1026" t="s">
        <v>1039</v>
      </c>
      <c r="G379" s="1041" t="s">
        <v>1440</v>
      </c>
      <c r="H379" s="1141" t="s">
        <v>1440</v>
      </c>
      <c r="I379" s="1042" t="s">
        <v>1442</v>
      </c>
      <c r="J379" s="1043" t="s">
        <v>1479</v>
      </c>
      <c r="K379" s="1027" t="s">
        <v>676</v>
      </c>
      <c r="L379" s="1088" t="s">
        <v>677</v>
      </c>
      <c r="M379" s="1030">
        <v>50985000</v>
      </c>
      <c r="N379" s="1083" t="s">
        <v>751</v>
      </c>
      <c r="O379" s="1083" t="s">
        <v>1499</v>
      </c>
      <c r="P379" s="1083"/>
      <c r="Q379" s="1027"/>
      <c r="R379" s="1022"/>
      <c r="S379" s="1130">
        <v>330</v>
      </c>
      <c r="T379" s="1156">
        <v>49500000</v>
      </c>
    </row>
    <row r="380" spans="1:103" s="995" customFormat="1" ht="89.25" x14ac:dyDescent="0.25">
      <c r="A380" s="1023">
        <v>2022375</v>
      </c>
      <c r="B380" s="1023">
        <v>7658</v>
      </c>
      <c r="C380" s="1023" t="s">
        <v>681</v>
      </c>
      <c r="D380" s="1039" t="s">
        <v>703</v>
      </c>
      <c r="E380" s="1040">
        <v>80111600</v>
      </c>
      <c r="F380" s="1026" t="s">
        <v>1040</v>
      </c>
      <c r="G380" s="1041" t="s">
        <v>1440</v>
      </c>
      <c r="H380" s="1141" t="s">
        <v>1440</v>
      </c>
      <c r="I380" s="1042" t="s">
        <v>1485</v>
      </c>
      <c r="J380" s="1043" t="s">
        <v>1479</v>
      </c>
      <c r="K380" s="1027" t="s">
        <v>676</v>
      </c>
      <c r="L380" s="1088" t="s">
        <v>677</v>
      </c>
      <c r="M380" s="1030">
        <v>55620000</v>
      </c>
      <c r="N380" s="1083" t="s">
        <v>751</v>
      </c>
      <c r="O380" s="1083" t="s">
        <v>1499</v>
      </c>
      <c r="P380" s="1083"/>
      <c r="Q380" s="1027"/>
      <c r="R380" s="1022"/>
      <c r="S380" s="1130">
        <v>211</v>
      </c>
      <c r="T380" s="1156">
        <v>54000000</v>
      </c>
    </row>
    <row r="381" spans="1:103" s="995" customFormat="1" ht="89.25" x14ac:dyDescent="0.25">
      <c r="A381" s="1023">
        <v>2022376</v>
      </c>
      <c r="B381" s="1023">
        <v>7658</v>
      </c>
      <c r="C381" s="1023" t="s">
        <v>681</v>
      </c>
      <c r="D381" s="1039" t="s">
        <v>703</v>
      </c>
      <c r="E381" s="1040">
        <v>80111600</v>
      </c>
      <c r="F381" s="1026" t="s">
        <v>1041</v>
      </c>
      <c r="G381" s="1041" t="s">
        <v>1440</v>
      </c>
      <c r="H381" s="1141" t="s">
        <v>1440</v>
      </c>
      <c r="I381" s="1042" t="s">
        <v>1485</v>
      </c>
      <c r="J381" s="1043" t="s">
        <v>1479</v>
      </c>
      <c r="K381" s="1027" t="s">
        <v>676</v>
      </c>
      <c r="L381" s="1088" t="s">
        <v>677</v>
      </c>
      <c r="M381" s="1030">
        <v>55620000</v>
      </c>
      <c r="N381" s="1083" t="s">
        <v>751</v>
      </c>
      <c r="O381" s="1083" t="s">
        <v>1499</v>
      </c>
      <c r="P381" s="1083"/>
      <c r="Q381" s="1027"/>
      <c r="R381" s="1022"/>
      <c r="S381" s="1130">
        <v>269</v>
      </c>
      <c r="T381" s="1156">
        <v>54000000</v>
      </c>
    </row>
    <row r="382" spans="1:103" s="995" customFormat="1" ht="89.25" x14ac:dyDescent="0.25">
      <c r="A382" s="1023">
        <v>2022377</v>
      </c>
      <c r="B382" s="1023">
        <v>7658</v>
      </c>
      <c r="C382" s="1023" t="s">
        <v>681</v>
      </c>
      <c r="D382" s="1039" t="s">
        <v>703</v>
      </c>
      <c r="E382" s="1040">
        <v>80111600</v>
      </c>
      <c r="F382" s="1026" t="s">
        <v>1042</v>
      </c>
      <c r="G382" s="1041" t="s">
        <v>1440</v>
      </c>
      <c r="H382" s="1141" t="s">
        <v>1440</v>
      </c>
      <c r="I382" s="1042" t="s">
        <v>1485</v>
      </c>
      <c r="J382" s="1043" t="s">
        <v>1479</v>
      </c>
      <c r="K382" s="1027" t="s">
        <v>676</v>
      </c>
      <c r="L382" s="1088" t="s">
        <v>677</v>
      </c>
      <c r="M382" s="1030">
        <v>55620000</v>
      </c>
      <c r="N382" s="1083" t="s">
        <v>751</v>
      </c>
      <c r="O382" s="1083" t="s">
        <v>1499</v>
      </c>
      <c r="P382" s="1083"/>
      <c r="Q382" s="1027"/>
      <c r="R382" s="1022"/>
      <c r="S382" s="1130">
        <v>270</v>
      </c>
      <c r="T382" s="1156">
        <v>54000000</v>
      </c>
    </row>
    <row r="383" spans="1:103" s="995" customFormat="1" ht="89.25" x14ac:dyDescent="0.25">
      <c r="A383" s="1023">
        <v>2022378</v>
      </c>
      <c r="B383" s="1023">
        <v>7658</v>
      </c>
      <c r="C383" s="1023" t="s">
        <v>681</v>
      </c>
      <c r="D383" s="1039" t="s">
        <v>703</v>
      </c>
      <c r="E383" s="1040">
        <v>80111600</v>
      </c>
      <c r="F383" s="1026" t="s">
        <v>1043</v>
      </c>
      <c r="G383" s="1041" t="s">
        <v>1440</v>
      </c>
      <c r="H383" s="1141" t="s">
        <v>1440</v>
      </c>
      <c r="I383" s="1042" t="s">
        <v>1485</v>
      </c>
      <c r="J383" s="1043" t="s">
        <v>1479</v>
      </c>
      <c r="K383" s="1027" t="s">
        <v>676</v>
      </c>
      <c r="L383" s="1088" t="s">
        <v>677</v>
      </c>
      <c r="M383" s="1030">
        <v>55620000</v>
      </c>
      <c r="N383" s="1083" t="s">
        <v>751</v>
      </c>
      <c r="O383" s="1083" t="s">
        <v>1499</v>
      </c>
      <c r="P383" s="1083"/>
      <c r="Q383" s="1027"/>
      <c r="R383" s="1022"/>
      <c r="S383" s="1130">
        <v>201</v>
      </c>
      <c r="T383" s="1156">
        <v>54000000</v>
      </c>
    </row>
    <row r="384" spans="1:103" s="995" customFormat="1" ht="89.25" x14ac:dyDescent="0.25">
      <c r="A384" s="1023">
        <v>2022379</v>
      </c>
      <c r="B384" s="1023">
        <v>7658</v>
      </c>
      <c r="C384" s="1023" t="s">
        <v>681</v>
      </c>
      <c r="D384" s="1039" t="s">
        <v>703</v>
      </c>
      <c r="E384" s="1040">
        <v>80111600</v>
      </c>
      <c r="F384" s="1026" t="s">
        <v>1044</v>
      </c>
      <c r="G384" s="1041" t="s">
        <v>1440</v>
      </c>
      <c r="H384" s="1141" t="s">
        <v>1440</v>
      </c>
      <c r="I384" s="1042" t="s">
        <v>1442</v>
      </c>
      <c r="J384" s="1043" t="s">
        <v>1479</v>
      </c>
      <c r="K384" s="1027" t="s">
        <v>676</v>
      </c>
      <c r="L384" s="1088" t="s">
        <v>677</v>
      </c>
      <c r="M384" s="1030">
        <v>50985000</v>
      </c>
      <c r="N384" s="1083" t="s">
        <v>751</v>
      </c>
      <c r="O384" s="1083" t="s">
        <v>1499</v>
      </c>
      <c r="P384" s="1083"/>
      <c r="Q384" s="1027"/>
      <c r="R384" s="1022"/>
      <c r="S384" s="1130">
        <v>296</v>
      </c>
      <c r="T384" s="1156">
        <v>49500000</v>
      </c>
    </row>
    <row r="385" spans="1:20" s="995" customFormat="1" ht="89.25" x14ac:dyDescent="0.25">
      <c r="A385" s="1023">
        <v>2022380</v>
      </c>
      <c r="B385" s="1023">
        <v>7658</v>
      </c>
      <c r="C385" s="1023" t="s">
        <v>681</v>
      </c>
      <c r="D385" s="1039" t="s">
        <v>703</v>
      </c>
      <c r="E385" s="1040">
        <v>80111600</v>
      </c>
      <c r="F385" s="1026" t="s">
        <v>1045</v>
      </c>
      <c r="G385" s="1041" t="s">
        <v>1440</v>
      </c>
      <c r="H385" s="1141" t="s">
        <v>1440</v>
      </c>
      <c r="I385" s="1042" t="s">
        <v>1442</v>
      </c>
      <c r="J385" s="1043" t="s">
        <v>1479</v>
      </c>
      <c r="K385" s="1027" t="s">
        <v>676</v>
      </c>
      <c r="L385" s="1088" t="s">
        <v>677</v>
      </c>
      <c r="M385" s="1030">
        <v>50985000</v>
      </c>
      <c r="N385" s="1083" t="s">
        <v>751</v>
      </c>
      <c r="O385" s="1083" t="s">
        <v>1499</v>
      </c>
      <c r="P385" s="1083"/>
      <c r="Q385" s="1027"/>
      <c r="R385" s="1022"/>
      <c r="S385" s="1130">
        <v>356</v>
      </c>
      <c r="T385" s="1156">
        <v>49500000</v>
      </c>
    </row>
    <row r="386" spans="1:20" s="995" customFormat="1" ht="89.25" x14ac:dyDescent="0.25">
      <c r="A386" s="1023">
        <v>2022381</v>
      </c>
      <c r="B386" s="1023">
        <v>7658</v>
      </c>
      <c r="C386" s="1023" t="s">
        <v>681</v>
      </c>
      <c r="D386" s="1039" t="s">
        <v>703</v>
      </c>
      <c r="E386" s="1040">
        <v>80111600</v>
      </c>
      <c r="F386" s="1026" t="s">
        <v>1046</v>
      </c>
      <c r="G386" s="1041" t="s">
        <v>1440</v>
      </c>
      <c r="H386" s="1141" t="s">
        <v>1440</v>
      </c>
      <c r="I386" s="1042" t="s">
        <v>1485</v>
      </c>
      <c r="J386" s="1043" t="s">
        <v>1479</v>
      </c>
      <c r="K386" s="1027" t="s">
        <v>676</v>
      </c>
      <c r="L386" s="1088" t="s">
        <v>677</v>
      </c>
      <c r="M386" s="1030">
        <v>84000000</v>
      </c>
      <c r="N386" s="1083" t="s">
        <v>751</v>
      </c>
      <c r="O386" s="1083" t="s">
        <v>1499</v>
      </c>
      <c r="P386" s="1083"/>
      <c r="Q386" s="1027"/>
      <c r="R386" s="1022"/>
      <c r="S386" s="1130">
        <v>202</v>
      </c>
      <c r="T386" s="1156">
        <v>81600000</v>
      </c>
    </row>
    <row r="387" spans="1:20" s="995" customFormat="1" ht="89.25" x14ac:dyDescent="0.25">
      <c r="A387" s="1023">
        <v>2022382</v>
      </c>
      <c r="B387" s="1023">
        <v>7658</v>
      </c>
      <c r="C387" s="1023" t="s">
        <v>681</v>
      </c>
      <c r="D387" s="1039" t="s">
        <v>703</v>
      </c>
      <c r="E387" s="1040">
        <v>80111600</v>
      </c>
      <c r="F387" s="1026" t="s">
        <v>1047</v>
      </c>
      <c r="G387" s="1041" t="s">
        <v>1440</v>
      </c>
      <c r="H387" s="1141" t="s">
        <v>1440</v>
      </c>
      <c r="I387" s="1042" t="s">
        <v>1485</v>
      </c>
      <c r="J387" s="1043" t="s">
        <v>1479</v>
      </c>
      <c r="K387" s="1027" t="s">
        <v>676</v>
      </c>
      <c r="L387" s="1088" t="s">
        <v>677</v>
      </c>
      <c r="M387" s="1030">
        <v>84000000</v>
      </c>
      <c r="N387" s="1083" t="s">
        <v>751</v>
      </c>
      <c r="O387" s="1083" t="s">
        <v>1499</v>
      </c>
      <c r="P387" s="1083"/>
      <c r="Q387" s="1027"/>
      <c r="R387" s="1022"/>
      <c r="S387" s="1130">
        <v>343</v>
      </c>
      <c r="T387" s="1156">
        <v>81600000</v>
      </c>
    </row>
    <row r="388" spans="1:20" s="995" customFormat="1" ht="89.25" x14ac:dyDescent="0.25">
      <c r="A388" s="1023">
        <v>2022383</v>
      </c>
      <c r="B388" s="1023">
        <v>7658</v>
      </c>
      <c r="C388" s="1023" t="s">
        <v>681</v>
      </c>
      <c r="D388" s="1039" t="s">
        <v>703</v>
      </c>
      <c r="E388" s="1040">
        <v>80111600</v>
      </c>
      <c r="F388" s="1026" t="s">
        <v>1048</v>
      </c>
      <c r="G388" s="1041" t="s">
        <v>1440</v>
      </c>
      <c r="H388" s="1141" t="s">
        <v>1440</v>
      </c>
      <c r="I388" s="1042" t="s">
        <v>1485</v>
      </c>
      <c r="J388" s="1043" t="s">
        <v>1479</v>
      </c>
      <c r="K388" s="1027" t="s">
        <v>676</v>
      </c>
      <c r="L388" s="1088" t="s">
        <v>677</v>
      </c>
      <c r="M388" s="1030">
        <v>84000000</v>
      </c>
      <c r="N388" s="1083" t="s">
        <v>751</v>
      </c>
      <c r="O388" s="1083" t="s">
        <v>1499</v>
      </c>
      <c r="P388" s="1083"/>
      <c r="Q388" s="1027"/>
      <c r="R388" s="1022"/>
      <c r="S388" s="1130">
        <v>323</v>
      </c>
      <c r="T388" s="1156">
        <v>81600000</v>
      </c>
    </row>
    <row r="389" spans="1:20" s="995" customFormat="1" ht="89.25" x14ac:dyDescent="0.25">
      <c r="A389" s="1023">
        <v>2022384</v>
      </c>
      <c r="B389" s="1023">
        <v>7658</v>
      </c>
      <c r="C389" s="1023" t="s">
        <v>681</v>
      </c>
      <c r="D389" s="1039" t="s">
        <v>703</v>
      </c>
      <c r="E389" s="1040">
        <v>80111600</v>
      </c>
      <c r="F389" s="1026" t="s">
        <v>1049</v>
      </c>
      <c r="G389" s="1041" t="s">
        <v>1440</v>
      </c>
      <c r="H389" s="1141" t="s">
        <v>1440</v>
      </c>
      <c r="I389" s="1042" t="s">
        <v>1485</v>
      </c>
      <c r="J389" s="1043" t="s">
        <v>1479</v>
      </c>
      <c r="K389" s="1027" t="s">
        <v>676</v>
      </c>
      <c r="L389" s="1088" t="s">
        <v>677</v>
      </c>
      <c r="M389" s="1030">
        <v>84000000</v>
      </c>
      <c r="N389" s="1083" t="s">
        <v>751</v>
      </c>
      <c r="O389" s="1083" t="s">
        <v>1499</v>
      </c>
      <c r="P389" s="1083"/>
      <c r="Q389" s="1027"/>
      <c r="R389" s="1022"/>
      <c r="S389" s="1130">
        <v>475</v>
      </c>
      <c r="T389" s="1156">
        <v>27000000</v>
      </c>
    </row>
    <row r="390" spans="1:20" s="995" customFormat="1" ht="89.25" x14ac:dyDescent="0.25">
      <c r="A390" s="1023">
        <v>2022385</v>
      </c>
      <c r="B390" s="1023">
        <v>7658</v>
      </c>
      <c r="C390" s="1023" t="s">
        <v>681</v>
      </c>
      <c r="D390" s="1039" t="s">
        <v>703</v>
      </c>
      <c r="E390" s="1040">
        <v>80111600</v>
      </c>
      <c r="F390" s="1026" t="s">
        <v>1050</v>
      </c>
      <c r="G390" s="1041" t="s">
        <v>1440</v>
      </c>
      <c r="H390" s="1141" t="s">
        <v>1440</v>
      </c>
      <c r="I390" s="1042" t="s">
        <v>1485</v>
      </c>
      <c r="J390" s="1043" t="s">
        <v>1479</v>
      </c>
      <c r="K390" s="1027" t="s">
        <v>676</v>
      </c>
      <c r="L390" s="1088" t="s">
        <v>677</v>
      </c>
      <c r="M390" s="1030">
        <v>84000000</v>
      </c>
      <c r="N390" s="1083" t="s">
        <v>751</v>
      </c>
      <c r="O390" s="1083" t="s">
        <v>1499</v>
      </c>
      <c r="P390" s="1083"/>
      <c r="Q390" s="1027"/>
      <c r="R390" s="1022"/>
      <c r="S390" s="1130">
        <v>342</v>
      </c>
      <c r="T390" s="1156">
        <v>81600000</v>
      </c>
    </row>
    <row r="391" spans="1:20" s="995" customFormat="1" ht="89.25" x14ac:dyDescent="0.25">
      <c r="A391" s="1023">
        <v>2022386</v>
      </c>
      <c r="B391" s="1023">
        <v>7658</v>
      </c>
      <c r="C391" s="1023" t="s">
        <v>681</v>
      </c>
      <c r="D391" s="1039" t="s">
        <v>703</v>
      </c>
      <c r="E391" s="1040">
        <v>80111600</v>
      </c>
      <c r="F391" s="1026" t="s">
        <v>1051</v>
      </c>
      <c r="G391" s="1041" t="s">
        <v>1440</v>
      </c>
      <c r="H391" s="1141" t="s">
        <v>1440</v>
      </c>
      <c r="I391" s="1042" t="s">
        <v>1485</v>
      </c>
      <c r="J391" s="1043" t="s">
        <v>1479</v>
      </c>
      <c r="K391" s="1027" t="s">
        <v>676</v>
      </c>
      <c r="L391" s="1088" t="s">
        <v>677</v>
      </c>
      <c r="M391" s="1030">
        <v>84000000</v>
      </c>
      <c r="N391" s="1083" t="s">
        <v>751</v>
      </c>
      <c r="O391" s="1083" t="s">
        <v>1499</v>
      </c>
      <c r="P391" s="1083"/>
      <c r="Q391" s="1027"/>
      <c r="R391" s="1022"/>
      <c r="S391" s="1130">
        <v>327</v>
      </c>
      <c r="T391" s="1156">
        <v>81600000</v>
      </c>
    </row>
    <row r="392" spans="1:20" s="995" customFormat="1" ht="89.25" x14ac:dyDescent="0.25">
      <c r="A392" s="1023">
        <v>2022387</v>
      </c>
      <c r="B392" s="1023">
        <v>7658</v>
      </c>
      <c r="C392" s="1023" t="s">
        <v>681</v>
      </c>
      <c r="D392" s="1039" t="s">
        <v>703</v>
      </c>
      <c r="E392" s="1040">
        <v>80111600</v>
      </c>
      <c r="F392" s="1026" t="s">
        <v>1052</v>
      </c>
      <c r="G392" s="1041" t="s">
        <v>1440</v>
      </c>
      <c r="H392" s="1141" t="s">
        <v>1440</v>
      </c>
      <c r="I392" s="1042" t="s">
        <v>1485</v>
      </c>
      <c r="J392" s="1043" t="s">
        <v>1479</v>
      </c>
      <c r="K392" s="1027" t="s">
        <v>676</v>
      </c>
      <c r="L392" s="1088" t="s">
        <v>677</v>
      </c>
      <c r="M392" s="1030">
        <v>90000000</v>
      </c>
      <c r="N392" s="1083" t="s">
        <v>751</v>
      </c>
      <c r="O392" s="1083" t="s">
        <v>1499</v>
      </c>
      <c r="P392" s="1083"/>
      <c r="Q392" s="1027"/>
      <c r="R392" s="1022"/>
      <c r="S392" s="1130">
        <v>329</v>
      </c>
      <c r="T392" s="1156">
        <v>87600000</v>
      </c>
    </row>
    <row r="393" spans="1:20" s="995" customFormat="1" ht="102" x14ac:dyDescent="0.25">
      <c r="A393" s="1013">
        <v>2022388</v>
      </c>
      <c r="B393" s="1013">
        <v>7658</v>
      </c>
      <c r="C393" s="1013" t="s">
        <v>681</v>
      </c>
      <c r="D393" s="1045" t="s">
        <v>694</v>
      </c>
      <c r="E393" s="1051" t="s">
        <v>1546</v>
      </c>
      <c r="F393" s="1016" t="s">
        <v>1547</v>
      </c>
      <c r="G393" s="1018" t="s">
        <v>1548</v>
      </c>
      <c r="H393" s="1141" t="s">
        <v>1549</v>
      </c>
      <c r="I393" s="1018">
        <v>10</v>
      </c>
      <c r="J393" s="1049" t="s">
        <v>1550</v>
      </c>
      <c r="K393" s="1017" t="s">
        <v>676</v>
      </c>
      <c r="L393" s="1019" t="s">
        <v>677</v>
      </c>
      <c r="M393" s="1020">
        <v>650000000</v>
      </c>
      <c r="N393" s="1037" t="s">
        <v>743</v>
      </c>
      <c r="O393" s="1037" t="s">
        <v>1551</v>
      </c>
      <c r="P393" s="1037"/>
      <c r="Q393" s="1017"/>
      <c r="R393" s="1022"/>
      <c r="S393" s="1130"/>
      <c r="T393" s="1156"/>
    </row>
    <row r="394" spans="1:20" s="995" customFormat="1" ht="102" x14ac:dyDescent="0.25">
      <c r="A394" s="1013">
        <v>2022389</v>
      </c>
      <c r="B394" s="1013">
        <v>7658</v>
      </c>
      <c r="C394" s="1013" t="s">
        <v>681</v>
      </c>
      <c r="D394" s="1045" t="s">
        <v>694</v>
      </c>
      <c r="E394" s="1051" t="s">
        <v>1053</v>
      </c>
      <c r="F394" s="1016" t="s">
        <v>1552</v>
      </c>
      <c r="G394" s="1018" t="s">
        <v>1548</v>
      </c>
      <c r="H394" s="1141" t="s">
        <v>1549</v>
      </c>
      <c r="I394" s="1018">
        <v>8</v>
      </c>
      <c r="J394" s="1049" t="s">
        <v>1550</v>
      </c>
      <c r="K394" s="1017" t="s">
        <v>676</v>
      </c>
      <c r="L394" s="1019" t="s">
        <v>677</v>
      </c>
      <c r="M394" s="1020">
        <v>816036232</v>
      </c>
      <c r="N394" s="1037" t="s">
        <v>743</v>
      </c>
      <c r="O394" s="1037" t="s">
        <v>1551</v>
      </c>
      <c r="P394" s="1037"/>
      <c r="Q394" s="1017"/>
      <c r="R394" s="1022"/>
      <c r="S394" s="1130"/>
      <c r="T394" s="1156"/>
    </row>
    <row r="395" spans="1:20" s="995" customFormat="1" ht="114.75" x14ac:dyDescent="0.25">
      <c r="A395" s="1023">
        <v>2022390</v>
      </c>
      <c r="B395" s="1023">
        <v>7658</v>
      </c>
      <c r="C395" s="1023" t="s">
        <v>681</v>
      </c>
      <c r="D395" s="1039" t="s">
        <v>694</v>
      </c>
      <c r="E395" s="1086" t="s">
        <v>1053</v>
      </c>
      <c r="F395" s="1026" t="s">
        <v>1055</v>
      </c>
      <c r="G395" s="1041" t="s">
        <v>1440</v>
      </c>
      <c r="H395" s="1141" t="s">
        <v>1445</v>
      </c>
      <c r="I395" s="1028">
        <v>2</v>
      </c>
      <c r="J395" s="1043" t="s">
        <v>1550</v>
      </c>
      <c r="K395" s="1027" t="s">
        <v>676</v>
      </c>
      <c r="L395" s="1029" t="s">
        <v>677</v>
      </c>
      <c r="M395" s="1030">
        <v>183963768</v>
      </c>
      <c r="N395" s="1083" t="s">
        <v>743</v>
      </c>
      <c r="O395" s="1083" t="s">
        <v>1551</v>
      </c>
      <c r="P395" s="1083"/>
      <c r="Q395" s="1027"/>
      <c r="R395" s="1022"/>
      <c r="S395" s="1130">
        <v>519</v>
      </c>
      <c r="T395" s="1156">
        <v>183963768</v>
      </c>
    </row>
    <row r="396" spans="1:20" s="995" customFormat="1" ht="102" x14ac:dyDescent="0.25">
      <c r="A396" s="1013">
        <v>2022391</v>
      </c>
      <c r="B396" s="1013">
        <v>7658</v>
      </c>
      <c r="C396" s="1013" t="s">
        <v>681</v>
      </c>
      <c r="D396" s="1045" t="s">
        <v>694</v>
      </c>
      <c r="E396" s="1051" t="s">
        <v>1056</v>
      </c>
      <c r="F396" s="1016" t="s">
        <v>1057</v>
      </c>
      <c r="G396" s="1018" t="s">
        <v>1553</v>
      </c>
      <c r="H396" s="1141" t="s">
        <v>1554</v>
      </c>
      <c r="I396" s="1018">
        <v>8</v>
      </c>
      <c r="J396" s="1049" t="s">
        <v>1550</v>
      </c>
      <c r="K396" s="1017" t="s">
        <v>772</v>
      </c>
      <c r="L396" s="1019" t="s">
        <v>983</v>
      </c>
      <c r="M396" s="1020">
        <v>617440000</v>
      </c>
      <c r="N396" s="1037" t="s">
        <v>743</v>
      </c>
      <c r="O396" s="1037" t="s">
        <v>1551</v>
      </c>
      <c r="P396" s="1037"/>
      <c r="Q396" s="1017"/>
      <c r="R396" s="1022"/>
      <c r="S396" s="1130"/>
      <c r="T396" s="1156"/>
    </row>
    <row r="397" spans="1:20" s="995" customFormat="1" ht="102" x14ac:dyDescent="0.25">
      <c r="A397" s="1013">
        <v>2022392</v>
      </c>
      <c r="B397" s="1013">
        <v>7658</v>
      </c>
      <c r="C397" s="1013" t="s">
        <v>681</v>
      </c>
      <c r="D397" s="1045" t="s">
        <v>694</v>
      </c>
      <c r="E397" s="1089" t="s">
        <v>1555</v>
      </c>
      <c r="F397" s="1016" t="s">
        <v>1556</v>
      </c>
      <c r="G397" s="1018" t="s">
        <v>1553</v>
      </c>
      <c r="H397" s="1141" t="s">
        <v>1554</v>
      </c>
      <c r="I397" s="1018">
        <v>8</v>
      </c>
      <c r="J397" s="1049" t="s">
        <v>1537</v>
      </c>
      <c r="K397" s="1017" t="s">
        <v>676</v>
      </c>
      <c r="L397" s="1019" t="s">
        <v>677</v>
      </c>
      <c r="M397" s="1020">
        <v>300000000</v>
      </c>
      <c r="N397" s="1037" t="s">
        <v>743</v>
      </c>
      <c r="O397" s="1037" t="s">
        <v>1551</v>
      </c>
      <c r="P397" s="1037"/>
      <c r="Q397" s="1017"/>
      <c r="R397" s="1022"/>
      <c r="S397" s="1130"/>
      <c r="T397" s="1156"/>
    </row>
    <row r="398" spans="1:20" s="995" customFormat="1" ht="102" x14ac:dyDescent="0.25">
      <c r="A398" s="1013">
        <v>2022393</v>
      </c>
      <c r="B398" s="1013">
        <v>7658</v>
      </c>
      <c r="C398" s="1013" t="s">
        <v>681</v>
      </c>
      <c r="D398" s="1045" t="s">
        <v>694</v>
      </c>
      <c r="E398" s="1089" t="s">
        <v>1557</v>
      </c>
      <c r="F398" s="1016" t="s">
        <v>1062</v>
      </c>
      <c r="G398" s="1018" t="s">
        <v>1553</v>
      </c>
      <c r="H398" s="1141" t="s">
        <v>1554</v>
      </c>
      <c r="I398" s="1018">
        <v>8</v>
      </c>
      <c r="J398" s="1049" t="s">
        <v>1558</v>
      </c>
      <c r="K398" s="1017" t="s">
        <v>676</v>
      </c>
      <c r="L398" s="1019" t="s">
        <v>677</v>
      </c>
      <c r="M398" s="1020">
        <v>200000000</v>
      </c>
      <c r="N398" s="1037" t="s">
        <v>743</v>
      </c>
      <c r="O398" s="1037" t="s">
        <v>1551</v>
      </c>
      <c r="P398" s="1037"/>
      <c r="Q398" s="1017"/>
      <c r="R398" s="1022"/>
      <c r="S398" s="1130"/>
      <c r="T398" s="1156"/>
    </row>
    <row r="399" spans="1:20" s="995" customFormat="1" ht="102" x14ac:dyDescent="0.25">
      <c r="A399" s="1013">
        <v>2022394</v>
      </c>
      <c r="B399" s="1013">
        <v>7658</v>
      </c>
      <c r="C399" s="1013" t="s">
        <v>681</v>
      </c>
      <c r="D399" s="1045" t="s">
        <v>694</v>
      </c>
      <c r="E399" s="1090" t="s">
        <v>1063</v>
      </c>
      <c r="F399" s="1016" t="s">
        <v>1064</v>
      </c>
      <c r="G399" s="1017" t="s">
        <v>1554</v>
      </c>
      <c r="H399" s="1141" t="s">
        <v>1559</v>
      </c>
      <c r="I399" s="1017">
        <v>6</v>
      </c>
      <c r="J399" s="1049" t="s">
        <v>1558</v>
      </c>
      <c r="K399" s="1017" t="s">
        <v>676</v>
      </c>
      <c r="L399" s="1019" t="s">
        <v>677</v>
      </c>
      <c r="M399" s="1020">
        <f>150000000-76286376</f>
        <v>73713624</v>
      </c>
      <c r="N399" s="1037" t="s">
        <v>743</v>
      </c>
      <c r="O399" s="1037" t="s">
        <v>1551</v>
      </c>
      <c r="P399" s="1037"/>
      <c r="Q399" s="1047">
        <v>44600</v>
      </c>
      <c r="R399" s="1022"/>
      <c r="S399" s="1130"/>
      <c r="T399" s="1156"/>
    </row>
    <row r="400" spans="1:20" s="995" customFormat="1" ht="102" x14ac:dyDescent="0.25">
      <c r="A400" s="1013">
        <v>2022395</v>
      </c>
      <c r="B400" s="1013">
        <v>7658</v>
      </c>
      <c r="C400" s="1013" t="s">
        <v>681</v>
      </c>
      <c r="D400" s="1045" t="s">
        <v>694</v>
      </c>
      <c r="E400" s="1090" t="s">
        <v>1560</v>
      </c>
      <c r="F400" s="1016" t="s">
        <v>1561</v>
      </c>
      <c r="G400" s="1017" t="s">
        <v>1559</v>
      </c>
      <c r="H400" s="1141" t="s">
        <v>1562</v>
      </c>
      <c r="I400" s="1017">
        <v>3</v>
      </c>
      <c r="J400" s="1049" t="s">
        <v>1550</v>
      </c>
      <c r="K400" s="1017" t="s">
        <v>772</v>
      </c>
      <c r="L400" s="1019" t="s">
        <v>983</v>
      </c>
      <c r="M400" s="1020">
        <v>400000000</v>
      </c>
      <c r="N400" s="1037" t="s">
        <v>743</v>
      </c>
      <c r="O400" s="1037" t="s">
        <v>1551</v>
      </c>
      <c r="P400" s="1037"/>
      <c r="Q400" s="1017"/>
      <c r="R400" s="1022"/>
      <c r="S400" s="1130"/>
      <c r="T400" s="1156"/>
    </row>
    <row r="401" spans="1:20" s="995" customFormat="1" ht="102" x14ac:dyDescent="0.25">
      <c r="A401" s="1013">
        <v>2022396</v>
      </c>
      <c r="B401" s="1013">
        <v>7658</v>
      </c>
      <c r="C401" s="1013" t="s">
        <v>681</v>
      </c>
      <c r="D401" s="1045" t="s">
        <v>694</v>
      </c>
      <c r="E401" s="1090" t="s">
        <v>1557</v>
      </c>
      <c r="F401" s="1016" t="s">
        <v>1563</v>
      </c>
      <c r="G401" s="1017" t="s">
        <v>1564</v>
      </c>
      <c r="H401" s="1141" t="s">
        <v>1565</v>
      </c>
      <c r="I401" s="1017">
        <v>3</v>
      </c>
      <c r="J401" s="1049" t="s">
        <v>1550</v>
      </c>
      <c r="K401" s="1017" t="s">
        <v>676</v>
      </c>
      <c r="L401" s="1019" t="s">
        <v>677</v>
      </c>
      <c r="M401" s="1020">
        <v>300000000</v>
      </c>
      <c r="N401" s="1037" t="s">
        <v>743</v>
      </c>
      <c r="O401" s="1037" t="s">
        <v>1551</v>
      </c>
      <c r="P401" s="1037"/>
      <c r="Q401" s="1017"/>
      <c r="R401" s="1022"/>
      <c r="S401" s="1130"/>
      <c r="T401" s="1156"/>
    </row>
    <row r="402" spans="1:20" s="995" customFormat="1" ht="102" x14ac:dyDescent="0.25">
      <c r="A402" s="1013">
        <v>2022397</v>
      </c>
      <c r="B402" s="1013">
        <v>7658</v>
      </c>
      <c r="C402" s="1013" t="s">
        <v>681</v>
      </c>
      <c r="D402" s="1045" t="s">
        <v>694</v>
      </c>
      <c r="E402" s="1090" t="s">
        <v>1566</v>
      </c>
      <c r="F402" s="1016" t="s">
        <v>1567</v>
      </c>
      <c r="G402" s="1017" t="s">
        <v>1549</v>
      </c>
      <c r="H402" s="1141" t="s">
        <v>1564</v>
      </c>
      <c r="I402" s="1017">
        <v>2</v>
      </c>
      <c r="J402" s="1049" t="s">
        <v>1558</v>
      </c>
      <c r="K402" s="1017" t="s">
        <v>676</v>
      </c>
      <c r="L402" s="1019" t="s">
        <v>677</v>
      </c>
      <c r="M402" s="1020">
        <v>30000000</v>
      </c>
      <c r="N402" s="1037" t="s">
        <v>743</v>
      </c>
      <c r="O402" s="1037" t="s">
        <v>1551</v>
      </c>
      <c r="P402" s="1037"/>
      <c r="Q402" s="1017"/>
      <c r="R402" s="1022"/>
      <c r="S402" s="1130"/>
      <c r="T402" s="1156"/>
    </row>
    <row r="403" spans="1:20" s="995" customFormat="1" ht="102" x14ac:dyDescent="0.25">
      <c r="A403" s="1013">
        <v>2022398</v>
      </c>
      <c r="B403" s="1013">
        <v>7658</v>
      </c>
      <c r="C403" s="1013" t="s">
        <v>681</v>
      </c>
      <c r="D403" s="1045" t="s">
        <v>694</v>
      </c>
      <c r="E403" s="1090" t="s">
        <v>1568</v>
      </c>
      <c r="F403" s="1016" t="s">
        <v>1569</v>
      </c>
      <c r="G403" s="1017" t="s">
        <v>1554</v>
      </c>
      <c r="H403" s="1141" t="s">
        <v>1565</v>
      </c>
      <c r="I403" s="1017">
        <v>8</v>
      </c>
      <c r="J403" s="1049" t="s">
        <v>1558</v>
      </c>
      <c r="K403" s="1017" t="s">
        <v>676</v>
      </c>
      <c r="L403" s="1019" t="s">
        <v>677</v>
      </c>
      <c r="M403" s="1020">
        <v>10000000</v>
      </c>
      <c r="N403" s="1037" t="s">
        <v>743</v>
      </c>
      <c r="O403" s="1037" t="s">
        <v>1551</v>
      </c>
      <c r="P403" s="1037"/>
      <c r="Q403" s="1017"/>
      <c r="R403" s="1022"/>
      <c r="S403" s="1130"/>
      <c r="T403" s="1156"/>
    </row>
    <row r="404" spans="1:20" s="995" customFormat="1" ht="102" x14ac:dyDescent="0.25">
      <c r="A404" s="1013">
        <v>2022399</v>
      </c>
      <c r="B404" s="1013">
        <v>7658</v>
      </c>
      <c r="C404" s="1013" t="s">
        <v>681</v>
      </c>
      <c r="D404" s="1045" t="s">
        <v>694</v>
      </c>
      <c r="E404" s="1090" t="s">
        <v>1570</v>
      </c>
      <c r="F404" s="1016" t="s">
        <v>1571</v>
      </c>
      <c r="G404" s="1017" t="s">
        <v>1554</v>
      </c>
      <c r="H404" s="1141" t="s">
        <v>1565</v>
      </c>
      <c r="I404" s="1017">
        <v>8</v>
      </c>
      <c r="J404" s="1049" t="s">
        <v>1558</v>
      </c>
      <c r="K404" s="1017" t="s">
        <v>676</v>
      </c>
      <c r="L404" s="1019" t="s">
        <v>677</v>
      </c>
      <c r="M404" s="1020">
        <v>20000000</v>
      </c>
      <c r="N404" s="1037" t="s">
        <v>743</v>
      </c>
      <c r="O404" s="1037" t="s">
        <v>1551</v>
      </c>
      <c r="P404" s="1037"/>
      <c r="Q404" s="1017"/>
      <c r="R404" s="1022"/>
      <c r="S404" s="1130"/>
      <c r="T404" s="1156"/>
    </row>
    <row r="405" spans="1:20" s="995" customFormat="1" ht="102" x14ac:dyDescent="0.25">
      <c r="A405" s="1013">
        <v>2022400</v>
      </c>
      <c r="B405" s="1013">
        <v>7658</v>
      </c>
      <c r="C405" s="1013" t="s">
        <v>681</v>
      </c>
      <c r="D405" s="1045" t="s">
        <v>694</v>
      </c>
      <c r="E405" s="1090" t="s">
        <v>1069</v>
      </c>
      <c r="F405" s="1016" t="s">
        <v>1070</v>
      </c>
      <c r="G405" s="1017" t="s">
        <v>1554</v>
      </c>
      <c r="H405" s="1141" t="s">
        <v>1565</v>
      </c>
      <c r="I405" s="1017">
        <v>2</v>
      </c>
      <c r="J405" s="1049" t="s">
        <v>1558</v>
      </c>
      <c r="K405" s="1017" t="s">
        <v>676</v>
      </c>
      <c r="L405" s="1019" t="s">
        <v>677</v>
      </c>
      <c r="M405" s="1020">
        <v>50000000</v>
      </c>
      <c r="N405" s="1037" t="s">
        <v>743</v>
      </c>
      <c r="O405" s="1037" t="s">
        <v>1551</v>
      </c>
      <c r="P405" s="1037"/>
      <c r="Q405" s="1017"/>
      <c r="R405" s="1022"/>
      <c r="S405" s="1130"/>
      <c r="T405" s="1156"/>
    </row>
    <row r="406" spans="1:20" s="995" customFormat="1" ht="102" x14ac:dyDescent="0.25">
      <c r="A406" s="1013">
        <v>2022401</v>
      </c>
      <c r="B406" s="1013">
        <v>7658</v>
      </c>
      <c r="C406" s="1013" t="s">
        <v>681</v>
      </c>
      <c r="D406" s="1045" t="s">
        <v>694</v>
      </c>
      <c r="E406" s="1090" t="s">
        <v>1572</v>
      </c>
      <c r="F406" s="1016" t="s">
        <v>1573</v>
      </c>
      <c r="G406" s="1017" t="s">
        <v>1564</v>
      </c>
      <c r="H406" s="1141" t="s">
        <v>1562</v>
      </c>
      <c r="I406" s="1017">
        <v>6</v>
      </c>
      <c r="J406" s="1049" t="s">
        <v>1558</v>
      </c>
      <c r="K406" s="1017" t="s">
        <v>676</v>
      </c>
      <c r="L406" s="1019" t="s">
        <v>677</v>
      </c>
      <c r="M406" s="1020">
        <v>30000000</v>
      </c>
      <c r="N406" s="1037" t="s">
        <v>743</v>
      </c>
      <c r="O406" s="1037" t="s">
        <v>1551</v>
      </c>
      <c r="P406" s="1037"/>
      <c r="Q406" s="1017"/>
      <c r="R406" s="1022"/>
      <c r="S406" s="1130"/>
      <c r="T406" s="1156"/>
    </row>
    <row r="407" spans="1:20" s="995" customFormat="1" ht="102" x14ac:dyDescent="0.25">
      <c r="A407" s="1013">
        <v>2022402</v>
      </c>
      <c r="B407" s="1013">
        <v>7658</v>
      </c>
      <c r="C407" s="1013" t="s">
        <v>681</v>
      </c>
      <c r="D407" s="1045" t="s">
        <v>694</v>
      </c>
      <c r="E407" s="1091">
        <v>43232500</v>
      </c>
      <c r="F407" s="1016" t="s">
        <v>1574</v>
      </c>
      <c r="G407" s="1017" t="s">
        <v>1554</v>
      </c>
      <c r="H407" s="1141" t="s">
        <v>1565</v>
      </c>
      <c r="I407" s="1017">
        <v>6</v>
      </c>
      <c r="J407" s="1049" t="s">
        <v>1558</v>
      </c>
      <c r="K407" s="1017" t="s">
        <v>676</v>
      </c>
      <c r="L407" s="1019" t="s">
        <v>677</v>
      </c>
      <c r="M407" s="1020">
        <v>24560000</v>
      </c>
      <c r="N407" s="1037" t="s">
        <v>743</v>
      </c>
      <c r="O407" s="1037" t="s">
        <v>1551</v>
      </c>
      <c r="P407" s="1037"/>
      <c r="Q407" s="1017"/>
      <c r="R407" s="1022"/>
      <c r="S407" s="1130"/>
      <c r="T407" s="1156"/>
    </row>
    <row r="408" spans="1:20" s="995" customFormat="1" ht="102" x14ac:dyDescent="0.25">
      <c r="A408" s="1013">
        <v>2022403</v>
      </c>
      <c r="B408" s="1013">
        <v>7658</v>
      </c>
      <c r="C408" s="1013" t="s">
        <v>681</v>
      </c>
      <c r="D408" s="1045" t="s">
        <v>694</v>
      </c>
      <c r="E408" s="1090" t="s">
        <v>1572</v>
      </c>
      <c r="F408" s="1016" t="s">
        <v>1575</v>
      </c>
      <c r="G408" s="1017" t="s">
        <v>1554</v>
      </c>
      <c r="H408" s="1141" t="s">
        <v>1565</v>
      </c>
      <c r="I408" s="1017">
        <v>6</v>
      </c>
      <c r="J408" s="1049" t="s">
        <v>1558</v>
      </c>
      <c r="K408" s="1017" t="s">
        <v>676</v>
      </c>
      <c r="L408" s="1019" t="s">
        <v>677</v>
      </c>
      <c r="M408" s="1020">
        <v>20000000</v>
      </c>
      <c r="N408" s="1037" t="s">
        <v>743</v>
      </c>
      <c r="O408" s="1037" t="s">
        <v>1551</v>
      </c>
      <c r="P408" s="1037"/>
      <c r="Q408" s="1017"/>
      <c r="R408" s="1022"/>
      <c r="S408" s="1130"/>
      <c r="T408" s="1156"/>
    </row>
    <row r="409" spans="1:20" s="995" customFormat="1" ht="102" x14ac:dyDescent="0.25">
      <c r="A409" s="1023">
        <v>2022404</v>
      </c>
      <c r="B409" s="1023">
        <v>7658</v>
      </c>
      <c r="C409" s="1023" t="s">
        <v>681</v>
      </c>
      <c r="D409" s="1039" t="s">
        <v>694</v>
      </c>
      <c r="E409" s="1040">
        <v>80111600</v>
      </c>
      <c r="F409" s="1026" t="s">
        <v>1071</v>
      </c>
      <c r="G409" s="1027" t="s">
        <v>1548</v>
      </c>
      <c r="H409" s="1141" t="s">
        <v>1548</v>
      </c>
      <c r="I409" s="1027">
        <v>7</v>
      </c>
      <c r="J409" s="1027" t="s">
        <v>1576</v>
      </c>
      <c r="K409" s="1027" t="s">
        <v>676</v>
      </c>
      <c r="L409" s="1029" t="s">
        <v>677</v>
      </c>
      <c r="M409" s="1092">
        <v>26950000</v>
      </c>
      <c r="N409" s="1083" t="s">
        <v>743</v>
      </c>
      <c r="O409" s="1083" t="s">
        <v>1551</v>
      </c>
      <c r="P409" s="1083"/>
      <c r="Q409" s="1027"/>
      <c r="R409" s="1022"/>
      <c r="S409" s="1130">
        <v>99</v>
      </c>
      <c r="T409" s="1156">
        <v>26950000</v>
      </c>
    </row>
    <row r="410" spans="1:20" s="995" customFormat="1" ht="102" x14ac:dyDescent="0.25">
      <c r="A410" s="1013">
        <v>2022405</v>
      </c>
      <c r="B410" s="1013">
        <v>7658</v>
      </c>
      <c r="C410" s="1013" t="s">
        <v>681</v>
      </c>
      <c r="D410" s="1045" t="s">
        <v>694</v>
      </c>
      <c r="E410" s="1046">
        <v>80111600</v>
      </c>
      <c r="F410" s="1016" t="s">
        <v>1071</v>
      </c>
      <c r="G410" s="1017" t="s">
        <v>1548</v>
      </c>
      <c r="H410" s="1141" t="s">
        <v>1548</v>
      </c>
      <c r="I410" s="1017">
        <v>3</v>
      </c>
      <c r="J410" s="1017" t="s">
        <v>1576</v>
      </c>
      <c r="K410" s="1017" t="s">
        <v>676</v>
      </c>
      <c r="L410" s="1019" t="s">
        <v>677</v>
      </c>
      <c r="M410" s="1093">
        <v>13500000</v>
      </c>
      <c r="N410" s="1037" t="s">
        <v>743</v>
      </c>
      <c r="O410" s="1037" t="s">
        <v>1551</v>
      </c>
      <c r="P410" s="1037"/>
      <c r="Q410" s="1017"/>
      <c r="R410" s="1022"/>
      <c r="S410" s="1130"/>
      <c r="T410" s="1156"/>
    </row>
    <row r="411" spans="1:20" s="995" customFormat="1" ht="102" x14ac:dyDescent="0.25">
      <c r="A411" s="1023">
        <v>2022406</v>
      </c>
      <c r="B411" s="1023">
        <v>7658</v>
      </c>
      <c r="C411" s="1023" t="s">
        <v>681</v>
      </c>
      <c r="D411" s="1039" t="s">
        <v>694</v>
      </c>
      <c r="E411" s="1040">
        <v>80111600</v>
      </c>
      <c r="F411" s="1026" t="s">
        <v>1072</v>
      </c>
      <c r="G411" s="1027" t="s">
        <v>1548</v>
      </c>
      <c r="H411" s="1141" t="s">
        <v>1548</v>
      </c>
      <c r="I411" s="1027">
        <v>10</v>
      </c>
      <c r="J411" s="1027" t="s">
        <v>1576</v>
      </c>
      <c r="K411" s="1027" t="s">
        <v>676</v>
      </c>
      <c r="L411" s="1029" t="s">
        <v>677</v>
      </c>
      <c r="M411" s="1092">
        <v>82400000</v>
      </c>
      <c r="N411" s="1083" t="s">
        <v>743</v>
      </c>
      <c r="O411" s="1083" t="s">
        <v>1551</v>
      </c>
      <c r="P411" s="1083"/>
      <c r="Q411" s="1027"/>
      <c r="R411" s="1022"/>
      <c r="S411" s="1130">
        <v>100</v>
      </c>
      <c r="T411" s="1156">
        <v>82400000</v>
      </c>
    </row>
    <row r="412" spans="1:20" s="995" customFormat="1" ht="102" x14ac:dyDescent="0.25">
      <c r="A412" s="1023">
        <v>2022407</v>
      </c>
      <c r="B412" s="1023">
        <v>7658</v>
      </c>
      <c r="C412" s="1023" t="s">
        <v>681</v>
      </c>
      <c r="D412" s="1039" t="s">
        <v>694</v>
      </c>
      <c r="E412" s="1040">
        <v>80111600</v>
      </c>
      <c r="F412" s="1026" t="s">
        <v>1073</v>
      </c>
      <c r="G412" s="1027" t="s">
        <v>1548</v>
      </c>
      <c r="H412" s="1141" t="s">
        <v>1548</v>
      </c>
      <c r="I412" s="1027">
        <v>6</v>
      </c>
      <c r="J412" s="1027" t="s">
        <v>1576</v>
      </c>
      <c r="K412" s="1027" t="s">
        <v>676</v>
      </c>
      <c r="L412" s="1029" t="s">
        <v>677</v>
      </c>
      <c r="M412" s="1092">
        <v>49440000</v>
      </c>
      <c r="N412" s="1083" t="s">
        <v>743</v>
      </c>
      <c r="O412" s="1083" t="s">
        <v>1551</v>
      </c>
      <c r="P412" s="1083"/>
      <c r="Q412" s="1027"/>
      <c r="R412" s="1022"/>
      <c r="S412" s="1130">
        <v>101</v>
      </c>
      <c r="T412" s="1156">
        <v>49440000</v>
      </c>
    </row>
    <row r="413" spans="1:20" s="995" customFormat="1" ht="102" x14ac:dyDescent="0.25">
      <c r="A413" s="1023">
        <v>2022408</v>
      </c>
      <c r="B413" s="1023">
        <v>7658</v>
      </c>
      <c r="C413" s="1023" t="s">
        <v>681</v>
      </c>
      <c r="D413" s="1039" t="s">
        <v>694</v>
      </c>
      <c r="E413" s="1040">
        <v>80111600</v>
      </c>
      <c r="F413" s="1026" t="s">
        <v>1073</v>
      </c>
      <c r="G413" s="1027" t="s">
        <v>1548</v>
      </c>
      <c r="H413" s="1141" t="s">
        <v>1548</v>
      </c>
      <c r="I413" s="1027">
        <v>4</v>
      </c>
      <c r="J413" s="1027" t="s">
        <v>1576</v>
      </c>
      <c r="K413" s="1027" t="s">
        <v>676</v>
      </c>
      <c r="L413" s="1029" t="s">
        <v>677</v>
      </c>
      <c r="M413" s="1092">
        <v>32960000</v>
      </c>
      <c r="N413" s="1083" t="s">
        <v>743</v>
      </c>
      <c r="O413" s="1083" t="s">
        <v>1551</v>
      </c>
      <c r="P413" s="1083"/>
      <c r="Q413" s="1027"/>
      <c r="R413" s="1022"/>
      <c r="S413" s="1130">
        <v>102</v>
      </c>
      <c r="T413" s="1156">
        <v>42000000</v>
      </c>
    </row>
    <row r="414" spans="1:20" s="995" customFormat="1" ht="102" x14ac:dyDescent="0.25">
      <c r="A414" s="1013">
        <v>2022409</v>
      </c>
      <c r="B414" s="1013">
        <v>7658</v>
      </c>
      <c r="C414" s="1013" t="s">
        <v>681</v>
      </c>
      <c r="D414" s="1045" t="s">
        <v>694</v>
      </c>
      <c r="E414" s="1046">
        <v>80111601</v>
      </c>
      <c r="F414" s="1016" t="s">
        <v>1074</v>
      </c>
      <c r="G414" s="1017" t="s">
        <v>1548</v>
      </c>
      <c r="H414" s="1141" t="s">
        <v>1548</v>
      </c>
      <c r="I414" s="1017">
        <v>6</v>
      </c>
      <c r="J414" s="1017" t="s">
        <v>1576</v>
      </c>
      <c r="K414" s="1017" t="s">
        <v>676</v>
      </c>
      <c r="L414" s="1019" t="s">
        <v>677</v>
      </c>
      <c r="M414" s="1093">
        <v>42000000</v>
      </c>
      <c r="N414" s="1037" t="s">
        <v>743</v>
      </c>
      <c r="O414" s="1037" t="s">
        <v>1551</v>
      </c>
      <c r="P414" s="1037"/>
      <c r="Q414" s="1017"/>
      <c r="R414" s="1022"/>
      <c r="S414" s="1130"/>
      <c r="T414" s="1156"/>
    </row>
    <row r="415" spans="1:20" s="995" customFormat="1" ht="102" x14ac:dyDescent="0.25">
      <c r="A415" s="1013">
        <v>2022410</v>
      </c>
      <c r="B415" s="1013">
        <v>7658</v>
      </c>
      <c r="C415" s="1013" t="s">
        <v>681</v>
      </c>
      <c r="D415" s="1045" t="s">
        <v>694</v>
      </c>
      <c r="E415" s="1046">
        <v>80111601</v>
      </c>
      <c r="F415" s="1016" t="s">
        <v>1074</v>
      </c>
      <c r="G415" s="1017" t="s">
        <v>1548</v>
      </c>
      <c r="H415" s="1141" t="s">
        <v>1548</v>
      </c>
      <c r="I415" s="1017">
        <v>4</v>
      </c>
      <c r="J415" s="1017" t="s">
        <v>1576</v>
      </c>
      <c r="K415" s="1017" t="s">
        <v>676</v>
      </c>
      <c r="L415" s="1019" t="s">
        <v>677</v>
      </c>
      <c r="M415" s="1093">
        <v>28000000</v>
      </c>
      <c r="N415" s="1037" t="s">
        <v>743</v>
      </c>
      <c r="O415" s="1037" t="s">
        <v>1551</v>
      </c>
      <c r="P415" s="1037"/>
      <c r="Q415" s="1017"/>
      <c r="R415" s="1022"/>
      <c r="S415" s="1130"/>
      <c r="T415" s="1156"/>
    </row>
    <row r="416" spans="1:20" s="995" customFormat="1" ht="102" x14ac:dyDescent="0.25">
      <c r="A416" s="1023">
        <v>2022411</v>
      </c>
      <c r="B416" s="1023">
        <v>7658</v>
      </c>
      <c r="C416" s="1023" t="s">
        <v>681</v>
      </c>
      <c r="D416" s="1039" t="s">
        <v>694</v>
      </c>
      <c r="E416" s="1040">
        <v>80111601</v>
      </c>
      <c r="F416" s="1026" t="s">
        <v>1076</v>
      </c>
      <c r="G416" s="1027" t="s">
        <v>1548</v>
      </c>
      <c r="H416" s="1141" t="s">
        <v>1548</v>
      </c>
      <c r="I416" s="1027">
        <v>10</v>
      </c>
      <c r="J416" s="1027" t="s">
        <v>1576</v>
      </c>
      <c r="K416" s="1027" t="s">
        <v>676</v>
      </c>
      <c r="L416" s="1029" t="s">
        <v>677</v>
      </c>
      <c r="M416" s="1092">
        <v>60000000</v>
      </c>
      <c r="N416" s="1083" t="s">
        <v>743</v>
      </c>
      <c r="O416" s="1083" t="s">
        <v>1551</v>
      </c>
      <c r="P416" s="1083"/>
      <c r="Q416" s="1027"/>
      <c r="R416" s="1022"/>
      <c r="S416" s="1130">
        <v>264</v>
      </c>
      <c r="T416" s="1156">
        <v>60000000</v>
      </c>
    </row>
    <row r="417" spans="1:20" s="995" customFormat="1" ht="102" x14ac:dyDescent="0.25">
      <c r="A417" s="1023">
        <v>2022412</v>
      </c>
      <c r="B417" s="1023">
        <v>7658</v>
      </c>
      <c r="C417" s="1023" t="s">
        <v>681</v>
      </c>
      <c r="D417" s="1039" t="s">
        <v>694</v>
      </c>
      <c r="E417" s="1040">
        <v>80111600</v>
      </c>
      <c r="F417" s="1026" t="s">
        <v>1077</v>
      </c>
      <c r="G417" s="1027" t="s">
        <v>1548</v>
      </c>
      <c r="H417" s="1141" t="s">
        <v>1548</v>
      </c>
      <c r="I417" s="1027">
        <v>10</v>
      </c>
      <c r="J417" s="1027" t="s">
        <v>1576</v>
      </c>
      <c r="K417" s="1027" t="s">
        <v>676</v>
      </c>
      <c r="L417" s="1029" t="s">
        <v>677</v>
      </c>
      <c r="M417" s="1092">
        <v>42000000</v>
      </c>
      <c r="N417" s="1083" t="s">
        <v>743</v>
      </c>
      <c r="O417" s="1083" t="s">
        <v>1551</v>
      </c>
      <c r="P417" s="1083"/>
      <c r="Q417" s="1027"/>
      <c r="R417" s="1022"/>
      <c r="S417" s="1130">
        <v>133</v>
      </c>
      <c r="T417" s="1156">
        <v>42000000</v>
      </c>
    </row>
    <row r="418" spans="1:20" s="995" customFormat="1" ht="102" x14ac:dyDescent="0.25">
      <c r="A418" s="1023">
        <v>2022413</v>
      </c>
      <c r="B418" s="1023">
        <v>7658</v>
      </c>
      <c r="C418" s="1023" t="s">
        <v>681</v>
      </c>
      <c r="D418" s="1039" t="s">
        <v>694</v>
      </c>
      <c r="E418" s="1040">
        <v>80111600</v>
      </c>
      <c r="F418" s="1026" t="s">
        <v>1078</v>
      </c>
      <c r="G418" s="1027" t="s">
        <v>1548</v>
      </c>
      <c r="H418" s="1141" t="s">
        <v>1548</v>
      </c>
      <c r="I418" s="1027">
        <v>10</v>
      </c>
      <c r="J418" s="1027" t="s">
        <v>1576</v>
      </c>
      <c r="K418" s="1027" t="s">
        <v>676</v>
      </c>
      <c r="L418" s="1029" t="s">
        <v>677</v>
      </c>
      <c r="M418" s="1092">
        <v>82400000</v>
      </c>
      <c r="N418" s="1083" t="s">
        <v>743</v>
      </c>
      <c r="O418" s="1083" t="s">
        <v>1551</v>
      </c>
      <c r="P418" s="1083"/>
      <c r="Q418" s="1027"/>
      <c r="R418" s="1022"/>
      <c r="S418" s="1130">
        <v>76</v>
      </c>
      <c r="T418" s="1156">
        <v>82400000</v>
      </c>
    </row>
    <row r="419" spans="1:20" s="995" customFormat="1" ht="102" x14ac:dyDescent="0.25">
      <c r="A419" s="1023">
        <v>2022414</v>
      </c>
      <c r="B419" s="1023">
        <v>7658</v>
      </c>
      <c r="C419" s="1023" t="s">
        <v>681</v>
      </c>
      <c r="D419" s="1039" t="s">
        <v>694</v>
      </c>
      <c r="E419" s="1040">
        <v>80111600</v>
      </c>
      <c r="F419" s="1026" t="s">
        <v>1079</v>
      </c>
      <c r="G419" s="1027" t="s">
        <v>1548</v>
      </c>
      <c r="H419" s="1141" t="s">
        <v>1548</v>
      </c>
      <c r="I419" s="1027">
        <v>10</v>
      </c>
      <c r="J419" s="1027" t="s">
        <v>1576</v>
      </c>
      <c r="K419" s="1027" t="s">
        <v>676</v>
      </c>
      <c r="L419" s="1029" t="s">
        <v>677</v>
      </c>
      <c r="M419" s="1092">
        <v>42000000</v>
      </c>
      <c r="N419" s="1083" t="s">
        <v>743</v>
      </c>
      <c r="O419" s="1083" t="s">
        <v>1551</v>
      </c>
      <c r="P419" s="1083"/>
      <c r="Q419" s="1027"/>
      <c r="R419" s="1022"/>
      <c r="S419" s="1130">
        <v>108</v>
      </c>
      <c r="T419" s="1156">
        <v>42000000</v>
      </c>
    </row>
    <row r="420" spans="1:20" s="995" customFormat="1" ht="102" x14ac:dyDescent="0.25">
      <c r="A420" s="1023">
        <v>2022415</v>
      </c>
      <c r="B420" s="1023">
        <v>7658</v>
      </c>
      <c r="C420" s="1023" t="s">
        <v>681</v>
      </c>
      <c r="D420" s="1039" t="s">
        <v>694</v>
      </c>
      <c r="E420" s="1040">
        <v>80111600</v>
      </c>
      <c r="F420" s="1026" t="s">
        <v>1080</v>
      </c>
      <c r="G420" s="1027" t="s">
        <v>1548</v>
      </c>
      <c r="H420" s="1141" t="s">
        <v>1548</v>
      </c>
      <c r="I420" s="1027">
        <v>10</v>
      </c>
      <c r="J420" s="1027" t="s">
        <v>1576</v>
      </c>
      <c r="K420" s="1027" t="s">
        <v>676</v>
      </c>
      <c r="L420" s="1029" t="s">
        <v>677</v>
      </c>
      <c r="M420" s="1092">
        <v>50000000</v>
      </c>
      <c r="N420" s="1083" t="s">
        <v>743</v>
      </c>
      <c r="O420" s="1083" t="s">
        <v>1551</v>
      </c>
      <c r="P420" s="1083"/>
      <c r="Q420" s="1027"/>
      <c r="R420" s="1022"/>
      <c r="S420" s="1130">
        <v>333</v>
      </c>
      <c r="T420" s="1156">
        <v>50000000</v>
      </c>
    </row>
    <row r="421" spans="1:20" s="995" customFormat="1" ht="102" x14ac:dyDescent="0.25">
      <c r="A421" s="1023">
        <v>2022416</v>
      </c>
      <c r="B421" s="1023">
        <v>7658</v>
      </c>
      <c r="C421" s="1023" t="s">
        <v>681</v>
      </c>
      <c r="D421" s="1039" t="s">
        <v>694</v>
      </c>
      <c r="E421" s="1040">
        <v>80111600</v>
      </c>
      <c r="F421" s="1026" t="s">
        <v>1081</v>
      </c>
      <c r="G421" s="1027" t="s">
        <v>1548</v>
      </c>
      <c r="H421" s="1141" t="s">
        <v>1548</v>
      </c>
      <c r="I421" s="1027">
        <v>6</v>
      </c>
      <c r="J421" s="1027" t="s">
        <v>1576</v>
      </c>
      <c r="K421" s="1027" t="s">
        <v>676</v>
      </c>
      <c r="L421" s="1029" t="s">
        <v>677</v>
      </c>
      <c r="M421" s="1092">
        <v>20100000</v>
      </c>
      <c r="N421" s="1083" t="s">
        <v>743</v>
      </c>
      <c r="O421" s="1083" t="s">
        <v>1551</v>
      </c>
      <c r="P421" s="1083"/>
      <c r="Q421" s="1027"/>
      <c r="R421" s="1022"/>
      <c r="S421" s="1130">
        <v>109</v>
      </c>
      <c r="T421" s="1156">
        <v>13400000</v>
      </c>
    </row>
    <row r="422" spans="1:20" s="995" customFormat="1" ht="102" x14ac:dyDescent="0.25">
      <c r="A422" s="1023">
        <v>2022417</v>
      </c>
      <c r="B422" s="1023">
        <v>7658</v>
      </c>
      <c r="C422" s="1023" t="s">
        <v>681</v>
      </c>
      <c r="D422" s="1039" t="s">
        <v>694</v>
      </c>
      <c r="E422" s="1040">
        <v>80111600</v>
      </c>
      <c r="F422" s="1026" t="s">
        <v>1082</v>
      </c>
      <c r="G422" s="1027" t="s">
        <v>1548</v>
      </c>
      <c r="H422" s="1141" t="s">
        <v>1548</v>
      </c>
      <c r="I422" s="1027">
        <v>4</v>
      </c>
      <c r="J422" s="1027" t="s">
        <v>1576</v>
      </c>
      <c r="K422" s="1027" t="s">
        <v>676</v>
      </c>
      <c r="L422" s="1029" t="s">
        <v>677</v>
      </c>
      <c r="M422" s="1092">
        <v>20600000</v>
      </c>
      <c r="N422" s="1083" t="s">
        <v>743</v>
      </c>
      <c r="O422" s="1083" t="s">
        <v>1551</v>
      </c>
      <c r="P422" s="1083"/>
      <c r="Q422" s="1027"/>
      <c r="R422" s="1022"/>
      <c r="S422" s="1130">
        <v>106</v>
      </c>
      <c r="T422" s="1156">
        <v>20600000</v>
      </c>
    </row>
    <row r="423" spans="1:20" s="995" customFormat="1" ht="102" x14ac:dyDescent="0.25">
      <c r="A423" s="1013">
        <v>2022418</v>
      </c>
      <c r="B423" s="1013">
        <v>7658</v>
      </c>
      <c r="C423" s="1013" t="s">
        <v>681</v>
      </c>
      <c r="D423" s="1045" t="s">
        <v>694</v>
      </c>
      <c r="E423" s="1046">
        <v>80111600</v>
      </c>
      <c r="F423" s="1016" t="s">
        <v>1082</v>
      </c>
      <c r="G423" s="1017" t="s">
        <v>1548</v>
      </c>
      <c r="H423" s="1141" t="s">
        <v>1548</v>
      </c>
      <c r="I423" s="1017">
        <v>6</v>
      </c>
      <c r="J423" s="1017" t="s">
        <v>1576</v>
      </c>
      <c r="K423" s="1017" t="s">
        <v>676</v>
      </c>
      <c r="L423" s="1019" t="s">
        <v>677</v>
      </c>
      <c r="M423" s="1093">
        <v>30900000</v>
      </c>
      <c r="N423" s="1037" t="s">
        <v>743</v>
      </c>
      <c r="O423" s="1037" t="s">
        <v>1551</v>
      </c>
      <c r="P423" s="1037"/>
      <c r="Q423" s="1017"/>
      <c r="R423" s="1022"/>
      <c r="S423" s="1130"/>
      <c r="T423" s="1156"/>
    </row>
    <row r="424" spans="1:20" s="995" customFormat="1" ht="102" x14ac:dyDescent="0.25">
      <c r="A424" s="1023">
        <v>2022419</v>
      </c>
      <c r="B424" s="1023">
        <v>7658</v>
      </c>
      <c r="C424" s="1023" t="s">
        <v>681</v>
      </c>
      <c r="D424" s="1039" t="s">
        <v>694</v>
      </c>
      <c r="E424" s="1040">
        <v>80111600</v>
      </c>
      <c r="F424" s="1026" t="s">
        <v>1084</v>
      </c>
      <c r="G424" s="1027" t="s">
        <v>1548</v>
      </c>
      <c r="H424" s="1141" t="s">
        <v>1548</v>
      </c>
      <c r="I424" s="1027">
        <v>10</v>
      </c>
      <c r="J424" s="1027" t="s">
        <v>1576</v>
      </c>
      <c r="K424" s="1027" t="s">
        <v>676</v>
      </c>
      <c r="L424" s="1029" t="s">
        <v>677</v>
      </c>
      <c r="M424" s="1092">
        <v>28000000</v>
      </c>
      <c r="N424" s="1083" t="s">
        <v>743</v>
      </c>
      <c r="O424" s="1083" t="s">
        <v>1551</v>
      </c>
      <c r="P424" s="1083"/>
      <c r="Q424" s="1027"/>
      <c r="R424" s="1022"/>
      <c r="S424" s="1130">
        <v>298</v>
      </c>
      <c r="T424" s="1156">
        <v>28000000</v>
      </c>
    </row>
    <row r="425" spans="1:20" s="995" customFormat="1" ht="102" x14ac:dyDescent="0.25">
      <c r="A425" s="1023">
        <v>2022420</v>
      </c>
      <c r="B425" s="1023">
        <v>7658</v>
      </c>
      <c r="C425" s="1023" t="s">
        <v>681</v>
      </c>
      <c r="D425" s="1039" t="s">
        <v>694</v>
      </c>
      <c r="E425" s="1040">
        <v>80111600</v>
      </c>
      <c r="F425" s="1026" t="s">
        <v>1085</v>
      </c>
      <c r="G425" s="1027" t="s">
        <v>1548</v>
      </c>
      <c r="H425" s="1141" t="s">
        <v>1548</v>
      </c>
      <c r="I425" s="1027">
        <v>10</v>
      </c>
      <c r="J425" s="1027" t="s">
        <v>1576</v>
      </c>
      <c r="K425" s="1027" t="s">
        <v>676</v>
      </c>
      <c r="L425" s="1029" t="s">
        <v>677</v>
      </c>
      <c r="M425" s="1092">
        <v>28500000</v>
      </c>
      <c r="N425" s="1083" t="s">
        <v>743</v>
      </c>
      <c r="O425" s="1083" t="s">
        <v>1551</v>
      </c>
      <c r="P425" s="1083"/>
      <c r="Q425" s="1027"/>
      <c r="R425" s="1022"/>
      <c r="S425" s="1130">
        <v>206</v>
      </c>
      <c r="T425" s="1156">
        <v>28500000</v>
      </c>
    </row>
    <row r="426" spans="1:20" s="995" customFormat="1" ht="102" x14ac:dyDescent="0.25">
      <c r="A426" s="1023">
        <v>2022421</v>
      </c>
      <c r="B426" s="1023">
        <v>7658</v>
      </c>
      <c r="C426" s="1023" t="s">
        <v>681</v>
      </c>
      <c r="D426" s="1039" t="s">
        <v>694</v>
      </c>
      <c r="E426" s="1040">
        <v>80111600</v>
      </c>
      <c r="F426" s="1026" t="s">
        <v>1086</v>
      </c>
      <c r="G426" s="1027" t="s">
        <v>1548</v>
      </c>
      <c r="H426" s="1141" t="s">
        <v>1548</v>
      </c>
      <c r="I426" s="1027">
        <v>10</v>
      </c>
      <c r="J426" s="1027" t="s">
        <v>1576</v>
      </c>
      <c r="K426" s="1027" t="s">
        <v>676</v>
      </c>
      <c r="L426" s="1029" t="s">
        <v>677</v>
      </c>
      <c r="M426" s="1092">
        <v>45000000</v>
      </c>
      <c r="N426" s="1083" t="s">
        <v>743</v>
      </c>
      <c r="O426" s="1083" t="s">
        <v>1551</v>
      </c>
      <c r="P426" s="1083"/>
      <c r="Q426" s="1027"/>
      <c r="R426" s="1022"/>
      <c r="S426" s="1130">
        <v>392</v>
      </c>
      <c r="T426" s="1156">
        <v>38500000</v>
      </c>
    </row>
    <row r="427" spans="1:20" s="995" customFormat="1" ht="102" x14ac:dyDescent="0.25">
      <c r="A427" s="1023">
        <v>2022422</v>
      </c>
      <c r="B427" s="1023">
        <v>7658</v>
      </c>
      <c r="C427" s="1023" t="s">
        <v>681</v>
      </c>
      <c r="D427" s="1039" t="s">
        <v>694</v>
      </c>
      <c r="E427" s="1040">
        <v>80111600</v>
      </c>
      <c r="F427" s="1026" t="s">
        <v>1087</v>
      </c>
      <c r="G427" s="1027" t="s">
        <v>1548</v>
      </c>
      <c r="H427" s="1141" t="s">
        <v>1548</v>
      </c>
      <c r="I427" s="1027">
        <v>10</v>
      </c>
      <c r="J427" s="1027" t="s">
        <v>1576</v>
      </c>
      <c r="K427" s="1027" t="s">
        <v>676</v>
      </c>
      <c r="L427" s="1029" t="s">
        <v>677</v>
      </c>
      <c r="M427" s="1092">
        <v>33000000</v>
      </c>
      <c r="N427" s="1083" t="s">
        <v>743</v>
      </c>
      <c r="O427" s="1083" t="s">
        <v>1551</v>
      </c>
      <c r="P427" s="1083"/>
      <c r="Q427" s="1027"/>
      <c r="R427" s="1022"/>
      <c r="S427" s="1130">
        <v>273</v>
      </c>
      <c r="T427" s="1156">
        <v>33000000</v>
      </c>
    </row>
    <row r="428" spans="1:20" s="995" customFormat="1" ht="102" x14ac:dyDescent="0.25">
      <c r="A428" s="1023">
        <v>2022423</v>
      </c>
      <c r="B428" s="1023">
        <v>7658</v>
      </c>
      <c r="C428" s="1023" t="s">
        <v>681</v>
      </c>
      <c r="D428" s="1039" t="s">
        <v>694</v>
      </c>
      <c r="E428" s="1040">
        <v>80111600</v>
      </c>
      <c r="F428" s="1026" t="s">
        <v>1087</v>
      </c>
      <c r="G428" s="1027" t="s">
        <v>1548</v>
      </c>
      <c r="H428" s="1141" t="s">
        <v>1548</v>
      </c>
      <c r="I428" s="1027">
        <v>10</v>
      </c>
      <c r="J428" s="1027" t="s">
        <v>1576</v>
      </c>
      <c r="K428" s="1027" t="s">
        <v>676</v>
      </c>
      <c r="L428" s="1029" t="s">
        <v>677</v>
      </c>
      <c r="M428" s="1092">
        <v>24500000</v>
      </c>
      <c r="N428" s="1083" t="s">
        <v>743</v>
      </c>
      <c r="O428" s="1083" t="s">
        <v>1551</v>
      </c>
      <c r="P428" s="1083"/>
      <c r="Q428" s="1027"/>
      <c r="R428" s="1022"/>
      <c r="S428" s="1130">
        <v>297</v>
      </c>
      <c r="T428" s="1156">
        <v>24500000</v>
      </c>
    </row>
    <row r="429" spans="1:20" s="995" customFormat="1" ht="102" x14ac:dyDescent="0.25">
      <c r="A429" s="1023">
        <v>2022424</v>
      </c>
      <c r="B429" s="1023">
        <v>7658</v>
      </c>
      <c r="C429" s="1023" t="s">
        <v>681</v>
      </c>
      <c r="D429" s="1039" t="s">
        <v>694</v>
      </c>
      <c r="E429" s="1040">
        <v>80111600</v>
      </c>
      <c r="F429" s="1026" t="s">
        <v>1087</v>
      </c>
      <c r="G429" s="1027" t="s">
        <v>1548</v>
      </c>
      <c r="H429" s="1141" t="s">
        <v>1548</v>
      </c>
      <c r="I429" s="1027">
        <v>10</v>
      </c>
      <c r="J429" s="1027" t="s">
        <v>1576</v>
      </c>
      <c r="K429" s="1027" t="s">
        <v>676</v>
      </c>
      <c r="L429" s="1029" t="s">
        <v>677</v>
      </c>
      <c r="M429" s="1092">
        <v>33000000</v>
      </c>
      <c r="N429" s="1083" t="s">
        <v>743</v>
      </c>
      <c r="O429" s="1083" t="s">
        <v>1551</v>
      </c>
      <c r="P429" s="1083"/>
      <c r="Q429" s="1027"/>
      <c r="R429" s="1022"/>
      <c r="S429" s="1130">
        <v>471</v>
      </c>
      <c r="T429" s="1156">
        <v>19800000</v>
      </c>
    </row>
    <row r="430" spans="1:20" s="995" customFormat="1" ht="102" x14ac:dyDescent="0.25">
      <c r="A430" s="1023">
        <v>2022425</v>
      </c>
      <c r="B430" s="1023">
        <v>7658</v>
      </c>
      <c r="C430" s="1023" t="s">
        <v>681</v>
      </c>
      <c r="D430" s="1039" t="s">
        <v>694</v>
      </c>
      <c r="E430" s="1040">
        <v>80111600</v>
      </c>
      <c r="F430" s="1026" t="s">
        <v>1087</v>
      </c>
      <c r="G430" s="1027" t="s">
        <v>1548</v>
      </c>
      <c r="H430" s="1141" t="s">
        <v>1548</v>
      </c>
      <c r="I430" s="1027">
        <v>10</v>
      </c>
      <c r="J430" s="1027" t="s">
        <v>1576</v>
      </c>
      <c r="K430" s="1027" t="s">
        <v>676</v>
      </c>
      <c r="L430" s="1029" t="s">
        <v>677</v>
      </c>
      <c r="M430" s="1092">
        <v>27500000</v>
      </c>
      <c r="N430" s="1083" t="s">
        <v>743</v>
      </c>
      <c r="O430" s="1083" t="s">
        <v>1551</v>
      </c>
      <c r="P430" s="1083"/>
      <c r="Q430" s="1027"/>
      <c r="R430" s="1022"/>
      <c r="S430" s="1130">
        <v>348</v>
      </c>
      <c r="T430" s="1156">
        <v>26400000</v>
      </c>
    </row>
    <row r="431" spans="1:20" s="995" customFormat="1" ht="102" x14ac:dyDescent="0.25">
      <c r="A431" s="1023">
        <v>2022426</v>
      </c>
      <c r="B431" s="1023">
        <v>7658</v>
      </c>
      <c r="C431" s="1023" t="s">
        <v>681</v>
      </c>
      <c r="D431" s="1039" t="s">
        <v>694</v>
      </c>
      <c r="E431" s="1040">
        <v>80111600</v>
      </c>
      <c r="F431" s="1026" t="s">
        <v>1087</v>
      </c>
      <c r="G431" s="1027" t="s">
        <v>1548</v>
      </c>
      <c r="H431" s="1141" t="s">
        <v>1548</v>
      </c>
      <c r="I431" s="1027">
        <v>10</v>
      </c>
      <c r="J431" s="1027" t="s">
        <v>1576</v>
      </c>
      <c r="K431" s="1027" t="s">
        <v>676</v>
      </c>
      <c r="L431" s="1029" t="s">
        <v>677</v>
      </c>
      <c r="M431" s="1092">
        <v>33000000</v>
      </c>
      <c r="N431" s="1083" t="s">
        <v>743</v>
      </c>
      <c r="O431" s="1083" t="s">
        <v>1551</v>
      </c>
      <c r="P431" s="1083"/>
      <c r="Q431" s="1027"/>
      <c r="R431" s="1022"/>
      <c r="S431" s="1130">
        <v>427</v>
      </c>
      <c r="T431" s="1156">
        <v>14700000</v>
      </c>
    </row>
    <row r="432" spans="1:20" s="995" customFormat="1" ht="102" x14ac:dyDescent="0.25">
      <c r="A432" s="1023">
        <v>2022427</v>
      </c>
      <c r="B432" s="1023">
        <v>7658</v>
      </c>
      <c r="C432" s="1023" t="s">
        <v>681</v>
      </c>
      <c r="D432" s="1039" t="s">
        <v>694</v>
      </c>
      <c r="E432" s="1040">
        <v>80111600</v>
      </c>
      <c r="F432" s="1026" t="s">
        <v>1087</v>
      </c>
      <c r="G432" s="1027" t="s">
        <v>1548</v>
      </c>
      <c r="H432" s="1141" t="s">
        <v>1548</v>
      </c>
      <c r="I432" s="1027">
        <v>10</v>
      </c>
      <c r="J432" s="1027" t="s">
        <v>1576</v>
      </c>
      <c r="K432" s="1027" t="s">
        <v>676</v>
      </c>
      <c r="L432" s="1029" t="s">
        <v>677</v>
      </c>
      <c r="M432" s="1092">
        <v>33000000</v>
      </c>
      <c r="N432" s="1083" t="s">
        <v>743</v>
      </c>
      <c r="O432" s="1083" t="s">
        <v>1551</v>
      </c>
      <c r="P432" s="1083"/>
      <c r="Q432" s="1027"/>
      <c r="R432" s="1022"/>
      <c r="S432" s="1130">
        <v>334</v>
      </c>
      <c r="T432" s="1156">
        <v>33000000</v>
      </c>
    </row>
    <row r="433" spans="1:20" s="995" customFormat="1" ht="102" x14ac:dyDescent="0.25">
      <c r="A433" s="1023">
        <v>2022428</v>
      </c>
      <c r="B433" s="1023">
        <v>7658</v>
      </c>
      <c r="C433" s="1023" t="s">
        <v>681</v>
      </c>
      <c r="D433" s="1039" t="s">
        <v>694</v>
      </c>
      <c r="E433" s="1040">
        <v>80111600</v>
      </c>
      <c r="F433" s="1026" t="s">
        <v>1084</v>
      </c>
      <c r="G433" s="1027" t="s">
        <v>1548</v>
      </c>
      <c r="H433" s="1141" t="s">
        <v>1548</v>
      </c>
      <c r="I433" s="1027">
        <v>10</v>
      </c>
      <c r="J433" s="1027" t="s">
        <v>1576</v>
      </c>
      <c r="K433" s="1027" t="s">
        <v>676</v>
      </c>
      <c r="L433" s="1029" t="s">
        <v>677</v>
      </c>
      <c r="M433" s="1092">
        <v>28000000</v>
      </c>
      <c r="N433" s="1083" t="s">
        <v>743</v>
      </c>
      <c r="O433" s="1083" t="s">
        <v>1551</v>
      </c>
      <c r="P433" s="1083"/>
      <c r="Q433" s="1027"/>
      <c r="R433" s="1022"/>
      <c r="S433" s="1130">
        <v>216</v>
      </c>
      <c r="T433" s="1156">
        <v>28000000</v>
      </c>
    </row>
    <row r="434" spans="1:20" s="995" customFormat="1" ht="102" x14ac:dyDescent="0.25">
      <c r="A434" s="1023">
        <v>2022429</v>
      </c>
      <c r="B434" s="1023">
        <v>7658</v>
      </c>
      <c r="C434" s="1023" t="s">
        <v>681</v>
      </c>
      <c r="D434" s="1039" t="s">
        <v>694</v>
      </c>
      <c r="E434" s="1040">
        <v>80111600</v>
      </c>
      <c r="F434" s="1026" t="s">
        <v>1084</v>
      </c>
      <c r="G434" s="1027" t="s">
        <v>1548</v>
      </c>
      <c r="H434" s="1141" t="s">
        <v>1548</v>
      </c>
      <c r="I434" s="1027">
        <v>10</v>
      </c>
      <c r="J434" s="1027" t="s">
        <v>1576</v>
      </c>
      <c r="K434" s="1027" t="s">
        <v>676</v>
      </c>
      <c r="L434" s="1029" t="s">
        <v>677</v>
      </c>
      <c r="M434" s="1092">
        <v>28000000</v>
      </c>
      <c r="N434" s="1083" t="s">
        <v>743</v>
      </c>
      <c r="O434" s="1083" t="s">
        <v>1551</v>
      </c>
      <c r="P434" s="1083"/>
      <c r="Q434" s="1027"/>
      <c r="R434" s="1022"/>
      <c r="S434" s="1130">
        <v>410</v>
      </c>
      <c r="T434" s="1156">
        <v>28000000</v>
      </c>
    </row>
    <row r="435" spans="1:20" s="995" customFormat="1" ht="102" x14ac:dyDescent="0.25">
      <c r="A435" s="1023">
        <v>2022430</v>
      </c>
      <c r="B435" s="1023">
        <v>7658</v>
      </c>
      <c r="C435" s="1023" t="s">
        <v>681</v>
      </c>
      <c r="D435" s="1039" t="s">
        <v>694</v>
      </c>
      <c r="E435" s="1040">
        <v>80111600</v>
      </c>
      <c r="F435" s="1026" t="s">
        <v>1088</v>
      </c>
      <c r="G435" s="1027" t="s">
        <v>1548</v>
      </c>
      <c r="H435" s="1141" t="s">
        <v>1548</v>
      </c>
      <c r="I435" s="1027">
        <v>10</v>
      </c>
      <c r="J435" s="1027" t="s">
        <v>1576</v>
      </c>
      <c r="K435" s="1027" t="s">
        <v>676</v>
      </c>
      <c r="L435" s="1029" t="s">
        <v>677</v>
      </c>
      <c r="M435" s="1092">
        <v>45000000</v>
      </c>
      <c r="N435" s="1083" t="s">
        <v>743</v>
      </c>
      <c r="O435" s="1083" t="s">
        <v>1551</v>
      </c>
      <c r="P435" s="1083"/>
      <c r="Q435" s="1027"/>
      <c r="R435" s="1022"/>
      <c r="S435" s="1130">
        <v>277</v>
      </c>
      <c r="T435" s="1156">
        <v>45000000</v>
      </c>
    </row>
    <row r="436" spans="1:20" s="995" customFormat="1" ht="102" x14ac:dyDescent="0.25">
      <c r="A436" s="1023">
        <v>2022431</v>
      </c>
      <c r="B436" s="1023">
        <v>7658</v>
      </c>
      <c r="C436" s="1023" t="s">
        <v>681</v>
      </c>
      <c r="D436" s="1039" t="s">
        <v>694</v>
      </c>
      <c r="E436" s="1040">
        <v>80111600</v>
      </c>
      <c r="F436" s="1026" t="s">
        <v>1089</v>
      </c>
      <c r="G436" s="1027" t="s">
        <v>1548</v>
      </c>
      <c r="H436" s="1141" t="s">
        <v>1548</v>
      </c>
      <c r="I436" s="1027">
        <v>10</v>
      </c>
      <c r="J436" s="1027" t="s">
        <v>1576</v>
      </c>
      <c r="K436" s="1027" t="s">
        <v>676</v>
      </c>
      <c r="L436" s="1029" t="s">
        <v>677</v>
      </c>
      <c r="M436" s="1092">
        <v>24500000</v>
      </c>
      <c r="N436" s="1083" t="s">
        <v>743</v>
      </c>
      <c r="O436" s="1083" t="s">
        <v>1551</v>
      </c>
      <c r="P436" s="1083"/>
      <c r="Q436" s="1027"/>
      <c r="R436" s="1022"/>
      <c r="S436" s="1130">
        <v>198</v>
      </c>
      <c r="T436" s="1156">
        <v>24500000</v>
      </c>
    </row>
    <row r="437" spans="1:20" s="995" customFormat="1" ht="102" x14ac:dyDescent="0.25">
      <c r="A437" s="1023">
        <v>2022432</v>
      </c>
      <c r="B437" s="1023">
        <v>7658</v>
      </c>
      <c r="C437" s="1023" t="s">
        <v>681</v>
      </c>
      <c r="D437" s="1039" t="s">
        <v>694</v>
      </c>
      <c r="E437" s="1040">
        <v>80111600</v>
      </c>
      <c r="F437" s="1026" t="s">
        <v>1089</v>
      </c>
      <c r="G437" s="1027" t="s">
        <v>1548</v>
      </c>
      <c r="H437" s="1141" t="s">
        <v>1548</v>
      </c>
      <c r="I437" s="1027">
        <v>10</v>
      </c>
      <c r="J437" s="1027" t="s">
        <v>1576</v>
      </c>
      <c r="K437" s="1027" t="s">
        <v>676</v>
      </c>
      <c r="L437" s="1029" t="s">
        <v>677</v>
      </c>
      <c r="M437" s="1092">
        <v>33000000</v>
      </c>
      <c r="N437" s="1083" t="s">
        <v>743</v>
      </c>
      <c r="O437" s="1083" t="s">
        <v>1551</v>
      </c>
      <c r="P437" s="1083"/>
      <c r="Q437" s="1027"/>
      <c r="R437" s="1022"/>
      <c r="S437" s="1130">
        <v>193</v>
      </c>
      <c r="T437" s="1156">
        <v>33000000</v>
      </c>
    </row>
    <row r="438" spans="1:20" s="995" customFormat="1" ht="102" x14ac:dyDescent="0.25">
      <c r="A438" s="1023">
        <v>2022433</v>
      </c>
      <c r="B438" s="1023">
        <v>7658</v>
      </c>
      <c r="C438" s="1023" t="s">
        <v>681</v>
      </c>
      <c r="D438" s="1039" t="s">
        <v>694</v>
      </c>
      <c r="E438" s="1040">
        <v>80111600</v>
      </c>
      <c r="F438" s="1026" t="s">
        <v>1089</v>
      </c>
      <c r="G438" s="1027" t="s">
        <v>1548</v>
      </c>
      <c r="H438" s="1141" t="s">
        <v>1548</v>
      </c>
      <c r="I438" s="1027">
        <v>10</v>
      </c>
      <c r="J438" s="1027" t="s">
        <v>1576</v>
      </c>
      <c r="K438" s="1027" t="s">
        <v>676</v>
      </c>
      <c r="L438" s="1029" t="s">
        <v>677</v>
      </c>
      <c r="M438" s="1092">
        <v>32000000</v>
      </c>
      <c r="N438" s="1083" t="s">
        <v>743</v>
      </c>
      <c r="O438" s="1083" t="s">
        <v>1551</v>
      </c>
      <c r="P438" s="1083"/>
      <c r="Q438" s="1027"/>
      <c r="R438" s="1022"/>
      <c r="S438" s="1130">
        <v>217</v>
      </c>
      <c r="T438" s="1156">
        <v>32000000</v>
      </c>
    </row>
    <row r="439" spans="1:20" s="995" customFormat="1" ht="102" x14ac:dyDescent="0.25">
      <c r="A439" s="1023">
        <v>2022434</v>
      </c>
      <c r="B439" s="1023">
        <v>7658</v>
      </c>
      <c r="C439" s="1023" t="s">
        <v>681</v>
      </c>
      <c r="D439" s="1039" t="s">
        <v>694</v>
      </c>
      <c r="E439" s="1040">
        <v>80111600</v>
      </c>
      <c r="F439" s="1026" t="s">
        <v>1089</v>
      </c>
      <c r="G439" s="1027" t="s">
        <v>1548</v>
      </c>
      <c r="H439" s="1141" t="s">
        <v>1548</v>
      </c>
      <c r="I439" s="1027">
        <v>10</v>
      </c>
      <c r="J439" s="1027" t="s">
        <v>1576</v>
      </c>
      <c r="K439" s="1027" t="s">
        <v>676</v>
      </c>
      <c r="L439" s="1029" t="s">
        <v>677</v>
      </c>
      <c r="M439" s="1092">
        <v>24500000</v>
      </c>
      <c r="N439" s="1083" t="s">
        <v>743</v>
      </c>
      <c r="O439" s="1083" t="s">
        <v>1551</v>
      </c>
      <c r="P439" s="1083"/>
      <c r="Q439" s="1027"/>
      <c r="R439" s="1022"/>
      <c r="S439" s="1130">
        <v>134</v>
      </c>
      <c r="T439" s="1156">
        <v>24500000</v>
      </c>
    </row>
    <row r="440" spans="1:20" s="995" customFormat="1" ht="102" x14ac:dyDescent="0.25">
      <c r="A440" s="1023">
        <v>2022435</v>
      </c>
      <c r="B440" s="1023">
        <v>7658</v>
      </c>
      <c r="C440" s="1023" t="s">
        <v>681</v>
      </c>
      <c r="D440" s="1039" t="s">
        <v>694</v>
      </c>
      <c r="E440" s="1040">
        <v>80111600</v>
      </c>
      <c r="F440" s="1026" t="s">
        <v>1089</v>
      </c>
      <c r="G440" s="1027" t="s">
        <v>1548</v>
      </c>
      <c r="H440" s="1141" t="s">
        <v>1548</v>
      </c>
      <c r="I440" s="1027">
        <v>10</v>
      </c>
      <c r="J440" s="1027" t="s">
        <v>1576</v>
      </c>
      <c r="K440" s="1027" t="s">
        <v>676</v>
      </c>
      <c r="L440" s="1029" t="s">
        <v>677</v>
      </c>
      <c r="M440" s="1092">
        <v>28500000</v>
      </c>
      <c r="N440" s="1083" t="s">
        <v>743</v>
      </c>
      <c r="O440" s="1083" t="s">
        <v>1551</v>
      </c>
      <c r="P440" s="1083"/>
      <c r="Q440" s="1027"/>
      <c r="R440" s="1022"/>
      <c r="S440" s="1130">
        <v>358</v>
      </c>
      <c r="T440" s="1156">
        <v>28500000</v>
      </c>
    </row>
    <row r="441" spans="1:20" s="995" customFormat="1" ht="102" x14ac:dyDescent="0.25">
      <c r="A441" s="1023">
        <v>2022436</v>
      </c>
      <c r="B441" s="1023">
        <v>7658</v>
      </c>
      <c r="C441" s="1023" t="s">
        <v>681</v>
      </c>
      <c r="D441" s="1039" t="s">
        <v>694</v>
      </c>
      <c r="E441" s="1040">
        <v>80111600</v>
      </c>
      <c r="F441" s="1026" t="s">
        <v>1089</v>
      </c>
      <c r="G441" s="1027" t="s">
        <v>1548</v>
      </c>
      <c r="H441" s="1141" t="s">
        <v>1548</v>
      </c>
      <c r="I441" s="1027">
        <v>10</v>
      </c>
      <c r="J441" s="1027" t="s">
        <v>1576</v>
      </c>
      <c r="K441" s="1027" t="s">
        <v>676</v>
      </c>
      <c r="L441" s="1029" t="s">
        <v>677</v>
      </c>
      <c r="M441" s="1092">
        <v>28500000</v>
      </c>
      <c r="N441" s="1083" t="s">
        <v>743</v>
      </c>
      <c r="O441" s="1083" t="s">
        <v>1551</v>
      </c>
      <c r="P441" s="1083"/>
      <c r="Q441" s="1027"/>
      <c r="R441" s="1022"/>
      <c r="S441" s="1130">
        <v>292</v>
      </c>
      <c r="T441" s="1156">
        <v>28500000</v>
      </c>
    </row>
    <row r="442" spans="1:20" s="995" customFormat="1" ht="102" x14ac:dyDescent="0.25">
      <c r="A442" s="1023">
        <v>2022437</v>
      </c>
      <c r="B442" s="1023">
        <v>7658</v>
      </c>
      <c r="C442" s="1023" t="s">
        <v>681</v>
      </c>
      <c r="D442" s="1039" t="s">
        <v>694</v>
      </c>
      <c r="E442" s="1040">
        <v>80111600</v>
      </c>
      <c r="F442" s="1026" t="s">
        <v>1089</v>
      </c>
      <c r="G442" s="1027" t="s">
        <v>1548</v>
      </c>
      <c r="H442" s="1141" t="s">
        <v>1548</v>
      </c>
      <c r="I442" s="1027">
        <v>10</v>
      </c>
      <c r="J442" s="1027" t="s">
        <v>1576</v>
      </c>
      <c r="K442" s="1027" t="s">
        <v>676</v>
      </c>
      <c r="L442" s="1029" t="s">
        <v>677</v>
      </c>
      <c r="M442" s="1092">
        <v>24500000</v>
      </c>
      <c r="N442" s="1083" t="s">
        <v>743</v>
      </c>
      <c r="O442" s="1083" t="s">
        <v>1551</v>
      </c>
      <c r="P442" s="1083"/>
      <c r="Q442" s="1027"/>
      <c r="R442" s="1022"/>
      <c r="S442" s="1130">
        <v>197</v>
      </c>
      <c r="T442" s="1156">
        <v>24500000</v>
      </c>
    </row>
    <row r="443" spans="1:20" s="995" customFormat="1" ht="102" x14ac:dyDescent="0.25">
      <c r="A443" s="1023">
        <v>2022438</v>
      </c>
      <c r="B443" s="1023">
        <v>7658</v>
      </c>
      <c r="C443" s="1023" t="s">
        <v>681</v>
      </c>
      <c r="D443" s="1039" t="s">
        <v>694</v>
      </c>
      <c r="E443" s="1040">
        <v>80111600</v>
      </c>
      <c r="F443" s="1026" t="s">
        <v>1089</v>
      </c>
      <c r="G443" s="1027" t="s">
        <v>1548</v>
      </c>
      <c r="H443" s="1141" t="s">
        <v>1548</v>
      </c>
      <c r="I443" s="1027">
        <v>10</v>
      </c>
      <c r="J443" s="1027" t="s">
        <v>1576</v>
      </c>
      <c r="K443" s="1027" t="s">
        <v>676</v>
      </c>
      <c r="L443" s="1029" t="s">
        <v>677</v>
      </c>
      <c r="M443" s="1092">
        <v>24500000</v>
      </c>
      <c r="N443" s="1083" t="s">
        <v>743</v>
      </c>
      <c r="O443" s="1083" t="s">
        <v>1551</v>
      </c>
      <c r="P443" s="1083"/>
      <c r="Q443" s="1027"/>
      <c r="R443" s="1022"/>
      <c r="S443" s="1130">
        <v>137</v>
      </c>
      <c r="T443" s="1156">
        <v>24500000</v>
      </c>
    </row>
    <row r="444" spans="1:20" s="995" customFormat="1" ht="102" x14ac:dyDescent="0.25">
      <c r="A444" s="1023">
        <v>2022439</v>
      </c>
      <c r="B444" s="1023">
        <v>7658</v>
      </c>
      <c r="C444" s="1023" t="s">
        <v>681</v>
      </c>
      <c r="D444" s="1039" t="s">
        <v>694</v>
      </c>
      <c r="E444" s="1040">
        <v>80111600</v>
      </c>
      <c r="F444" s="1026" t="s">
        <v>1089</v>
      </c>
      <c r="G444" s="1027" t="s">
        <v>1548</v>
      </c>
      <c r="H444" s="1141" t="s">
        <v>1548</v>
      </c>
      <c r="I444" s="1027">
        <v>10</v>
      </c>
      <c r="J444" s="1027" t="s">
        <v>1576</v>
      </c>
      <c r="K444" s="1027" t="s">
        <v>676</v>
      </c>
      <c r="L444" s="1029" t="s">
        <v>677</v>
      </c>
      <c r="M444" s="1092">
        <v>18000000</v>
      </c>
      <c r="N444" s="1083" t="s">
        <v>743</v>
      </c>
      <c r="O444" s="1083" t="s">
        <v>1551</v>
      </c>
      <c r="P444" s="1083"/>
      <c r="Q444" s="1027"/>
      <c r="R444" s="1022"/>
      <c r="S444" s="1130">
        <v>357</v>
      </c>
      <c r="T444" s="1156">
        <v>18000000</v>
      </c>
    </row>
    <row r="445" spans="1:20" s="995" customFormat="1" ht="102" x14ac:dyDescent="0.25">
      <c r="A445" s="1023">
        <v>2022440</v>
      </c>
      <c r="B445" s="1023">
        <v>7658</v>
      </c>
      <c r="C445" s="1023" t="s">
        <v>681</v>
      </c>
      <c r="D445" s="1039" t="s">
        <v>694</v>
      </c>
      <c r="E445" s="1040">
        <v>80111600</v>
      </c>
      <c r="F445" s="1026" t="s">
        <v>1089</v>
      </c>
      <c r="G445" s="1027" t="s">
        <v>1548</v>
      </c>
      <c r="H445" s="1141" t="s">
        <v>1548</v>
      </c>
      <c r="I445" s="1027">
        <v>10</v>
      </c>
      <c r="J445" s="1027" t="s">
        <v>1576</v>
      </c>
      <c r="K445" s="1027" t="s">
        <v>676</v>
      </c>
      <c r="L445" s="1029" t="s">
        <v>677</v>
      </c>
      <c r="M445" s="1092">
        <v>24500000</v>
      </c>
      <c r="N445" s="1083" t="s">
        <v>743</v>
      </c>
      <c r="O445" s="1083" t="s">
        <v>1551</v>
      </c>
      <c r="P445" s="1083"/>
      <c r="Q445" s="1027"/>
      <c r="R445" s="1022"/>
      <c r="S445" s="1130">
        <v>199</v>
      </c>
      <c r="T445" s="1156">
        <v>24500000</v>
      </c>
    </row>
    <row r="446" spans="1:20" s="995" customFormat="1" ht="102" x14ac:dyDescent="0.25">
      <c r="A446" s="1023">
        <v>2022441</v>
      </c>
      <c r="B446" s="1023">
        <v>7658</v>
      </c>
      <c r="C446" s="1023" t="s">
        <v>681</v>
      </c>
      <c r="D446" s="1039" t="s">
        <v>694</v>
      </c>
      <c r="E446" s="1040">
        <v>80111600</v>
      </c>
      <c r="F446" s="1026" t="s">
        <v>1089</v>
      </c>
      <c r="G446" s="1027" t="s">
        <v>1548</v>
      </c>
      <c r="H446" s="1141" t="s">
        <v>1548</v>
      </c>
      <c r="I446" s="1027">
        <v>10</v>
      </c>
      <c r="J446" s="1027" t="s">
        <v>1576</v>
      </c>
      <c r="K446" s="1027" t="s">
        <v>676</v>
      </c>
      <c r="L446" s="1029" t="s">
        <v>677</v>
      </c>
      <c r="M446" s="1092">
        <v>28500000</v>
      </c>
      <c r="N446" s="1083" t="s">
        <v>743</v>
      </c>
      <c r="O446" s="1083" t="s">
        <v>1551</v>
      </c>
      <c r="P446" s="1083"/>
      <c r="Q446" s="1027"/>
      <c r="R446" s="1022"/>
      <c r="S446" s="1130">
        <v>286</v>
      </c>
      <c r="T446" s="1156">
        <v>28500000</v>
      </c>
    </row>
    <row r="447" spans="1:20" s="995" customFormat="1" ht="102" x14ac:dyDescent="0.25">
      <c r="A447" s="1023">
        <v>2022442</v>
      </c>
      <c r="B447" s="1023">
        <v>7658</v>
      </c>
      <c r="C447" s="1023" t="s">
        <v>681</v>
      </c>
      <c r="D447" s="1039" t="s">
        <v>694</v>
      </c>
      <c r="E447" s="1040">
        <v>80111600</v>
      </c>
      <c r="F447" s="1026" t="s">
        <v>1090</v>
      </c>
      <c r="G447" s="1027" t="s">
        <v>1548</v>
      </c>
      <c r="H447" s="1141" t="s">
        <v>1548</v>
      </c>
      <c r="I447" s="1027">
        <v>10</v>
      </c>
      <c r="J447" s="1027" t="s">
        <v>1576</v>
      </c>
      <c r="K447" s="1027" t="s">
        <v>676</v>
      </c>
      <c r="L447" s="1029" t="s">
        <v>677</v>
      </c>
      <c r="M447" s="1092">
        <v>56650000</v>
      </c>
      <c r="N447" s="1083" t="s">
        <v>743</v>
      </c>
      <c r="O447" s="1083" t="s">
        <v>1551</v>
      </c>
      <c r="P447" s="1083"/>
      <c r="Q447" s="1027"/>
      <c r="R447" s="1022"/>
      <c r="S447" s="1130">
        <v>278</v>
      </c>
      <c r="T447" s="1156">
        <v>56650000</v>
      </c>
    </row>
    <row r="448" spans="1:20" s="995" customFormat="1" ht="102" x14ac:dyDescent="0.25">
      <c r="A448" s="1023">
        <v>2022443</v>
      </c>
      <c r="B448" s="1023">
        <v>7658</v>
      </c>
      <c r="C448" s="1023" t="s">
        <v>681</v>
      </c>
      <c r="D448" s="1039" t="s">
        <v>694</v>
      </c>
      <c r="E448" s="1040">
        <v>80111600</v>
      </c>
      <c r="F448" s="1026" t="s">
        <v>1091</v>
      </c>
      <c r="G448" s="1027" t="s">
        <v>1548</v>
      </c>
      <c r="H448" s="1141" t="s">
        <v>1548</v>
      </c>
      <c r="I448" s="1027">
        <v>10</v>
      </c>
      <c r="J448" s="1027" t="s">
        <v>1576</v>
      </c>
      <c r="K448" s="1027" t="s">
        <v>676</v>
      </c>
      <c r="L448" s="1029" t="s">
        <v>677</v>
      </c>
      <c r="M448" s="1092">
        <v>46350000</v>
      </c>
      <c r="N448" s="1083" t="s">
        <v>743</v>
      </c>
      <c r="O448" s="1083" t="s">
        <v>1551</v>
      </c>
      <c r="P448" s="1083"/>
      <c r="Q448" s="1027"/>
      <c r="R448" s="1022"/>
      <c r="S448" s="1130">
        <v>304</v>
      </c>
      <c r="T448" s="1156">
        <v>46350000</v>
      </c>
    </row>
    <row r="449" spans="1:20" s="995" customFormat="1" ht="102" x14ac:dyDescent="0.25">
      <c r="A449" s="1023">
        <v>2022444</v>
      </c>
      <c r="B449" s="1023">
        <v>7658</v>
      </c>
      <c r="C449" s="1023" t="s">
        <v>681</v>
      </c>
      <c r="D449" s="1039" t="s">
        <v>694</v>
      </c>
      <c r="E449" s="1040">
        <v>80111600</v>
      </c>
      <c r="F449" s="1026" t="s">
        <v>1091</v>
      </c>
      <c r="G449" s="1027" t="s">
        <v>1548</v>
      </c>
      <c r="H449" s="1141" t="s">
        <v>1548</v>
      </c>
      <c r="I449" s="1027">
        <v>10</v>
      </c>
      <c r="J449" s="1027" t="s">
        <v>1576</v>
      </c>
      <c r="K449" s="1027" t="s">
        <v>676</v>
      </c>
      <c r="L449" s="1029" t="s">
        <v>677</v>
      </c>
      <c r="M449" s="1092">
        <v>45000000</v>
      </c>
      <c r="N449" s="1083" t="s">
        <v>743</v>
      </c>
      <c r="O449" s="1083" t="s">
        <v>1551</v>
      </c>
      <c r="P449" s="1083"/>
      <c r="Q449" s="1027"/>
      <c r="R449" s="1022"/>
      <c r="S449" s="1130">
        <v>274</v>
      </c>
      <c r="T449" s="1156">
        <v>45000000</v>
      </c>
    </row>
    <row r="450" spans="1:20" s="995" customFormat="1" ht="102" x14ac:dyDescent="0.25">
      <c r="A450" s="1023">
        <v>2022445</v>
      </c>
      <c r="B450" s="1023">
        <v>7658</v>
      </c>
      <c r="C450" s="1023" t="s">
        <v>681</v>
      </c>
      <c r="D450" s="1039" t="s">
        <v>694</v>
      </c>
      <c r="E450" s="1040">
        <v>80111600</v>
      </c>
      <c r="F450" s="1026" t="s">
        <v>1092</v>
      </c>
      <c r="G450" s="1027" t="s">
        <v>1548</v>
      </c>
      <c r="H450" s="1141" t="s">
        <v>1548</v>
      </c>
      <c r="I450" s="1027">
        <v>6</v>
      </c>
      <c r="J450" s="1027" t="s">
        <v>1576</v>
      </c>
      <c r="K450" s="1027" t="s">
        <v>676</v>
      </c>
      <c r="L450" s="1029" t="s">
        <v>677</v>
      </c>
      <c r="M450" s="1092">
        <v>27810000</v>
      </c>
      <c r="N450" s="1083" t="s">
        <v>743</v>
      </c>
      <c r="O450" s="1083" t="s">
        <v>1551</v>
      </c>
      <c r="P450" s="1083"/>
      <c r="Q450" s="1027"/>
      <c r="R450" s="1022"/>
      <c r="S450" s="1130">
        <v>393</v>
      </c>
      <c r="T450" s="1156">
        <v>27810000</v>
      </c>
    </row>
    <row r="451" spans="1:20" s="995" customFormat="1" ht="102" x14ac:dyDescent="0.25">
      <c r="A451" s="1013">
        <v>2022446</v>
      </c>
      <c r="B451" s="1013">
        <v>7658</v>
      </c>
      <c r="C451" s="1013" t="s">
        <v>681</v>
      </c>
      <c r="D451" s="1045" t="s">
        <v>694</v>
      </c>
      <c r="E451" s="1046">
        <v>80111600</v>
      </c>
      <c r="F451" s="1016" t="s">
        <v>1092</v>
      </c>
      <c r="G451" s="1017" t="s">
        <v>1548</v>
      </c>
      <c r="H451" s="1141" t="s">
        <v>1548</v>
      </c>
      <c r="I451" s="1017">
        <v>4</v>
      </c>
      <c r="J451" s="1017" t="s">
        <v>1576</v>
      </c>
      <c r="K451" s="1017" t="s">
        <v>676</v>
      </c>
      <c r="L451" s="1019" t="s">
        <v>677</v>
      </c>
      <c r="M451" s="1093">
        <v>18540000</v>
      </c>
      <c r="N451" s="1037" t="s">
        <v>743</v>
      </c>
      <c r="O451" s="1037" t="s">
        <v>1551</v>
      </c>
      <c r="P451" s="1037"/>
      <c r="Q451" s="1017"/>
      <c r="R451" s="1022"/>
      <c r="S451" s="1130"/>
      <c r="T451" s="1156"/>
    </row>
    <row r="452" spans="1:20" s="995" customFormat="1" ht="102" x14ac:dyDescent="0.25">
      <c r="A452" s="1023">
        <v>2022447</v>
      </c>
      <c r="B452" s="1023">
        <v>7658</v>
      </c>
      <c r="C452" s="1023" t="s">
        <v>681</v>
      </c>
      <c r="D452" s="1039" t="s">
        <v>694</v>
      </c>
      <c r="E452" s="1040">
        <v>80111600</v>
      </c>
      <c r="F452" s="1026" t="s">
        <v>1093</v>
      </c>
      <c r="G452" s="1027" t="s">
        <v>1548</v>
      </c>
      <c r="H452" s="1141" t="s">
        <v>1548</v>
      </c>
      <c r="I452" s="1027">
        <v>10</v>
      </c>
      <c r="J452" s="1027" t="s">
        <v>1576</v>
      </c>
      <c r="K452" s="1027" t="s">
        <v>676</v>
      </c>
      <c r="L452" s="1029" t="s">
        <v>677</v>
      </c>
      <c r="M452" s="1092">
        <v>57000000</v>
      </c>
      <c r="N452" s="1083" t="s">
        <v>743</v>
      </c>
      <c r="O452" s="1083" t="s">
        <v>1551</v>
      </c>
      <c r="P452" s="1083"/>
      <c r="Q452" s="1027"/>
      <c r="R452" s="1022"/>
      <c r="S452" s="1130">
        <v>305</v>
      </c>
      <c r="T452" s="1156">
        <v>57000000</v>
      </c>
    </row>
    <row r="453" spans="1:20" s="995" customFormat="1" ht="102" x14ac:dyDescent="0.25">
      <c r="A453" s="1023">
        <v>2022448</v>
      </c>
      <c r="B453" s="1023">
        <v>7658</v>
      </c>
      <c r="C453" s="1023" t="s">
        <v>681</v>
      </c>
      <c r="D453" s="1039" t="s">
        <v>694</v>
      </c>
      <c r="E453" s="1040">
        <v>80111600</v>
      </c>
      <c r="F453" s="1026" t="s">
        <v>1093</v>
      </c>
      <c r="G453" s="1027" t="s">
        <v>1548</v>
      </c>
      <c r="H453" s="1141" t="s">
        <v>1548</v>
      </c>
      <c r="I453" s="1027">
        <v>10</v>
      </c>
      <c r="J453" s="1027" t="s">
        <v>1576</v>
      </c>
      <c r="K453" s="1027" t="s">
        <v>676</v>
      </c>
      <c r="L453" s="1029" t="s">
        <v>677</v>
      </c>
      <c r="M453" s="1092">
        <v>48500000</v>
      </c>
      <c r="N453" s="1083" t="s">
        <v>743</v>
      </c>
      <c r="O453" s="1083" t="s">
        <v>1551</v>
      </c>
      <c r="P453" s="1083"/>
      <c r="Q453" s="1027"/>
      <c r="R453" s="1022"/>
      <c r="S453" s="1130">
        <v>279</v>
      </c>
      <c r="T453" s="1156">
        <v>48500000</v>
      </c>
    </row>
    <row r="454" spans="1:20" s="995" customFormat="1" ht="102" x14ac:dyDescent="0.25">
      <c r="A454" s="1023">
        <v>2022449</v>
      </c>
      <c r="B454" s="1023">
        <v>7658</v>
      </c>
      <c r="C454" s="1023" t="s">
        <v>681</v>
      </c>
      <c r="D454" s="1039" t="s">
        <v>694</v>
      </c>
      <c r="E454" s="1040">
        <v>80111600</v>
      </c>
      <c r="F454" s="1026" t="s">
        <v>1093</v>
      </c>
      <c r="G454" s="1027" t="s">
        <v>1548</v>
      </c>
      <c r="H454" s="1141" t="s">
        <v>1548</v>
      </c>
      <c r="I454" s="1027">
        <v>10</v>
      </c>
      <c r="J454" s="1027" t="s">
        <v>1576</v>
      </c>
      <c r="K454" s="1027" t="s">
        <v>676</v>
      </c>
      <c r="L454" s="1029" t="s">
        <v>677</v>
      </c>
      <c r="M454" s="1092">
        <v>48500000</v>
      </c>
      <c r="N454" s="1083" t="s">
        <v>743</v>
      </c>
      <c r="O454" s="1083" t="s">
        <v>1551</v>
      </c>
      <c r="P454" s="1083"/>
      <c r="Q454" s="1027"/>
      <c r="R454" s="1022"/>
      <c r="S454" s="1130">
        <v>306</v>
      </c>
      <c r="T454" s="1156">
        <v>48500000</v>
      </c>
    </row>
    <row r="455" spans="1:20" s="995" customFormat="1" ht="102" x14ac:dyDescent="0.25">
      <c r="A455" s="1023">
        <v>2022450</v>
      </c>
      <c r="B455" s="1023">
        <v>7658</v>
      </c>
      <c r="C455" s="1023" t="s">
        <v>681</v>
      </c>
      <c r="D455" s="1039" t="s">
        <v>694</v>
      </c>
      <c r="E455" s="1040">
        <v>80111600</v>
      </c>
      <c r="F455" s="1026" t="s">
        <v>1094</v>
      </c>
      <c r="G455" s="1027" t="s">
        <v>1548</v>
      </c>
      <c r="H455" s="1141" t="s">
        <v>1548</v>
      </c>
      <c r="I455" s="1027">
        <v>10</v>
      </c>
      <c r="J455" s="1027" t="s">
        <v>1576</v>
      </c>
      <c r="K455" s="1027" t="s">
        <v>676</v>
      </c>
      <c r="L455" s="1029" t="s">
        <v>677</v>
      </c>
      <c r="M455" s="1092">
        <v>48500000</v>
      </c>
      <c r="N455" s="1083" t="s">
        <v>743</v>
      </c>
      <c r="O455" s="1083" t="s">
        <v>1551</v>
      </c>
      <c r="P455" s="1083"/>
      <c r="Q455" s="1027"/>
      <c r="R455" s="1022"/>
      <c r="S455" s="1130">
        <v>463</v>
      </c>
      <c r="T455" s="1156">
        <v>29100000</v>
      </c>
    </row>
    <row r="456" spans="1:20" s="995" customFormat="1" ht="102" x14ac:dyDescent="0.25">
      <c r="A456" s="1023">
        <v>2022451</v>
      </c>
      <c r="B456" s="1023">
        <v>7658</v>
      </c>
      <c r="C456" s="1023" t="s">
        <v>681</v>
      </c>
      <c r="D456" s="1039" t="s">
        <v>694</v>
      </c>
      <c r="E456" s="1040">
        <v>80111600</v>
      </c>
      <c r="F456" s="1026" t="s">
        <v>1094</v>
      </c>
      <c r="G456" s="1027" t="s">
        <v>1548</v>
      </c>
      <c r="H456" s="1141" t="s">
        <v>1548</v>
      </c>
      <c r="I456" s="1027">
        <v>10</v>
      </c>
      <c r="J456" s="1027" t="s">
        <v>1576</v>
      </c>
      <c r="K456" s="1027" t="s">
        <v>676</v>
      </c>
      <c r="L456" s="1029" t="s">
        <v>677</v>
      </c>
      <c r="M456" s="1092">
        <v>35000000</v>
      </c>
      <c r="N456" s="1083" t="s">
        <v>743</v>
      </c>
      <c r="O456" s="1083" t="s">
        <v>1551</v>
      </c>
      <c r="P456" s="1083"/>
      <c r="Q456" s="1027"/>
      <c r="R456" s="1022"/>
      <c r="S456" s="1130">
        <v>436</v>
      </c>
      <c r="T456" s="1156">
        <v>21000000</v>
      </c>
    </row>
    <row r="457" spans="1:20" s="995" customFormat="1" ht="102" x14ac:dyDescent="0.25">
      <c r="A457" s="1023">
        <v>2022452</v>
      </c>
      <c r="B457" s="1023">
        <v>7658</v>
      </c>
      <c r="C457" s="1023" t="s">
        <v>681</v>
      </c>
      <c r="D457" s="1039" t="s">
        <v>694</v>
      </c>
      <c r="E457" s="1040">
        <v>80111600</v>
      </c>
      <c r="F457" s="1026" t="s">
        <v>1093</v>
      </c>
      <c r="G457" s="1027" t="s">
        <v>1548</v>
      </c>
      <c r="H457" s="1141" t="s">
        <v>1548</v>
      </c>
      <c r="I457" s="1027">
        <v>6</v>
      </c>
      <c r="J457" s="1027" t="s">
        <v>1576</v>
      </c>
      <c r="K457" s="1027" t="s">
        <v>676</v>
      </c>
      <c r="L457" s="1029" t="s">
        <v>677</v>
      </c>
      <c r="M457" s="1092">
        <v>29100000</v>
      </c>
      <c r="N457" s="1083" t="s">
        <v>743</v>
      </c>
      <c r="O457" s="1083" t="s">
        <v>1551</v>
      </c>
      <c r="P457" s="1083"/>
      <c r="Q457" s="1027"/>
      <c r="R457" s="1022"/>
      <c r="S457" s="1130">
        <v>307</v>
      </c>
      <c r="T457" s="1156">
        <v>29100000</v>
      </c>
    </row>
    <row r="458" spans="1:20" s="995" customFormat="1" ht="102" x14ac:dyDescent="0.25">
      <c r="A458" s="1013">
        <v>2022453</v>
      </c>
      <c r="B458" s="1013">
        <v>7658</v>
      </c>
      <c r="C458" s="1013" t="s">
        <v>681</v>
      </c>
      <c r="D458" s="1045" t="s">
        <v>694</v>
      </c>
      <c r="E458" s="1046">
        <v>80111600</v>
      </c>
      <c r="F458" s="1016" t="s">
        <v>1093</v>
      </c>
      <c r="G458" s="1017" t="s">
        <v>1548</v>
      </c>
      <c r="H458" s="1141" t="s">
        <v>1548</v>
      </c>
      <c r="I458" s="1017">
        <v>4</v>
      </c>
      <c r="J458" s="1017" t="s">
        <v>1576</v>
      </c>
      <c r="K458" s="1017" t="s">
        <v>676</v>
      </c>
      <c r="L458" s="1019" t="s">
        <v>677</v>
      </c>
      <c r="M458" s="1093">
        <v>19400000</v>
      </c>
      <c r="N458" s="1037" t="s">
        <v>743</v>
      </c>
      <c r="O458" s="1037" t="s">
        <v>1551</v>
      </c>
      <c r="P458" s="1037"/>
      <c r="Q458" s="1017"/>
      <c r="R458" s="1022"/>
      <c r="S458" s="1130"/>
      <c r="T458" s="1156"/>
    </row>
    <row r="459" spans="1:20" s="995" customFormat="1" ht="102" x14ac:dyDescent="0.25">
      <c r="A459" s="1023">
        <v>2022454</v>
      </c>
      <c r="B459" s="1023">
        <v>7658</v>
      </c>
      <c r="C459" s="1023" t="s">
        <v>681</v>
      </c>
      <c r="D459" s="1039" t="s">
        <v>694</v>
      </c>
      <c r="E459" s="1040">
        <v>80111600</v>
      </c>
      <c r="F459" s="1026" t="s">
        <v>1095</v>
      </c>
      <c r="G459" s="1027" t="s">
        <v>1548</v>
      </c>
      <c r="H459" s="1141" t="s">
        <v>1548</v>
      </c>
      <c r="I459" s="1027">
        <v>10</v>
      </c>
      <c r="J459" s="1027" t="s">
        <v>1576</v>
      </c>
      <c r="K459" s="1027" t="s">
        <v>676</v>
      </c>
      <c r="L459" s="1029" t="s">
        <v>677</v>
      </c>
      <c r="M459" s="1092">
        <v>55000000</v>
      </c>
      <c r="N459" s="1083" t="s">
        <v>743</v>
      </c>
      <c r="O459" s="1083" t="s">
        <v>1551</v>
      </c>
      <c r="P459" s="1083"/>
      <c r="Q459" s="1027"/>
      <c r="R459" s="1022"/>
      <c r="S459" s="1130">
        <v>312</v>
      </c>
      <c r="T459" s="1156">
        <v>55000000</v>
      </c>
    </row>
    <row r="460" spans="1:20" s="995" customFormat="1" ht="102" x14ac:dyDescent="0.25">
      <c r="A460" s="1023">
        <v>2022455</v>
      </c>
      <c r="B460" s="1023">
        <v>7658</v>
      </c>
      <c r="C460" s="1023" t="s">
        <v>681</v>
      </c>
      <c r="D460" s="1039" t="s">
        <v>694</v>
      </c>
      <c r="E460" s="1040">
        <v>80111600</v>
      </c>
      <c r="F460" s="1026" t="s">
        <v>1095</v>
      </c>
      <c r="G460" s="1027" t="s">
        <v>1548</v>
      </c>
      <c r="H460" s="1141" t="s">
        <v>1548</v>
      </c>
      <c r="I460" s="1027">
        <v>10</v>
      </c>
      <c r="J460" s="1027" t="s">
        <v>1576</v>
      </c>
      <c r="K460" s="1027" t="s">
        <v>676</v>
      </c>
      <c r="L460" s="1029" t="s">
        <v>677</v>
      </c>
      <c r="M460" s="1092">
        <v>55000000</v>
      </c>
      <c r="N460" s="1083" t="s">
        <v>743</v>
      </c>
      <c r="O460" s="1083" t="s">
        <v>1551</v>
      </c>
      <c r="P460" s="1083"/>
      <c r="Q460" s="1027"/>
      <c r="R460" s="1022"/>
      <c r="S460" s="1130">
        <v>308</v>
      </c>
      <c r="T460" s="1156">
        <v>55000000</v>
      </c>
    </row>
    <row r="461" spans="1:20" s="995" customFormat="1" ht="102" x14ac:dyDescent="0.25">
      <c r="A461" s="1023">
        <v>2022456</v>
      </c>
      <c r="B461" s="1023">
        <v>7658</v>
      </c>
      <c r="C461" s="1023" t="s">
        <v>681</v>
      </c>
      <c r="D461" s="1039" t="s">
        <v>694</v>
      </c>
      <c r="E461" s="1040">
        <v>80111600</v>
      </c>
      <c r="F461" s="1026" t="s">
        <v>1095</v>
      </c>
      <c r="G461" s="1027" t="s">
        <v>1548</v>
      </c>
      <c r="H461" s="1141" t="s">
        <v>1548</v>
      </c>
      <c r="I461" s="1027">
        <v>6</v>
      </c>
      <c r="J461" s="1027" t="s">
        <v>1576</v>
      </c>
      <c r="K461" s="1027" t="s">
        <v>676</v>
      </c>
      <c r="L461" s="1029" t="s">
        <v>677</v>
      </c>
      <c r="M461" s="1092">
        <v>29100000</v>
      </c>
      <c r="N461" s="1083" t="s">
        <v>743</v>
      </c>
      <c r="O461" s="1083" t="s">
        <v>1551</v>
      </c>
      <c r="P461" s="1083"/>
      <c r="Q461" s="1027"/>
      <c r="R461" s="1022"/>
      <c r="S461" s="1130">
        <v>406</v>
      </c>
      <c r="T461" s="1156">
        <v>29100000</v>
      </c>
    </row>
    <row r="462" spans="1:20" s="995" customFormat="1" ht="102" x14ac:dyDescent="0.25">
      <c r="A462" s="1013">
        <v>2022457</v>
      </c>
      <c r="B462" s="1013">
        <v>7658</v>
      </c>
      <c r="C462" s="1013" t="s">
        <v>681</v>
      </c>
      <c r="D462" s="1045" t="s">
        <v>694</v>
      </c>
      <c r="E462" s="1046">
        <v>80111600</v>
      </c>
      <c r="F462" s="1016" t="s">
        <v>1095</v>
      </c>
      <c r="G462" s="1017" t="s">
        <v>1548</v>
      </c>
      <c r="H462" s="1141" t="s">
        <v>1548</v>
      </c>
      <c r="I462" s="1017">
        <v>4</v>
      </c>
      <c r="J462" s="1017" t="s">
        <v>1576</v>
      </c>
      <c r="K462" s="1017" t="s">
        <v>676</v>
      </c>
      <c r="L462" s="1019" t="s">
        <v>677</v>
      </c>
      <c r="M462" s="1093">
        <v>19400000</v>
      </c>
      <c r="N462" s="1037" t="s">
        <v>743</v>
      </c>
      <c r="O462" s="1037" t="s">
        <v>1551</v>
      </c>
      <c r="P462" s="1037"/>
      <c r="Q462" s="1017"/>
      <c r="R462" s="1022"/>
      <c r="S462" s="1130"/>
      <c r="T462" s="1156"/>
    </row>
    <row r="463" spans="1:20" s="995" customFormat="1" ht="102" x14ac:dyDescent="0.25">
      <c r="A463" s="1023">
        <v>2022458</v>
      </c>
      <c r="B463" s="1023">
        <v>7658</v>
      </c>
      <c r="C463" s="1023" t="s">
        <v>681</v>
      </c>
      <c r="D463" s="1039" t="s">
        <v>694</v>
      </c>
      <c r="E463" s="1040">
        <v>80111600</v>
      </c>
      <c r="F463" s="1026" t="s">
        <v>1095</v>
      </c>
      <c r="G463" s="1027" t="s">
        <v>1548</v>
      </c>
      <c r="H463" s="1141" t="s">
        <v>1548</v>
      </c>
      <c r="I463" s="1027">
        <v>10</v>
      </c>
      <c r="J463" s="1027" t="s">
        <v>1576</v>
      </c>
      <c r="K463" s="1027" t="s">
        <v>676</v>
      </c>
      <c r="L463" s="1029" t="s">
        <v>677</v>
      </c>
      <c r="M463" s="1092">
        <v>48500000</v>
      </c>
      <c r="N463" s="1083" t="s">
        <v>743</v>
      </c>
      <c r="O463" s="1083" t="s">
        <v>1551</v>
      </c>
      <c r="P463" s="1083"/>
      <c r="Q463" s="1027"/>
      <c r="R463" s="1022"/>
      <c r="S463" s="1130">
        <v>379</v>
      </c>
      <c r="T463" s="1156">
        <v>48500000</v>
      </c>
    </row>
    <row r="464" spans="1:20" s="995" customFormat="1" ht="102" x14ac:dyDescent="0.25">
      <c r="A464" s="1023">
        <v>2022459</v>
      </c>
      <c r="B464" s="1023">
        <v>7658</v>
      </c>
      <c r="C464" s="1023" t="s">
        <v>681</v>
      </c>
      <c r="D464" s="1039" t="s">
        <v>694</v>
      </c>
      <c r="E464" s="1040">
        <v>80111600</v>
      </c>
      <c r="F464" s="1026" t="s">
        <v>1095</v>
      </c>
      <c r="G464" s="1027" t="s">
        <v>1548</v>
      </c>
      <c r="H464" s="1141" t="s">
        <v>1548</v>
      </c>
      <c r="I464" s="1027">
        <v>6</v>
      </c>
      <c r="J464" s="1027" t="s">
        <v>1576</v>
      </c>
      <c r="K464" s="1027" t="s">
        <v>676</v>
      </c>
      <c r="L464" s="1029" t="s">
        <v>677</v>
      </c>
      <c r="M464" s="1092">
        <v>29100000</v>
      </c>
      <c r="N464" s="1083" t="s">
        <v>743</v>
      </c>
      <c r="O464" s="1083" t="s">
        <v>1551</v>
      </c>
      <c r="P464" s="1083"/>
      <c r="Q464" s="1027"/>
      <c r="R464" s="1022"/>
      <c r="S464" s="1130">
        <v>446</v>
      </c>
      <c r="T464" s="1156">
        <v>29100000</v>
      </c>
    </row>
    <row r="465" spans="1:20" s="995" customFormat="1" ht="102" x14ac:dyDescent="0.25">
      <c r="A465" s="1013">
        <v>2022460</v>
      </c>
      <c r="B465" s="1013">
        <v>7658</v>
      </c>
      <c r="C465" s="1013" t="s">
        <v>681</v>
      </c>
      <c r="D465" s="1045" t="s">
        <v>694</v>
      </c>
      <c r="E465" s="1046">
        <v>80111600</v>
      </c>
      <c r="F465" s="1016" t="s">
        <v>1095</v>
      </c>
      <c r="G465" s="1017" t="s">
        <v>1548</v>
      </c>
      <c r="H465" s="1141" t="s">
        <v>1548</v>
      </c>
      <c r="I465" s="1017">
        <v>4</v>
      </c>
      <c r="J465" s="1017" t="s">
        <v>1576</v>
      </c>
      <c r="K465" s="1017" t="s">
        <v>676</v>
      </c>
      <c r="L465" s="1019" t="s">
        <v>677</v>
      </c>
      <c r="M465" s="1093">
        <v>19400000</v>
      </c>
      <c r="N465" s="1037" t="s">
        <v>743</v>
      </c>
      <c r="O465" s="1037" t="s">
        <v>1551</v>
      </c>
      <c r="P465" s="1037"/>
      <c r="Q465" s="1017"/>
      <c r="R465" s="1022"/>
      <c r="S465" s="1130"/>
      <c r="T465" s="1156"/>
    </row>
    <row r="466" spans="1:20" s="995" customFormat="1" ht="102" x14ac:dyDescent="0.25">
      <c r="A466" s="1023">
        <v>2022461</v>
      </c>
      <c r="B466" s="1023">
        <v>7658</v>
      </c>
      <c r="C466" s="1023" t="s">
        <v>681</v>
      </c>
      <c r="D466" s="1039" t="s">
        <v>694</v>
      </c>
      <c r="E466" s="1040">
        <v>80111600</v>
      </c>
      <c r="F466" s="1026" t="s">
        <v>1095</v>
      </c>
      <c r="G466" s="1027" t="s">
        <v>1548</v>
      </c>
      <c r="H466" s="1141" t="s">
        <v>1548</v>
      </c>
      <c r="I466" s="1027">
        <v>10</v>
      </c>
      <c r="J466" s="1027" t="s">
        <v>1576</v>
      </c>
      <c r="K466" s="1027" t="s">
        <v>676</v>
      </c>
      <c r="L466" s="1029" t="s">
        <v>677</v>
      </c>
      <c r="M466" s="1092">
        <v>45000000</v>
      </c>
      <c r="N466" s="1083" t="s">
        <v>743</v>
      </c>
      <c r="O466" s="1083" t="s">
        <v>1551</v>
      </c>
      <c r="P466" s="1083"/>
      <c r="Q466" s="1027"/>
      <c r="R466" s="1022"/>
      <c r="S466" s="1130">
        <v>377</v>
      </c>
      <c r="T466" s="1156">
        <v>45000000</v>
      </c>
    </row>
    <row r="467" spans="1:20" s="995" customFormat="1" ht="102" x14ac:dyDescent="0.25">
      <c r="A467" s="1023">
        <v>2022462</v>
      </c>
      <c r="B467" s="1023">
        <v>7658</v>
      </c>
      <c r="C467" s="1023" t="s">
        <v>681</v>
      </c>
      <c r="D467" s="1039" t="s">
        <v>694</v>
      </c>
      <c r="E467" s="1040">
        <v>80111600</v>
      </c>
      <c r="F467" s="1026" t="s">
        <v>1096</v>
      </c>
      <c r="G467" s="1027" t="s">
        <v>1548</v>
      </c>
      <c r="H467" s="1141" t="s">
        <v>1548</v>
      </c>
      <c r="I467" s="1027">
        <v>6</v>
      </c>
      <c r="J467" s="1027" t="s">
        <v>1576</v>
      </c>
      <c r="K467" s="1027" t="s">
        <v>676</v>
      </c>
      <c r="L467" s="1029" t="s">
        <v>677</v>
      </c>
      <c r="M467" s="1092">
        <v>16500000</v>
      </c>
      <c r="N467" s="1083" t="s">
        <v>743</v>
      </c>
      <c r="O467" s="1083" t="s">
        <v>1551</v>
      </c>
      <c r="P467" s="1083"/>
      <c r="Q467" s="1027"/>
      <c r="R467" s="1022"/>
      <c r="S467" s="1130">
        <v>467</v>
      </c>
      <c r="T467" s="1156">
        <v>14700000</v>
      </c>
    </row>
    <row r="468" spans="1:20" s="995" customFormat="1" ht="102" x14ac:dyDescent="0.25">
      <c r="A468" s="1013">
        <v>2022463</v>
      </c>
      <c r="B468" s="1013">
        <v>7658</v>
      </c>
      <c r="C468" s="1013" t="s">
        <v>681</v>
      </c>
      <c r="D468" s="1045" t="s">
        <v>694</v>
      </c>
      <c r="E468" s="1046">
        <v>80111600</v>
      </c>
      <c r="F468" s="1016" t="s">
        <v>1096</v>
      </c>
      <c r="G468" s="1017" t="s">
        <v>1548</v>
      </c>
      <c r="H468" s="1141" t="s">
        <v>1548</v>
      </c>
      <c r="I468" s="1017">
        <v>4</v>
      </c>
      <c r="J468" s="1017" t="s">
        <v>1576</v>
      </c>
      <c r="K468" s="1017" t="s">
        <v>676</v>
      </c>
      <c r="L468" s="1019" t="s">
        <v>677</v>
      </c>
      <c r="M468" s="1093">
        <v>11000000</v>
      </c>
      <c r="N468" s="1037" t="s">
        <v>743</v>
      </c>
      <c r="O468" s="1037" t="s">
        <v>1551</v>
      </c>
      <c r="P468" s="1037"/>
      <c r="Q468" s="1017"/>
      <c r="R468" s="1022"/>
      <c r="S468" s="1130"/>
      <c r="T468" s="1156"/>
    </row>
    <row r="469" spans="1:20" s="995" customFormat="1" ht="102" x14ac:dyDescent="0.25">
      <c r="A469" s="1023">
        <v>2022464</v>
      </c>
      <c r="B469" s="1023">
        <v>7658</v>
      </c>
      <c r="C469" s="1023" t="s">
        <v>681</v>
      </c>
      <c r="D469" s="1039" t="s">
        <v>694</v>
      </c>
      <c r="E469" s="1040">
        <v>80111600</v>
      </c>
      <c r="F469" s="1026" t="s">
        <v>1097</v>
      </c>
      <c r="G469" s="1027" t="s">
        <v>1548</v>
      </c>
      <c r="H469" s="1141" t="s">
        <v>1548</v>
      </c>
      <c r="I469" s="1027">
        <v>10</v>
      </c>
      <c r="J469" s="1027" t="s">
        <v>1576</v>
      </c>
      <c r="K469" s="1027" t="s">
        <v>676</v>
      </c>
      <c r="L469" s="1029" t="s">
        <v>677</v>
      </c>
      <c r="M469" s="1092">
        <v>50000000</v>
      </c>
      <c r="N469" s="1083" t="s">
        <v>743</v>
      </c>
      <c r="O469" s="1083" t="s">
        <v>1551</v>
      </c>
      <c r="P469" s="1083"/>
      <c r="Q469" s="1027"/>
      <c r="R469" s="1022"/>
      <c r="S469" s="1130">
        <v>439</v>
      </c>
      <c r="T469" s="1156">
        <v>30000000</v>
      </c>
    </row>
    <row r="470" spans="1:20" s="995" customFormat="1" ht="102" x14ac:dyDescent="0.25">
      <c r="A470" s="1023">
        <v>2022465</v>
      </c>
      <c r="B470" s="1023">
        <v>7658</v>
      </c>
      <c r="C470" s="1023" t="s">
        <v>681</v>
      </c>
      <c r="D470" s="1039" t="s">
        <v>694</v>
      </c>
      <c r="E470" s="1040">
        <v>80111600</v>
      </c>
      <c r="F470" s="1026" t="s">
        <v>1098</v>
      </c>
      <c r="G470" s="1027" t="s">
        <v>1548</v>
      </c>
      <c r="H470" s="1141" t="s">
        <v>1548</v>
      </c>
      <c r="I470" s="1027">
        <v>10</v>
      </c>
      <c r="J470" s="1027" t="s">
        <v>1576</v>
      </c>
      <c r="K470" s="1027" t="s">
        <v>676</v>
      </c>
      <c r="L470" s="1029" t="s">
        <v>677</v>
      </c>
      <c r="M470" s="1092">
        <v>48500000</v>
      </c>
      <c r="N470" s="1083" t="s">
        <v>743</v>
      </c>
      <c r="O470" s="1083" t="s">
        <v>1551</v>
      </c>
      <c r="P470" s="1083"/>
      <c r="Q470" s="1027"/>
      <c r="R470" s="1022"/>
      <c r="S470" s="1130">
        <v>135</v>
      </c>
      <c r="T470" s="1156">
        <v>48500000</v>
      </c>
    </row>
    <row r="471" spans="1:20" s="995" customFormat="1" ht="102" x14ac:dyDescent="0.25">
      <c r="A471" s="1023">
        <v>2022466</v>
      </c>
      <c r="B471" s="1023">
        <v>7658</v>
      </c>
      <c r="C471" s="1023" t="s">
        <v>681</v>
      </c>
      <c r="D471" s="1039" t="s">
        <v>694</v>
      </c>
      <c r="E471" s="1040">
        <v>80111600</v>
      </c>
      <c r="F471" s="1026" t="s">
        <v>1099</v>
      </c>
      <c r="G471" s="1027" t="s">
        <v>1548</v>
      </c>
      <c r="H471" s="1141" t="s">
        <v>1548</v>
      </c>
      <c r="I471" s="1027">
        <v>10</v>
      </c>
      <c r="J471" s="1027" t="s">
        <v>1576</v>
      </c>
      <c r="K471" s="1027" t="s">
        <v>676</v>
      </c>
      <c r="L471" s="1029" t="s">
        <v>677</v>
      </c>
      <c r="M471" s="1092">
        <v>33500000</v>
      </c>
      <c r="N471" s="1083" t="s">
        <v>743</v>
      </c>
      <c r="O471" s="1083" t="s">
        <v>1551</v>
      </c>
      <c r="P471" s="1083"/>
      <c r="Q471" s="1027"/>
      <c r="R471" s="1022"/>
      <c r="S471" s="1130">
        <v>142</v>
      </c>
      <c r="T471" s="1156">
        <v>33500000</v>
      </c>
    </row>
    <row r="472" spans="1:20" s="995" customFormat="1" ht="102" x14ac:dyDescent="0.25">
      <c r="A472" s="1023">
        <v>2022467</v>
      </c>
      <c r="B472" s="1023">
        <v>7658</v>
      </c>
      <c r="C472" s="1023" t="s">
        <v>681</v>
      </c>
      <c r="D472" s="1039" t="s">
        <v>694</v>
      </c>
      <c r="E472" s="1040">
        <v>80111600</v>
      </c>
      <c r="F472" s="1026" t="s">
        <v>1100</v>
      </c>
      <c r="G472" s="1027" t="s">
        <v>1548</v>
      </c>
      <c r="H472" s="1141" t="s">
        <v>1548</v>
      </c>
      <c r="I472" s="1027">
        <v>10</v>
      </c>
      <c r="J472" s="1027" t="s">
        <v>1576</v>
      </c>
      <c r="K472" s="1027" t="s">
        <v>676</v>
      </c>
      <c r="L472" s="1029" t="s">
        <v>677</v>
      </c>
      <c r="M472" s="1092">
        <v>48500000</v>
      </c>
      <c r="N472" s="1083" t="s">
        <v>743</v>
      </c>
      <c r="O472" s="1083" t="s">
        <v>1551</v>
      </c>
      <c r="P472" s="1083"/>
      <c r="Q472" s="1027"/>
      <c r="R472" s="1022"/>
      <c r="S472" s="1130">
        <v>194</v>
      </c>
      <c r="T472" s="1156">
        <v>19400000</v>
      </c>
    </row>
    <row r="473" spans="1:20" s="995" customFormat="1" ht="102" x14ac:dyDescent="0.25">
      <c r="A473" s="1013">
        <v>2022468</v>
      </c>
      <c r="B473" s="1013">
        <v>7658</v>
      </c>
      <c r="C473" s="1013" t="s">
        <v>681</v>
      </c>
      <c r="D473" s="1045" t="s">
        <v>694</v>
      </c>
      <c r="E473" s="1046">
        <v>80111600</v>
      </c>
      <c r="F473" s="1016" t="s">
        <v>1101</v>
      </c>
      <c r="G473" s="1017" t="s">
        <v>1548</v>
      </c>
      <c r="H473" s="1141" t="s">
        <v>1548</v>
      </c>
      <c r="I473" s="1017">
        <v>4</v>
      </c>
      <c r="J473" s="1017" t="s">
        <v>1576</v>
      </c>
      <c r="K473" s="1017" t="s">
        <v>676</v>
      </c>
      <c r="L473" s="1019" t="s">
        <v>677</v>
      </c>
      <c r="M473" s="1093">
        <v>19400000</v>
      </c>
      <c r="N473" s="1037" t="s">
        <v>743</v>
      </c>
      <c r="O473" s="1037" t="s">
        <v>1551</v>
      </c>
      <c r="P473" s="1037"/>
      <c r="Q473" s="1017"/>
      <c r="R473" s="1022"/>
      <c r="S473" s="1130"/>
      <c r="T473" s="1156"/>
    </row>
    <row r="474" spans="1:20" s="995" customFormat="1" ht="102" x14ac:dyDescent="0.25">
      <c r="A474" s="1023">
        <v>2022469</v>
      </c>
      <c r="B474" s="1023">
        <v>7658</v>
      </c>
      <c r="C474" s="1023" t="s">
        <v>681</v>
      </c>
      <c r="D474" s="1039" t="s">
        <v>694</v>
      </c>
      <c r="E474" s="1040">
        <v>80111600</v>
      </c>
      <c r="F474" s="1026" t="s">
        <v>1101</v>
      </c>
      <c r="G474" s="1027" t="s">
        <v>1548</v>
      </c>
      <c r="H474" s="1141" t="s">
        <v>1548</v>
      </c>
      <c r="I474" s="1027">
        <v>6</v>
      </c>
      <c r="J474" s="1027" t="s">
        <v>1576</v>
      </c>
      <c r="K474" s="1027" t="s">
        <v>676</v>
      </c>
      <c r="L474" s="1029" t="s">
        <v>677</v>
      </c>
      <c r="M474" s="1092">
        <v>29100000</v>
      </c>
      <c r="N474" s="1083" t="s">
        <v>743</v>
      </c>
      <c r="O474" s="1083" t="s">
        <v>1551</v>
      </c>
      <c r="P474" s="1083"/>
      <c r="Q474" s="1027"/>
      <c r="R474" s="1022"/>
      <c r="S474" s="1130">
        <v>380</v>
      </c>
      <c r="T474" s="1156">
        <v>29100000</v>
      </c>
    </row>
    <row r="475" spans="1:20" s="995" customFormat="1" ht="102" x14ac:dyDescent="0.25">
      <c r="A475" s="1013">
        <v>2022470</v>
      </c>
      <c r="B475" s="1013">
        <v>7658</v>
      </c>
      <c r="C475" s="1013" t="s">
        <v>681</v>
      </c>
      <c r="D475" s="1045" t="s">
        <v>694</v>
      </c>
      <c r="E475" s="1046">
        <v>80111600</v>
      </c>
      <c r="F475" s="1016" t="s">
        <v>1101</v>
      </c>
      <c r="G475" s="1017" t="s">
        <v>1548</v>
      </c>
      <c r="H475" s="1141" t="s">
        <v>1548</v>
      </c>
      <c r="I475" s="1017">
        <v>4</v>
      </c>
      <c r="J475" s="1017" t="s">
        <v>1576</v>
      </c>
      <c r="K475" s="1017" t="s">
        <v>676</v>
      </c>
      <c r="L475" s="1019" t="s">
        <v>677</v>
      </c>
      <c r="M475" s="1093">
        <v>16000000</v>
      </c>
      <c r="N475" s="1037" t="s">
        <v>743</v>
      </c>
      <c r="O475" s="1037" t="s">
        <v>1551</v>
      </c>
      <c r="P475" s="1037"/>
      <c r="Q475" s="1017"/>
      <c r="R475" s="1022"/>
      <c r="S475" s="1130"/>
      <c r="T475" s="1156"/>
    </row>
    <row r="476" spans="1:20" s="995" customFormat="1" ht="102" x14ac:dyDescent="0.25">
      <c r="A476" s="1023">
        <v>2022471</v>
      </c>
      <c r="B476" s="1023">
        <v>7658</v>
      </c>
      <c r="C476" s="1023" t="s">
        <v>681</v>
      </c>
      <c r="D476" s="1039" t="s">
        <v>694</v>
      </c>
      <c r="E476" s="1040">
        <v>80111600</v>
      </c>
      <c r="F476" s="1026" t="s">
        <v>1101</v>
      </c>
      <c r="G476" s="1027" t="s">
        <v>1548</v>
      </c>
      <c r="H476" s="1141" t="s">
        <v>1548</v>
      </c>
      <c r="I476" s="1027">
        <v>6</v>
      </c>
      <c r="J476" s="1027" t="s">
        <v>1576</v>
      </c>
      <c r="K476" s="1027" t="s">
        <v>676</v>
      </c>
      <c r="L476" s="1029" t="s">
        <v>677</v>
      </c>
      <c r="M476" s="1092">
        <v>24000000</v>
      </c>
      <c r="N476" s="1083" t="s">
        <v>743</v>
      </c>
      <c r="O476" s="1083" t="s">
        <v>1551</v>
      </c>
      <c r="P476" s="1083"/>
      <c r="Q476" s="1027"/>
      <c r="R476" s="1022"/>
      <c r="S476" s="1130">
        <v>359</v>
      </c>
      <c r="T476" s="1156">
        <v>24000000</v>
      </c>
    </row>
    <row r="477" spans="1:20" s="995" customFormat="1" ht="102" x14ac:dyDescent="0.25">
      <c r="A477" s="1013">
        <v>2022472</v>
      </c>
      <c r="B477" s="1013">
        <v>7658</v>
      </c>
      <c r="C477" s="1013" t="s">
        <v>681</v>
      </c>
      <c r="D477" s="1045" t="s">
        <v>694</v>
      </c>
      <c r="E477" s="1046">
        <v>80111600</v>
      </c>
      <c r="F477" s="1016" t="s">
        <v>1101</v>
      </c>
      <c r="G477" s="1017" t="s">
        <v>1548</v>
      </c>
      <c r="H477" s="1141" t="s">
        <v>1548</v>
      </c>
      <c r="I477" s="1017">
        <v>4</v>
      </c>
      <c r="J477" s="1017" t="s">
        <v>1576</v>
      </c>
      <c r="K477" s="1017" t="s">
        <v>676</v>
      </c>
      <c r="L477" s="1019" t="s">
        <v>677</v>
      </c>
      <c r="M477" s="1093">
        <v>15400000</v>
      </c>
      <c r="N477" s="1037" t="s">
        <v>743</v>
      </c>
      <c r="O477" s="1037" t="s">
        <v>1551</v>
      </c>
      <c r="P477" s="1037"/>
      <c r="Q477" s="1017"/>
      <c r="R477" s="1022"/>
      <c r="S477" s="1130"/>
      <c r="T477" s="1156"/>
    </row>
    <row r="478" spans="1:20" s="995" customFormat="1" ht="102" x14ac:dyDescent="0.25">
      <c r="A478" s="1023">
        <v>2022473</v>
      </c>
      <c r="B478" s="1023">
        <v>7658</v>
      </c>
      <c r="C478" s="1023" t="s">
        <v>681</v>
      </c>
      <c r="D478" s="1039" t="s">
        <v>694</v>
      </c>
      <c r="E478" s="1040">
        <v>80111600</v>
      </c>
      <c r="F478" s="1026" t="s">
        <v>1101</v>
      </c>
      <c r="G478" s="1027" t="s">
        <v>1548</v>
      </c>
      <c r="H478" s="1141" t="s">
        <v>1548</v>
      </c>
      <c r="I478" s="1027">
        <v>6</v>
      </c>
      <c r="J478" s="1027" t="s">
        <v>1576</v>
      </c>
      <c r="K478" s="1027" t="s">
        <v>676</v>
      </c>
      <c r="L478" s="1029" t="s">
        <v>677</v>
      </c>
      <c r="M478" s="1092">
        <v>23100000</v>
      </c>
      <c r="N478" s="1083" t="s">
        <v>743</v>
      </c>
      <c r="O478" s="1083" t="s">
        <v>1551</v>
      </c>
      <c r="P478" s="1083"/>
      <c r="Q478" s="1027"/>
      <c r="R478" s="1022"/>
      <c r="S478" s="1130">
        <v>447</v>
      </c>
      <c r="T478" s="1156">
        <v>23100000</v>
      </c>
    </row>
    <row r="479" spans="1:20" s="995" customFormat="1" ht="102" x14ac:dyDescent="0.25">
      <c r="A479" s="1013">
        <v>2022474</v>
      </c>
      <c r="B479" s="1013">
        <v>7658</v>
      </c>
      <c r="C479" s="1013" t="s">
        <v>681</v>
      </c>
      <c r="D479" s="1045" t="s">
        <v>694</v>
      </c>
      <c r="E479" s="1046">
        <v>80111600</v>
      </c>
      <c r="F479" s="1016" t="s">
        <v>1101</v>
      </c>
      <c r="G479" s="1017" t="s">
        <v>1548</v>
      </c>
      <c r="H479" s="1141" t="s">
        <v>1548</v>
      </c>
      <c r="I479" s="1017">
        <v>4</v>
      </c>
      <c r="J479" s="1017" t="s">
        <v>1576</v>
      </c>
      <c r="K479" s="1017" t="s">
        <v>676</v>
      </c>
      <c r="L479" s="1019" t="s">
        <v>677</v>
      </c>
      <c r="M479" s="1093">
        <v>15400000</v>
      </c>
      <c r="N479" s="1037" t="s">
        <v>743</v>
      </c>
      <c r="O479" s="1037" t="s">
        <v>1551</v>
      </c>
      <c r="P479" s="1037"/>
      <c r="Q479" s="1017"/>
      <c r="R479" s="1022"/>
      <c r="S479" s="1130"/>
      <c r="T479" s="1156"/>
    </row>
    <row r="480" spans="1:20" s="995" customFormat="1" ht="102" x14ac:dyDescent="0.25">
      <c r="A480" s="1023">
        <v>2022475</v>
      </c>
      <c r="B480" s="1023">
        <v>7658</v>
      </c>
      <c r="C480" s="1023" t="s">
        <v>681</v>
      </c>
      <c r="D480" s="1039" t="s">
        <v>694</v>
      </c>
      <c r="E480" s="1040">
        <v>80111600</v>
      </c>
      <c r="F480" s="1026" t="s">
        <v>1101</v>
      </c>
      <c r="G480" s="1027" t="s">
        <v>1548</v>
      </c>
      <c r="H480" s="1141" t="s">
        <v>1548</v>
      </c>
      <c r="I480" s="1027">
        <v>6</v>
      </c>
      <c r="J480" s="1027" t="s">
        <v>1576</v>
      </c>
      <c r="K480" s="1027" t="s">
        <v>676</v>
      </c>
      <c r="L480" s="1029" t="s">
        <v>677</v>
      </c>
      <c r="M480" s="1092">
        <v>23100000</v>
      </c>
      <c r="N480" s="1083" t="s">
        <v>743</v>
      </c>
      <c r="O480" s="1083" t="s">
        <v>1551</v>
      </c>
      <c r="P480" s="1083"/>
      <c r="Q480" s="1027"/>
      <c r="R480" s="1022"/>
      <c r="S480" s="1130">
        <v>386</v>
      </c>
      <c r="T480" s="1156">
        <v>23100000</v>
      </c>
    </row>
    <row r="481" spans="1:103" s="995" customFormat="1" ht="102" x14ac:dyDescent="0.25">
      <c r="A481" s="1013">
        <v>2022476</v>
      </c>
      <c r="B481" s="1013">
        <v>7658</v>
      </c>
      <c r="C481" s="1013" t="s">
        <v>681</v>
      </c>
      <c r="D481" s="1045" t="s">
        <v>694</v>
      </c>
      <c r="E481" s="1046">
        <v>80111600</v>
      </c>
      <c r="F481" s="1016" t="s">
        <v>1101</v>
      </c>
      <c r="G481" s="1017" t="s">
        <v>1548</v>
      </c>
      <c r="H481" s="1141" t="s">
        <v>1548</v>
      </c>
      <c r="I481" s="1017">
        <v>4</v>
      </c>
      <c r="J481" s="1017" t="s">
        <v>1576</v>
      </c>
      <c r="K481" s="1017" t="s">
        <v>676</v>
      </c>
      <c r="L481" s="1019" t="s">
        <v>677</v>
      </c>
      <c r="M481" s="1093">
        <v>15400000</v>
      </c>
      <c r="N481" s="1037" t="s">
        <v>743</v>
      </c>
      <c r="O481" s="1037" t="s">
        <v>1551</v>
      </c>
      <c r="P481" s="1037"/>
      <c r="Q481" s="1017"/>
      <c r="R481" s="1022"/>
      <c r="S481" s="1130"/>
      <c r="T481" s="1156"/>
    </row>
    <row r="482" spans="1:103" s="995" customFormat="1" ht="102" x14ac:dyDescent="0.25">
      <c r="A482" s="1023">
        <v>2022477</v>
      </c>
      <c r="B482" s="1023">
        <v>7658</v>
      </c>
      <c r="C482" s="1023" t="s">
        <v>681</v>
      </c>
      <c r="D482" s="1039" t="s">
        <v>694</v>
      </c>
      <c r="E482" s="1040">
        <v>80111600</v>
      </c>
      <c r="F482" s="1026" t="s">
        <v>1101</v>
      </c>
      <c r="G482" s="1027" t="s">
        <v>1548</v>
      </c>
      <c r="H482" s="1141" t="s">
        <v>1548</v>
      </c>
      <c r="I482" s="1027">
        <v>6</v>
      </c>
      <c r="J482" s="1027" t="s">
        <v>1576</v>
      </c>
      <c r="K482" s="1027" t="s">
        <v>676</v>
      </c>
      <c r="L482" s="1029" t="s">
        <v>677</v>
      </c>
      <c r="M482" s="1092">
        <v>23100000</v>
      </c>
      <c r="N482" s="1083" t="s">
        <v>743</v>
      </c>
      <c r="O482" s="1083" t="s">
        <v>1551</v>
      </c>
      <c r="P482" s="1083"/>
      <c r="Q482" s="1027"/>
      <c r="R482" s="1022"/>
      <c r="S482" s="1130">
        <v>450</v>
      </c>
      <c r="T482" s="1156">
        <v>23100000</v>
      </c>
    </row>
    <row r="483" spans="1:103" s="995" customFormat="1" ht="102" x14ac:dyDescent="0.25">
      <c r="A483" s="1023">
        <v>2022478</v>
      </c>
      <c r="B483" s="1023">
        <v>7658</v>
      </c>
      <c r="C483" s="1023" t="s">
        <v>681</v>
      </c>
      <c r="D483" s="1039" t="s">
        <v>694</v>
      </c>
      <c r="E483" s="1040">
        <v>80111600</v>
      </c>
      <c r="F483" s="1026" t="s">
        <v>1102</v>
      </c>
      <c r="G483" s="1027" t="s">
        <v>1548</v>
      </c>
      <c r="H483" s="1141" t="s">
        <v>1548</v>
      </c>
      <c r="I483" s="1027">
        <v>10</v>
      </c>
      <c r="J483" s="1027" t="s">
        <v>1576</v>
      </c>
      <c r="K483" s="1027" t="s">
        <v>676</v>
      </c>
      <c r="L483" s="1029" t="s">
        <v>677</v>
      </c>
      <c r="M483" s="1092">
        <v>72100000</v>
      </c>
      <c r="N483" s="1083" t="s">
        <v>743</v>
      </c>
      <c r="O483" s="1083" t="s">
        <v>1551</v>
      </c>
      <c r="P483" s="1083"/>
      <c r="Q483" s="1027"/>
      <c r="R483" s="1022"/>
      <c r="S483" s="1130">
        <v>195</v>
      </c>
      <c r="T483" s="1156">
        <v>72100000</v>
      </c>
    </row>
    <row r="484" spans="1:103" s="995" customFormat="1" ht="102" x14ac:dyDescent="0.25">
      <c r="A484" s="1023">
        <v>2022479</v>
      </c>
      <c r="B484" s="1023">
        <v>7658</v>
      </c>
      <c r="C484" s="1023" t="s">
        <v>681</v>
      </c>
      <c r="D484" s="1039" t="s">
        <v>694</v>
      </c>
      <c r="E484" s="1040">
        <v>80111600</v>
      </c>
      <c r="F484" s="1026" t="s">
        <v>1102</v>
      </c>
      <c r="G484" s="1027" t="s">
        <v>1548</v>
      </c>
      <c r="H484" s="1141" t="s">
        <v>1548</v>
      </c>
      <c r="I484" s="1027">
        <v>10</v>
      </c>
      <c r="J484" s="1027" t="s">
        <v>1576</v>
      </c>
      <c r="K484" s="1027" t="s">
        <v>676</v>
      </c>
      <c r="L484" s="1029" t="s">
        <v>677</v>
      </c>
      <c r="M484" s="1092">
        <v>48500000</v>
      </c>
      <c r="N484" s="1083" t="s">
        <v>743</v>
      </c>
      <c r="O484" s="1083" t="s">
        <v>1551</v>
      </c>
      <c r="P484" s="1083"/>
      <c r="Q484" s="1027"/>
      <c r="R484" s="1022"/>
      <c r="S484" s="1130">
        <v>243</v>
      </c>
      <c r="T484" s="1156">
        <v>48500000</v>
      </c>
    </row>
    <row r="485" spans="1:103" s="995" customFormat="1" ht="102" x14ac:dyDescent="0.25">
      <c r="A485" s="1023">
        <v>2022480</v>
      </c>
      <c r="B485" s="1023">
        <v>7658</v>
      </c>
      <c r="C485" s="1023" t="s">
        <v>681</v>
      </c>
      <c r="D485" s="1039" t="s">
        <v>694</v>
      </c>
      <c r="E485" s="1040">
        <v>80111600</v>
      </c>
      <c r="F485" s="1026" t="s">
        <v>1102</v>
      </c>
      <c r="G485" s="1027" t="s">
        <v>1548</v>
      </c>
      <c r="H485" s="1141" t="s">
        <v>1548</v>
      </c>
      <c r="I485" s="1027">
        <v>10</v>
      </c>
      <c r="J485" s="1027" t="s">
        <v>1576</v>
      </c>
      <c r="K485" s="1027" t="s">
        <v>676</v>
      </c>
      <c r="L485" s="1029" t="s">
        <v>677</v>
      </c>
      <c r="M485" s="1092">
        <v>38500000</v>
      </c>
      <c r="N485" s="1083" t="s">
        <v>743</v>
      </c>
      <c r="O485" s="1083" t="s">
        <v>1551</v>
      </c>
      <c r="P485" s="1083"/>
      <c r="Q485" s="1027"/>
      <c r="R485" s="1022"/>
      <c r="S485" s="1130">
        <v>136</v>
      </c>
      <c r="T485" s="1156">
        <v>38500000</v>
      </c>
    </row>
    <row r="486" spans="1:103" s="995" customFormat="1" ht="102" x14ac:dyDescent="0.25">
      <c r="A486" s="1023">
        <v>2022481</v>
      </c>
      <c r="B486" s="1023">
        <v>7658</v>
      </c>
      <c r="C486" s="1023" t="s">
        <v>681</v>
      </c>
      <c r="D486" s="1039" t="s">
        <v>694</v>
      </c>
      <c r="E486" s="1040">
        <v>80111600</v>
      </c>
      <c r="F486" s="1026" t="s">
        <v>1103</v>
      </c>
      <c r="G486" s="1027" t="s">
        <v>1548</v>
      </c>
      <c r="H486" s="1141" t="s">
        <v>1548</v>
      </c>
      <c r="I486" s="1027">
        <v>6</v>
      </c>
      <c r="J486" s="1027" t="s">
        <v>1576</v>
      </c>
      <c r="K486" s="1027" t="s">
        <v>676</v>
      </c>
      <c r="L486" s="1029" t="s">
        <v>677</v>
      </c>
      <c r="M486" s="1092">
        <v>48000000</v>
      </c>
      <c r="N486" s="1083" t="s">
        <v>743</v>
      </c>
      <c r="O486" s="1083" t="s">
        <v>1551</v>
      </c>
      <c r="P486" s="1083"/>
      <c r="Q486" s="1027"/>
      <c r="R486" s="1022"/>
      <c r="S486" s="1130">
        <v>196</v>
      </c>
      <c r="T486" s="1156">
        <v>48000000</v>
      </c>
    </row>
    <row r="487" spans="1:103" s="995" customFormat="1" ht="102" x14ac:dyDescent="0.25">
      <c r="A487" s="1023">
        <v>2022482</v>
      </c>
      <c r="B487" s="1023">
        <v>7658</v>
      </c>
      <c r="C487" s="1023" t="s">
        <v>681</v>
      </c>
      <c r="D487" s="1039" t="s">
        <v>694</v>
      </c>
      <c r="E487" s="1040">
        <v>80111600</v>
      </c>
      <c r="F487" s="1026" t="s">
        <v>1104</v>
      </c>
      <c r="G487" s="1027" t="s">
        <v>1548</v>
      </c>
      <c r="H487" s="1141" t="s">
        <v>1548</v>
      </c>
      <c r="I487" s="1027">
        <v>6</v>
      </c>
      <c r="J487" s="1027" t="s">
        <v>1576</v>
      </c>
      <c r="K487" s="1027" t="s">
        <v>676</v>
      </c>
      <c r="L487" s="1029" t="s">
        <v>677</v>
      </c>
      <c r="M487" s="1092">
        <v>28200000</v>
      </c>
      <c r="N487" s="1083" t="s">
        <v>743</v>
      </c>
      <c r="O487" s="1083" t="s">
        <v>1551</v>
      </c>
      <c r="P487" s="1083"/>
      <c r="Q487" s="1027"/>
      <c r="R487" s="1022"/>
      <c r="S487" s="1130">
        <v>146</v>
      </c>
      <c r="T487" s="1156">
        <v>28200000</v>
      </c>
    </row>
    <row r="488" spans="1:103" s="995" customFormat="1" ht="89.25" x14ac:dyDescent="0.25">
      <c r="A488" s="1023">
        <v>2022236</v>
      </c>
      <c r="B488" s="1023">
        <v>7658</v>
      </c>
      <c r="C488" s="1023" t="s">
        <v>681</v>
      </c>
      <c r="D488" s="1039" t="s">
        <v>700</v>
      </c>
      <c r="E488" s="1040">
        <v>80111600</v>
      </c>
      <c r="F488" s="1026" t="s">
        <v>927</v>
      </c>
      <c r="G488" s="1027" t="s">
        <v>1440</v>
      </c>
      <c r="H488" s="1141" t="s">
        <v>1440</v>
      </c>
      <c r="I488" s="1027" t="s">
        <v>1493</v>
      </c>
      <c r="J488" s="1027" t="s">
        <v>1479</v>
      </c>
      <c r="K488" s="1027" t="s">
        <v>676</v>
      </c>
      <c r="L488" s="1029" t="s">
        <v>677</v>
      </c>
      <c r="M488" s="1092">
        <v>39100000</v>
      </c>
      <c r="N488" s="1083" t="s">
        <v>726</v>
      </c>
      <c r="O488" s="1083" t="s">
        <v>1499</v>
      </c>
      <c r="P488" s="1083"/>
      <c r="Q488" s="1027"/>
      <c r="R488" s="1022"/>
      <c r="S488" s="1130">
        <v>390</v>
      </c>
      <c r="T488" s="1156">
        <v>37400000</v>
      </c>
    </row>
    <row r="489" spans="1:103" s="995" customFormat="1" ht="89.25" x14ac:dyDescent="0.25">
      <c r="A489" s="1013">
        <v>2022483</v>
      </c>
      <c r="B489" s="1013">
        <v>7658</v>
      </c>
      <c r="C489" s="1013" t="s">
        <v>681</v>
      </c>
      <c r="D489" s="1045" t="s">
        <v>700</v>
      </c>
      <c r="E489" s="1051" t="s">
        <v>1105</v>
      </c>
      <c r="F489" s="1016" t="s">
        <v>1106</v>
      </c>
      <c r="G489" s="1047" t="s">
        <v>1440</v>
      </c>
      <c r="H489" s="1141" t="s">
        <v>1449</v>
      </c>
      <c r="I489" s="1048" t="s">
        <v>1494</v>
      </c>
      <c r="J489" s="1049" t="s">
        <v>1577</v>
      </c>
      <c r="K489" s="1017" t="s">
        <v>676</v>
      </c>
      <c r="L489" s="1085" t="s">
        <v>1107</v>
      </c>
      <c r="M489" s="1020">
        <v>30000000</v>
      </c>
      <c r="N489" s="1037" t="s">
        <v>1578</v>
      </c>
      <c r="O489" s="1037" t="s">
        <v>1499</v>
      </c>
      <c r="P489" s="1037"/>
      <c r="Q489" s="1047">
        <v>44600</v>
      </c>
      <c r="R489" s="1022"/>
      <c r="S489" s="1130"/>
      <c r="T489" s="1156"/>
    </row>
    <row r="490" spans="1:103" s="1034" customFormat="1" ht="89.25" x14ac:dyDescent="0.25">
      <c r="A490" s="1131">
        <v>2022484</v>
      </c>
      <c r="B490" s="1131">
        <v>7658</v>
      </c>
      <c r="C490" s="1131" t="s">
        <v>681</v>
      </c>
      <c r="D490" s="1139" t="s">
        <v>700</v>
      </c>
      <c r="E490" s="1140" t="s">
        <v>1108</v>
      </c>
      <c r="F490" s="1134" t="s">
        <v>1109</v>
      </c>
      <c r="G490" s="1141" t="s">
        <v>1440</v>
      </c>
      <c r="H490" s="1141" t="s">
        <v>1449</v>
      </c>
      <c r="I490" s="1142" t="s">
        <v>1495</v>
      </c>
      <c r="J490" s="1143" t="s">
        <v>1537</v>
      </c>
      <c r="K490" s="1135" t="s">
        <v>676</v>
      </c>
      <c r="L490" s="1153" t="s">
        <v>1110</v>
      </c>
      <c r="M490" s="1136">
        <v>100000000</v>
      </c>
      <c r="N490" s="1151" t="s">
        <v>1578</v>
      </c>
      <c r="O490" s="1151" t="s">
        <v>1499</v>
      </c>
      <c r="P490" s="1151"/>
      <c r="Q490" s="1135"/>
      <c r="R490" s="1130">
        <v>453</v>
      </c>
      <c r="S490" s="1130"/>
      <c r="T490" s="1156"/>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5"/>
      <c r="BI490" s="995"/>
      <c r="BJ490" s="995"/>
      <c r="BK490" s="995"/>
      <c r="BL490" s="995"/>
      <c r="BM490" s="995"/>
      <c r="BN490" s="995"/>
      <c r="BO490" s="995"/>
      <c r="BP490" s="995"/>
      <c r="BQ490" s="995"/>
      <c r="BR490" s="995"/>
      <c r="BS490" s="995"/>
      <c r="BT490" s="995"/>
      <c r="BU490" s="995"/>
      <c r="BV490" s="995"/>
      <c r="BW490" s="995"/>
      <c r="BX490" s="995"/>
      <c r="BY490" s="995"/>
      <c r="BZ490" s="995"/>
      <c r="CA490" s="995"/>
      <c r="CB490" s="995"/>
      <c r="CC490" s="995"/>
      <c r="CD490" s="995"/>
      <c r="CE490" s="995"/>
      <c r="CF490" s="995"/>
      <c r="CG490" s="995"/>
      <c r="CH490" s="995"/>
      <c r="CI490" s="995"/>
      <c r="CJ490" s="995"/>
      <c r="CK490" s="995"/>
      <c r="CL490" s="995"/>
      <c r="CM490" s="995"/>
      <c r="CN490" s="995"/>
      <c r="CO490" s="995"/>
      <c r="CP490" s="995"/>
      <c r="CQ490" s="995"/>
      <c r="CR490" s="995"/>
      <c r="CS490" s="995"/>
      <c r="CT490" s="995"/>
      <c r="CU490" s="995"/>
      <c r="CV490" s="995"/>
      <c r="CW490" s="995"/>
      <c r="CX490" s="995"/>
      <c r="CY490" s="995"/>
    </row>
    <row r="491" spans="1:103" s="1034" customFormat="1" ht="89.25" x14ac:dyDescent="0.25">
      <c r="A491" s="1131">
        <v>2022485</v>
      </c>
      <c r="B491" s="1131">
        <v>7658</v>
      </c>
      <c r="C491" s="1131" t="s">
        <v>681</v>
      </c>
      <c r="D491" s="1139" t="s">
        <v>700</v>
      </c>
      <c r="E491" s="1140" t="s">
        <v>1111</v>
      </c>
      <c r="F491" s="1134" t="s">
        <v>1112</v>
      </c>
      <c r="G491" s="1141" t="s">
        <v>1440</v>
      </c>
      <c r="H491" s="1141" t="s">
        <v>1449</v>
      </c>
      <c r="I491" s="1142" t="s">
        <v>1442</v>
      </c>
      <c r="J491" s="1143" t="s">
        <v>1537</v>
      </c>
      <c r="K491" s="1135" t="s">
        <v>676</v>
      </c>
      <c r="L491" s="1132" t="s">
        <v>1113</v>
      </c>
      <c r="M491" s="1136">
        <v>260900000</v>
      </c>
      <c r="N491" s="1151" t="s">
        <v>1578</v>
      </c>
      <c r="O491" s="1151" t="s">
        <v>1499</v>
      </c>
      <c r="P491" s="1151"/>
      <c r="Q491" s="1135"/>
      <c r="R491" s="1130">
        <v>451</v>
      </c>
      <c r="S491" s="1130"/>
      <c r="T491" s="1156"/>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c r="BF491" s="995"/>
      <c r="BG491" s="995"/>
      <c r="BH491" s="995"/>
      <c r="BI491" s="995"/>
      <c r="BJ491" s="995"/>
      <c r="BK491" s="995"/>
      <c r="BL491" s="995"/>
      <c r="BM491" s="995"/>
      <c r="BN491" s="995"/>
      <c r="BO491" s="995"/>
      <c r="BP491" s="995"/>
      <c r="BQ491" s="995"/>
      <c r="BR491" s="995"/>
      <c r="BS491" s="995"/>
      <c r="BT491" s="995"/>
      <c r="BU491" s="995"/>
      <c r="BV491" s="995"/>
      <c r="BW491" s="995"/>
      <c r="BX491" s="995"/>
      <c r="BY491" s="995"/>
      <c r="BZ491" s="995"/>
      <c r="CA491" s="995"/>
      <c r="CB491" s="995"/>
      <c r="CC491" s="995"/>
      <c r="CD491" s="995"/>
      <c r="CE491" s="995"/>
      <c r="CF491" s="995"/>
      <c r="CG491" s="995"/>
      <c r="CH491" s="995"/>
      <c r="CI491" s="995"/>
      <c r="CJ491" s="995"/>
      <c r="CK491" s="995"/>
      <c r="CL491" s="995"/>
      <c r="CM491" s="995"/>
      <c r="CN491" s="995"/>
      <c r="CO491" s="995"/>
      <c r="CP491" s="995"/>
      <c r="CQ491" s="995"/>
      <c r="CR491" s="995"/>
      <c r="CS491" s="995"/>
      <c r="CT491" s="995"/>
      <c r="CU491" s="995"/>
      <c r="CV491" s="995"/>
      <c r="CW491" s="995"/>
      <c r="CX491" s="995"/>
      <c r="CY491" s="995"/>
    </row>
    <row r="492" spans="1:103" s="995" customFormat="1" ht="89.25" x14ac:dyDescent="0.25">
      <c r="A492" s="1013">
        <v>2022486</v>
      </c>
      <c r="B492" s="1013">
        <v>7658</v>
      </c>
      <c r="C492" s="1013" t="s">
        <v>681</v>
      </c>
      <c r="D492" s="1045" t="s">
        <v>700</v>
      </c>
      <c r="E492" s="1094" t="s">
        <v>1114</v>
      </c>
      <c r="F492" s="1016" t="s">
        <v>1115</v>
      </c>
      <c r="G492" s="1047" t="s">
        <v>1440</v>
      </c>
      <c r="H492" s="1141" t="s">
        <v>1449</v>
      </c>
      <c r="I492" s="1048" t="s">
        <v>1495</v>
      </c>
      <c r="J492" s="1049" t="s">
        <v>1537</v>
      </c>
      <c r="K492" s="1017" t="s">
        <v>676</v>
      </c>
      <c r="L492" s="1019" t="s">
        <v>1518</v>
      </c>
      <c r="M492" s="1020">
        <v>200000000</v>
      </c>
      <c r="N492" s="1037" t="s">
        <v>1578</v>
      </c>
      <c r="O492" s="1037" t="s">
        <v>1499</v>
      </c>
      <c r="P492" s="1037"/>
      <c r="Q492" s="1017"/>
      <c r="R492" s="1022"/>
      <c r="S492" s="1130"/>
      <c r="T492" s="1156"/>
    </row>
    <row r="493" spans="1:103" s="995" customFormat="1" ht="89.25" x14ac:dyDescent="0.25">
      <c r="A493" s="1013">
        <v>2022487</v>
      </c>
      <c r="B493" s="1013">
        <v>7658</v>
      </c>
      <c r="C493" s="1013" t="s">
        <v>681</v>
      </c>
      <c r="D493" s="1045" t="s">
        <v>700</v>
      </c>
      <c r="E493" s="1094" t="s">
        <v>1108</v>
      </c>
      <c r="F493" s="1016" t="s">
        <v>1116</v>
      </c>
      <c r="G493" s="1047" t="s">
        <v>1440</v>
      </c>
      <c r="H493" s="1141" t="s">
        <v>1449</v>
      </c>
      <c r="I493" s="1048" t="s">
        <v>1579</v>
      </c>
      <c r="J493" s="1049" t="s">
        <v>1580</v>
      </c>
      <c r="K493" s="1017" t="s">
        <v>676</v>
      </c>
      <c r="L493" s="1085" t="s">
        <v>1110</v>
      </c>
      <c r="M493" s="1020">
        <v>34000000</v>
      </c>
      <c r="N493" s="1037" t="s">
        <v>1578</v>
      </c>
      <c r="O493" s="1037" t="s">
        <v>1499</v>
      </c>
      <c r="P493" s="1037"/>
      <c r="Q493" s="1017"/>
      <c r="R493" s="1022"/>
      <c r="S493" s="1130"/>
      <c r="T493" s="1156"/>
    </row>
    <row r="494" spans="1:103" s="1034" customFormat="1" ht="89.25" x14ac:dyDescent="0.25">
      <c r="A494" s="1131">
        <v>2022488</v>
      </c>
      <c r="B494" s="1131">
        <v>7658</v>
      </c>
      <c r="C494" s="1131" t="s">
        <v>681</v>
      </c>
      <c r="D494" s="1139" t="s">
        <v>700</v>
      </c>
      <c r="E494" s="1145">
        <v>78181500</v>
      </c>
      <c r="F494" s="1134" t="s">
        <v>1117</v>
      </c>
      <c r="G494" s="1141" t="s">
        <v>1440</v>
      </c>
      <c r="H494" s="1141" t="s">
        <v>1449</v>
      </c>
      <c r="I494" s="1142" t="s">
        <v>1581</v>
      </c>
      <c r="J494" s="1143" t="s">
        <v>1328</v>
      </c>
      <c r="K494" s="1135" t="s">
        <v>676</v>
      </c>
      <c r="L494" s="1132" t="s">
        <v>1118</v>
      </c>
      <c r="M494" s="1136">
        <v>2500000000</v>
      </c>
      <c r="N494" s="1151" t="s">
        <v>726</v>
      </c>
      <c r="O494" s="1151" t="s">
        <v>1499</v>
      </c>
      <c r="P494" s="1151"/>
      <c r="Q494" s="1135"/>
      <c r="R494" s="1130">
        <v>561</v>
      </c>
      <c r="S494" s="1130"/>
      <c r="T494" s="1156"/>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c r="BF494" s="995"/>
      <c r="BG494" s="995"/>
      <c r="BH494" s="995"/>
      <c r="BI494" s="995"/>
      <c r="BJ494" s="995"/>
      <c r="BK494" s="995"/>
      <c r="BL494" s="995"/>
      <c r="BM494" s="995"/>
      <c r="BN494" s="995"/>
      <c r="BO494" s="995"/>
      <c r="BP494" s="995"/>
      <c r="BQ494" s="995"/>
      <c r="BR494" s="995"/>
      <c r="BS494" s="995"/>
      <c r="BT494" s="995"/>
      <c r="BU494" s="995"/>
      <c r="BV494" s="995"/>
      <c r="BW494" s="995"/>
      <c r="BX494" s="995"/>
      <c r="BY494" s="995"/>
      <c r="BZ494" s="995"/>
      <c r="CA494" s="995"/>
      <c r="CB494" s="995"/>
      <c r="CC494" s="995"/>
      <c r="CD494" s="995"/>
      <c r="CE494" s="995"/>
      <c r="CF494" s="995"/>
      <c r="CG494" s="995"/>
      <c r="CH494" s="995"/>
      <c r="CI494" s="995"/>
      <c r="CJ494" s="995"/>
      <c r="CK494" s="995"/>
      <c r="CL494" s="995"/>
      <c r="CM494" s="995"/>
      <c r="CN494" s="995"/>
      <c r="CO494" s="995"/>
      <c r="CP494" s="995"/>
      <c r="CQ494" s="995"/>
      <c r="CR494" s="995"/>
      <c r="CS494" s="995"/>
      <c r="CT494" s="995"/>
      <c r="CU494" s="995"/>
      <c r="CV494" s="995"/>
      <c r="CW494" s="995"/>
      <c r="CX494" s="995"/>
      <c r="CY494" s="995"/>
    </row>
    <row r="495" spans="1:103" s="995" customFormat="1" ht="102" x14ac:dyDescent="0.25">
      <c r="A495" s="1023">
        <v>2022489</v>
      </c>
      <c r="B495" s="1023">
        <v>7658</v>
      </c>
      <c r="C495" s="1023" t="s">
        <v>681</v>
      </c>
      <c r="D495" s="1039" t="s">
        <v>700</v>
      </c>
      <c r="E495" s="1040">
        <v>78181500</v>
      </c>
      <c r="F495" s="1026" t="s">
        <v>1119</v>
      </c>
      <c r="G495" s="1041" t="s">
        <v>1440</v>
      </c>
      <c r="H495" s="1141" t="s">
        <v>1440</v>
      </c>
      <c r="I495" s="1042" t="s">
        <v>1545</v>
      </c>
      <c r="J495" s="1043" t="s">
        <v>1328</v>
      </c>
      <c r="K495" s="1027" t="s">
        <v>676</v>
      </c>
      <c r="L495" s="1029" t="s">
        <v>1118</v>
      </c>
      <c r="M495" s="1030">
        <v>750000000</v>
      </c>
      <c r="N495" s="1083" t="s">
        <v>726</v>
      </c>
      <c r="O495" s="1083" t="s">
        <v>1499</v>
      </c>
      <c r="P495" s="1083"/>
      <c r="Q495" s="1027"/>
      <c r="R495" s="1022"/>
      <c r="S495" s="1130">
        <v>493</v>
      </c>
      <c r="T495" s="1156">
        <v>750000000</v>
      </c>
    </row>
    <row r="496" spans="1:103" s="1022" customFormat="1" ht="102" x14ac:dyDescent="0.25">
      <c r="A496" s="1131">
        <v>2022490</v>
      </c>
      <c r="B496" s="1131">
        <v>7658</v>
      </c>
      <c r="C496" s="1131" t="s">
        <v>681</v>
      </c>
      <c r="D496" s="1139" t="s">
        <v>700</v>
      </c>
      <c r="E496" s="1145">
        <v>78181500</v>
      </c>
      <c r="F496" s="1134" t="s">
        <v>1120</v>
      </c>
      <c r="G496" s="1141" t="s">
        <v>1440</v>
      </c>
      <c r="H496" s="1141" t="s">
        <v>1440</v>
      </c>
      <c r="I496" s="1142" t="s">
        <v>1582</v>
      </c>
      <c r="J496" s="1143" t="s">
        <v>1328</v>
      </c>
      <c r="K496" s="1135" t="s">
        <v>676</v>
      </c>
      <c r="L496" s="1132" t="s">
        <v>1118</v>
      </c>
      <c r="M496" s="1136">
        <v>100000000</v>
      </c>
      <c r="N496" s="1151" t="s">
        <v>726</v>
      </c>
      <c r="O496" s="1151" t="s">
        <v>1499</v>
      </c>
      <c r="P496" s="1151"/>
      <c r="Q496" s="1135"/>
      <c r="R496" s="1130">
        <v>593</v>
      </c>
      <c r="S496" s="1130"/>
      <c r="T496" s="1156"/>
    </row>
    <row r="497" spans="1:103" s="1034" customFormat="1" ht="89.25" x14ac:dyDescent="0.25">
      <c r="A497" s="1131">
        <v>2022491</v>
      </c>
      <c r="B497" s="1131">
        <v>7658</v>
      </c>
      <c r="C497" s="1131" t="s">
        <v>681</v>
      </c>
      <c r="D497" s="1139" t="s">
        <v>700</v>
      </c>
      <c r="E497" s="1145">
        <v>25172500</v>
      </c>
      <c r="F497" s="1134" t="s">
        <v>1121</v>
      </c>
      <c r="G497" s="1141" t="s">
        <v>1440</v>
      </c>
      <c r="H497" s="1141" t="s">
        <v>1449</v>
      </c>
      <c r="I497" s="1142" t="s">
        <v>1442</v>
      </c>
      <c r="J497" s="1143" t="s">
        <v>1537</v>
      </c>
      <c r="K497" s="1135" t="s">
        <v>676</v>
      </c>
      <c r="L497" s="1132" t="s">
        <v>983</v>
      </c>
      <c r="M497" s="1136">
        <v>150000000</v>
      </c>
      <c r="N497" s="1151" t="s">
        <v>726</v>
      </c>
      <c r="O497" s="1151" t="s">
        <v>1499</v>
      </c>
      <c r="P497" s="1151"/>
      <c r="Q497" s="1135"/>
      <c r="R497" s="1130">
        <v>560</v>
      </c>
      <c r="S497" s="1130"/>
      <c r="T497" s="1156"/>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c r="BF497" s="995"/>
      <c r="BG497" s="995"/>
      <c r="BH497" s="995"/>
      <c r="BI497" s="995"/>
      <c r="BJ497" s="995"/>
      <c r="BK497" s="995"/>
      <c r="BL497" s="995"/>
      <c r="BM497" s="995"/>
      <c r="BN497" s="995"/>
      <c r="BO497" s="995"/>
      <c r="BP497" s="995"/>
      <c r="BQ497" s="995"/>
      <c r="BR497" s="995"/>
      <c r="BS497" s="995"/>
      <c r="BT497" s="995"/>
      <c r="BU497" s="995"/>
      <c r="BV497" s="995"/>
      <c r="BW497" s="995"/>
      <c r="BX497" s="995"/>
      <c r="BY497" s="995"/>
      <c r="BZ497" s="995"/>
      <c r="CA497" s="995"/>
      <c r="CB497" s="995"/>
      <c r="CC497" s="995"/>
      <c r="CD497" s="995"/>
      <c r="CE497" s="995"/>
      <c r="CF497" s="995"/>
      <c r="CG497" s="995"/>
      <c r="CH497" s="995"/>
      <c r="CI497" s="995"/>
      <c r="CJ497" s="995"/>
      <c r="CK497" s="995"/>
      <c r="CL497" s="995"/>
      <c r="CM497" s="995"/>
      <c r="CN497" s="995"/>
      <c r="CO497" s="995"/>
      <c r="CP497" s="995"/>
      <c r="CQ497" s="995"/>
      <c r="CR497" s="995"/>
      <c r="CS497" s="995"/>
      <c r="CT497" s="995"/>
      <c r="CU497" s="995"/>
      <c r="CV497" s="995"/>
      <c r="CW497" s="995"/>
      <c r="CX497" s="995"/>
      <c r="CY497" s="995"/>
    </row>
    <row r="498" spans="1:103" s="995" customFormat="1" ht="89.25" x14ac:dyDescent="0.25">
      <c r="A498" s="1023">
        <v>2022492</v>
      </c>
      <c r="B498" s="1023">
        <v>7658</v>
      </c>
      <c r="C498" s="1023" t="s">
        <v>681</v>
      </c>
      <c r="D498" s="1039" t="s">
        <v>700</v>
      </c>
      <c r="E498" s="1040">
        <v>15101500</v>
      </c>
      <c r="F498" s="1026" t="s">
        <v>1122</v>
      </c>
      <c r="G498" s="1041" t="s">
        <v>1440</v>
      </c>
      <c r="H498" s="1141" t="s">
        <v>1449</v>
      </c>
      <c r="I498" s="1042" t="s">
        <v>1581</v>
      </c>
      <c r="J498" s="1043" t="s">
        <v>1501</v>
      </c>
      <c r="K498" s="1027" t="s">
        <v>676</v>
      </c>
      <c r="L498" s="1029" t="s">
        <v>1123</v>
      </c>
      <c r="M498" s="1030">
        <v>1030000000</v>
      </c>
      <c r="N498" s="1083" t="s">
        <v>726</v>
      </c>
      <c r="O498" s="1083" t="s">
        <v>1499</v>
      </c>
      <c r="P498" s="1083"/>
      <c r="Q498" s="1027"/>
      <c r="R498" s="1022"/>
      <c r="S498" s="1130">
        <v>221</v>
      </c>
      <c r="T498" s="1156">
        <v>1030000000</v>
      </c>
    </row>
    <row r="499" spans="1:103" s="995" customFormat="1" ht="89.25" x14ac:dyDescent="0.25">
      <c r="A499" s="1013">
        <v>2022493</v>
      </c>
      <c r="B499" s="1013">
        <v>7658</v>
      </c>
      <c r="C499" s="1013" t="s">
        <v>681</v>
      </c>
      <c r="D499" s="1045" t="s">
        <v>700</v>
      </c>
      <c r="E499" s="1051" t="s">
        <v>1124</v>
      </c>
      <c r="F499" s="1016" t="s">
        <v>1125</v>
      </c>
      <c r="G499" s="1047" t="s">
        <v>1440</v>
      </c>
      <c r="H499" s="1141" t="s">
        <v>1449</v>
      </c>
      <c r="I499" s="1048" t="s">
        <v>1581</v>
      </c>
      <c r="J499" s="1049" t="s">
        <v>1537</v>
      </c>
      <c r="K499" s="1017" t="s">
        <v>676</v>
      </c>
      <c r="L499" s="1019" t="s">
        <v>983</v>
      </c>
      <c r="M499" s="1020">
        <v>400000000</v>
      </c>
      <c r="N499" s="1037" t="s">
        <v>726</v>
      </c>
      <c r="O499" s="1037" t="s">
        <v>1499</v>
      </c>
      <c r="P499" s="1037"/>
      <c r="Q499" s="1017"/>
      <c r="R499" s="1022"/>
      <c r="S499" s="1130"/>
      <c r="T499" s="1156"/>
    </row>
    <row r="500" spans="1:103" s="995" customFormat="1" ht="89.25" x14ac:dyDescent="0.25">
      <c r="A500" s="1013">
        <v>2022494</v>
      </c>
      <c r="B500" s="1013">
        <v>7658</v>
      </c>
      <c r="C500" s="1013" t="s">
        <v>681</v>
      </c>
      <c r="D500" s="1045" t="s">
        <v>700</v>
      </c>
      <c r="E500" s="1051" t="s">
        <v>1583</v>
      </c>
      <c r="F500" s="1016" t="s">
        <v>1584</v>
      </c>
      <c r="G500" s="1047" t="s">
        <v>1440</v>
      </c>
      <c r="H500" s="1141" t="s">
        <v>1449</v>
      </c>
      <c r="I500" s="1048" t="s">
        <v>1495</v>
      </c>
      <c r="J500" s="1049" t="s">
        <v>1585</v>
      </c>
      <c r="K500" s="1017" t="s">
        <v>676</v>
      </c>
      <c r="L500" s="1085" t="s">
        <v>959</v>
      </c>
      <c r="M500" s="1020">
        <v>50000000</v>
      </c>
      <c r="N500" s="1037" t="s">
        <v>726</v>
      </c>
      <c r="O500" s="1037" t="s">
        <v>1499</v>
      </c>
      <c r="P500" s="1037"/>
      <c r="Q500" s="1017"/>
      <c r="R500" s="1022"/>
      <c r="S500" s="1130"/>
      <c r="T500" s="1156"/>
    </row>
    <row r="501" spans="1:103" s="995" customFormat="1" ht="89.25" x14ac:dyDescent="0.25">
      <c r="A501" s="1013">
        <v>2022495</v>
      </c>
      <c r="B501" s="1013">
        <v>7658</v>
      </c>
      <c r="C501" s="1013" t="s">
        <v>681</v>
      </c>
      <c r="D501" s="1045" t="s">
        <v>700</v>
      </c>
      <c r="E501" s="1046">
        <v>78181505</v>
      </c>
      <c r="F501" s="1016" t="s">
        <v>1126</v>
      </c>
      <c r="G501" s="1047" t="s">
        <v>1440</v>
      </c>
      <c r="H501" s="1141" t="s">
        <v>1449</v>
      </c>
      <c r="I501" s="1048" t="s">
        <v>1442</v>
      </c>
      <c r="J501" s="1049" t="s">
        <v>1537</v>
      </c>
      <c r="K501" s="1017" t="s">
        <v>676</v>
      </c>
      <c r="L501" s="1019" t="s">
        <v>983</v>
      </c>
      <c r="M501" s="1020">
        <v>80000000</v>
      </c>
      <c r="N501" s="1037" t="s">
        <v>726</v>
      </c>
      <c r="O501" s="1037" t="s">
        <v>1499</v>
      </c>
      <c r="P501" s="1037"/>
      <c r="Q501" s="1047">
        <v>44600</v>
      </c>
      <c r="R501" s="1022"/>
      <c r="S501" s="1130"/>
      <c r="T501" s="1156"/>
    </row>
    <row r="502" spans="1:103" s="995" customFormat="1" ht="89.25" x14ac:dyDescent="0.25">
      <c r="A502" s="1013">
        <v>2022496</v>
      </c>
      <c r="B502" s="1013">
        <v>7658</v>
      </c>
      <c r="C502" s="1013" t="s">
        <v>681</v>
      </c>
      <c r="D502" s="1045" t="s">
        <v>700</v>
      </c>
      <c r="E502" s="1046" t="s">
        <v>1127</v>
      </c>
      <c r="F502" s="1016" t="s">
        <v>1128</v>
      </c>
      <c r="G502" s="1047" t="s">
        <v>1440</v>
      </c>
      <c r="H502" s="1141" t="s">
        <v>1449</v>
      </c>
      <c r="I502" s="1048" t="s">
        <v>1581</v>
      </c>
      <c r="J502" s="1049" t="s">
        <v>1537</v>
      </c>
      <c r="K502" s="1017" t="s">
        <v>676</v>
      </c>
      <c r="L502" s="1019" t="s">
        <v>983</v>
      </c>
      <c r="M502" s="1020">
        <v>150000000</v>
      </c>
      <c r="N502" s="1037" t="s">
        <v>726</v>
      </c>
      <c r="O502" s="1037" t="s">
        <v>1499</v>
      </c>
      <c r="P502" s="1037"/>
      <c r="Q502" s="1047">
        <v>44600</v>
      </c>
      <c r="R502" s="1022"/>
      <c r="S502" s="1130"/>
      <c r="T502" s="1156"/>
    </row>
    <row r="503" spans="1:103" s="1034" customFormat="1" ht="89.25" x14ac:dyDescent="0.25">
      <c r="A503" s="1131">
        <v>2022497</v>
      </c>
      <c r="B503" s="1131">
        <v>7658</v>
      </c>
      <c r="C503" s="1131" t="s">
        <v>681</v>
      </c>
      <c r="D503" s="1139" t="s">
        <v>700</v>
      </c>
      <c r="E503" s="1145">
        <v>72101509</v>
      </c>
      <c r="F503" s="1134" t="s">
        <v>1129</v>
      </c>
      <c r="G503" s="1141" t="s">
        <v>1440</v>
      </c>
      <c r="H503" s="1141" t="s">
        <v>1449</v>
      </c>
      <c r="I503" s="1142" t="s">
        <v>1581</v>
      </c>
      <c r="J503" s="1143" t="s">
        <v>1537</v>
      </c>
      <c r="K503" s="1135" t="s">
        <v>676</v>
      </c>
      <c r="L503" s="1132" t="s">
        <v>983</v>
      </c>
      <c r="M503" s="1136">
        <v>350000000</v>
      </c>
      <c r="N503" s="1151" t="s">
        <v>726</v>
      </c>
      <c r="O503" s="1151" t="s">
        <v>1499</v>
      </c>
      <c r="P503" s="1151"/>
      <c r="Q503" s="1141">
        <v>44600</v>
      </c>
      <c r="R503" s="1130">
        <v>421</v>
      </c>
      <c r="S503" s="1130"/>
      <c r="T503" s="1156"/>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c r="BF503" s="995"/>
      <c r="BG503" s="995"/>
      <c r="BH503" s="995"/>
      <c r="BI503" s="995"/>
      <c r="BJ503" s="995"/>
      <c r="BK503" s="995"/>
      <c r="BL503" s="995"/>
      <c r="BM503" s="995"/>
      <c r="BN503" s="995"/>
      <c r="BO503" s="995"/>
      <c r="BP503" s="995"/>
      <c r="BQ503" s="995"/>
      <c r="BR503" s="995"/>
      <c r="BS503" s="995"/>
      <c r="BT503" s="995"/>
      <c r="BU503" s="995"/>
      <c r="BV503" s="995"/>
      <c r="BW503" s="995"/>
      <c r="BX503" s="995"/>
      <c r="BY503" s="995"/>
      <c r="BZ503" s="995"/>
      <c r="CA503" s="995"/>
      <c r="CB503" s="995"/>
      <c r="CC503" s="995"/>
      <c r="CD503" s="995"/>
      <c r="CE503" s="995"/>
      <c r="CF503" s="995"/>
      <c r="CG503" s="995"/>
      <c r="CH503" s="995"/>
      <c r="CI503" s="995"/>
      <c r="CJ503" s="995"/>
      <c r="CK503" s="995"/>
      <c r="CL503" s="995"/>
      <c r="CM503" s="995"/>
      <c r="CN503" s="995"/>
      <c r="CO503" s="995"/>
      <c r="CP503" s="995"/>
      <c r="CQ503" s="995"/>
      <c r="CR503" s="995"/>
      <c r="CS503" s="995"/>
      <c r="CT503" s="995"/>
      <c r="CU503" s="995"/>
      <c r="CV503" s="995"/>
      <c r="CW503" s="995"/>
      <c r="CX503" s="995"/>
      <c r="CY503" s="995"/>
    </row>
    <row r="504" spans="1:103" s="995" customFormat="1" ht="89.25" x14ac:dyDescent="0.25">
      <c r="A504" s="1013">
        <v>2022498</v>
      </c>
      <c r="B504" s="1013">
        <v>7658</v>
      </c>
      <c r="C504" s="1013" t="s">
        <v>681</v>
      </c>
      <c r="D504" s="1045" t="s">
        <v>700</v>
      </c>
      <c r="E504" s="1046">
        <v>72101509</v>
      </c>
      <c r="F504" s="1016" t="s">
        <v>1586</v>
      </c>
      <c r="G504" s="1047" t="s">
        <v>1440</v>
      </c>
      <c r="H504" s="1141" t="s">
        <v>1449</v>
      </c>
      <c r="I504" s="1048" t="s">
        <v>1581</v>
      </c>
      <c r="J504" s="1049" t="s">
        <v>1587</v>
      </c>
      <c r="K504" s="1017" t="s">
        <v>676</v>
      </c>
      <c r="L504" s="1019" t="s">
        <v>983</v>
      </c>
      <c r="M504" s="1020">
        <v>300000000</v>
      </c>
      <c r="N504" s="1037" t="s">
        <v>726</v>
      </c>
      <c r="O504" s="1037" t="s">
        <v>1499</v>
      </c>
      <c r="P504" s="1037"/>
      <c r="Q504" s="1047">
        <v>44600</v>
      </c>
      <c r="R504" s="1022"/>
      <c r="S504" s="1130"/>
      <c r="T504" s="1156"/>
    </row>
    <row r="505" spans="1:103" s="995" customFormat="1" ht="89.25" x14ac:dyDescent="0.25">
      <c r="A505" s="1131">
        <v>2022499</v>
      </c>
      <c r="B505" s="1131">
        <v>7658</v>
      </c>
      <c r="C505" s="1131" t="s">
        <v>681</v>
      </c>
      <c r="D505" s="1139" t="s">
        <v>700</v>
      </c>
      <c r="E505" s="1145">
        <v>78111800</v>
      </c>
      <c r="F505" s="1134" t="s">
        <v>1131</v>
      </c>
      <c r="G505" s="1141" t="s">
        <v>1440</v>
      </c>
      <c r="H505" s="1141" t="s">
        <v>1449</v>
      </c>
      <c r="I505" s="1142" t="s">
        <v>1581</v>
      </c>
      <c r="J505" s="1143" t="s">
        <v>1501</v>
      </c>
      <c r="K505" s="1135" t="s">
        <v>676</v>
      </c>
      <c r="L505" s="1153" t="s">
        <v>1132</v>
      </c>
      <c r="M505" s="1136">
        <v>600000000</v>
      </c>
      <c r="N505" s="1151" t="s">
        <v>726</v>
      </c>
      <c r="O505" s="1151" t="s">
        <v>1499</v>
      </c>
      <c r="P505" s="1151"/>
      <c r="Q505" s="1135"/>
      <c r="R505" s="1130">
        <v>592</v>
      </c>
      <c r="S505" s="1130"/>
      <c r="T505" s="1156"/>
    </row>
    <row r="506" spans="1:103" s="995" customFormat="1" ht="89.25" x14ac:dyDescent="0.2">
      <c r="A506" s="1013">
        <v>2022500</v>
      </c>
      <c r="B506" s="1013">
        <v>7658</v>
      </c>
      <c r="C506" s="1096" t="s">
        <v>681</v>
      </c>
      <c r="D506" s="1045" t="s">
        <v>700</v>
      </c>
      <c r="E506" s="1046"/>
      <c r="F506" s="1016" t="s">
        <v>1133</v>
      </c>
      <c r="G506" s="1047" t="s">
        <v>1440</v>
      </c>
      <c r="H506" s="1047" t="s">
        <v>1449</v>
      </c>
      <c r="I506" s="1048" t="s">
        <v>1581</v>
      </c>
      <c r="J506" s="1095"/>
      <c r="K506" s="1017" t="s">
        <v>676</v>
      </c>
      <c r="L506" s="1097" t="s">
        <v>677</v>
      </c>
      <c r="M506" s="1020">
        <f>93500000-7475000-10000000</f>
        <v>76025000</v>
      </c>
      <c r="N506" s="1037" t="s">
        <v>1578</v>
      </c>
      <c r="O506" s="1037" t="s">
        <v>1499</v>
      </c>
      <c r="P506" s="1037"/>
      <c r="Q506" s="1047">
        <v>44600</v>
      </c>
      <c r="R506" s="1022"/>
      <c r="S506" s="1130"/>
      <c r="T506" s="1156"/>
    </row>
    <row r="507" spans="1:103" s="995" customFormat="1" ht="89.25" x14ac:dyDescent="0.25">
      <c r="A507" s="1013">
        <v>2022501</v>
      </c>
      <c r="B507" s="1013">
        <v>7658</v>
      </c>
      <c r="C507" s="1096" t="s">
        <v>681</v>
      </c>
      <c r="D507" s="1045" t="s">
        <v>700</v>
      </c>
      <c r="E507" s="1046" t="s">
        <v>1134</v>
      </c>
      <c r="F507" s="1016" t="s">
        <v>1135</v>
      </c>
      <c r="G507" s="1047" t="s">
        <v>1440</v>
      </c>
      <c r="H507" s="1047" t="s">
        <v>1449</v>
      </c>
      <c r="I507" s="1048" t="s">
        <v>1581</v>
      </c>
      <c r="J507" s="1049" t="s">
        <v>1328</v>
      </c>
      <c r="K507" s="1017" t="s">
        <v>772</v>
      </c>
      <c r="L507" s="1019" t="s">
        <v>1518</v>
      </c>
      <c r="M507" s="1020">
        <v>437560000</v>
      </c>
      <c r="N507" s="1037" t="s">
        <v>726</v>
      </c>
      <c r="O507" s="1037" t="s">
        <v>1499</v>
      </c>
      <c r="P507" s="1037"/>
      <c r="Q507" s="1017"/>
      <c r="R507" s="1022"/>
      <c r="S507" s="1130"/>
      <c r="T507" s="1156"/>
    </row>
    <row r="508" spans="1:103" s="995" customFormat="1" ht="102" x14ac:dyDescent="0.25">
      <c r="A508" s="1023">
        <v>2022502</v>
      </c>
      <c r="B508" s="1023">
        <v>7658</v>
      </c>
      <c r="C508" s="1098" t="s">
        <v>681</v>
      </c>
      <c r="D508" s="1039" t="s">
        <v>700</v>
      </c>
      <c r="E508" s="1040">
        <v>80111600</v>
      </c>
      <c r="F508" s="1026" t="s">
        <v>1136</v>
      </c>
      <c r="G508" s="1041" t="s">
        <v>1440</v>
      </c>
      <c r="H508" s="1028" t="s">
        <v>1440</v>
      </c>
      <c r="I508" s="1042" t="s">
        <v>1493</v>
      </c>
      <c r="J508" s="1043" t="s">
        <v>1479</v>
      </c>
      <c r="K508" s="1027" t="s">
        <v>676</v>
      </c>
      <c r="L508" s="1029" t="s">
        <v>677</v>
      </c>
      <c r="M508" s="1030">
        <v>98900000</v>
      </c>
      <c r="N508" s="1083" t="s">
        <v>726</v>
      </c>
      <c r="O508" s="1083" t="s">
        <v>1499</v>
      </c>
      <c r="P508" s="1083"/>
      <c r="Q508" s="1027"/>
      <c r="R508" s="1022"/>
      <c r="S508" s="1130">
        <v>127</v>
      </c>
      <c r="T508" s="1156">
        <v>94600000</v>
      </c>
    </row>
    <row r="509" spans="1:103" s="995" customFormat="1" ht="89.25" x14ac:dyDescent="0.25">
      <c r="A509" s="1023">
        <v>2022503</v>
      </c>
      <c r="B509" s="1023">
        <v>7658</v>
      </c>
      <c r="C509" s="1098" t="s">
        <v>681</v>
      </c>
      <c r="D509" s="1039" t="s">
        <v>700</v>
      </c>
      <c r="E509" s="1040">
        <v>80111600</v>
      </c>
      <c r="F509" s="1026" t="s">
        <v>1137</v>
      </c>
      <c r="G509" s="1041" t="s">
        <v>1440</v>
      </c>
      <c r="H509" s="1028" t="s">
        <v>1440</v>
      </c>
      <c r="I509" s="1042" t="s">
        <v>1493</v>
      </c>
      <c r="J509" s="1043" t="s">
        <v>1479</v>
      </c>
      <c r="K509" s="1027" t="s">
        <v>676</v>
      </c>
      <c r="L509" s="1029" t="s">
        <v>677</v>
      </c>
      <c r="M509" s="1030">
        <v>97175000</v>
      </c>
      <c r="N509" s="1083" t="s">
        <v>726</v>
      </c>
      <c r="O509" s="1083" t="s">
        <v>1499</v>
      </c>
      <c r="P509" s="1083"/>
      <c r="Q509" s="1027"/>
      <c r="R509" s="1022"/>
      <c r="S509" s="1130">
        <v>75</v>
      </c>
      <c r="T509" s="1156">
        <v>92950000</v>
      </c>
    </row>
    <row r="510" spans="1:103" s="995" customFormat="1" ht="89.25" x14ac:dyDescent="0.25">
      <c r="A510" s="1023">
        <v>2022504</v>
      </c>
      <c r="B510" s="1023">
        <v>7658</v>
      </c>
      <c r="C510" s="1098" t="s">
        <v>681</v>
      </c>
      <c r="D510" s="1039" t="s">
        <v>700</v>
      </c>
      <c r="E510" s="1040">
        <v>80111600</v>
      </c>
      <c r="F510" s="1026" t="s">
        <v>1138</v>
      </c>
      <c r="G510" s="1041" t="s">
        <v>1440</v>
      </c>
      <c r="H510" s="1028" t="s">
        <v>1440</v>
      </c>
      <c r="I510" s="1042" t="s">
        <v>1493</v>
      </c>
      <c r="J510" s="1043" t="s">
        <v>1479</v>
      </c>
      <c r="K510" s="1027" t="s">
        <v>676</v>
      </c>
      <c r="L510" s="1029" t="s">
        <v>784</v>
      </c>
      <c r="M510" s="1030">
        <v>103500000</v>
      </c>
      <c r="N510" s="1083" t="s">
        <v>726</v>
      </c>
      <c r="O510" s="1083" t="s">
        <v>1499</v>
      </c>
      <c r="P510" s="1083"/>
      <c r="Q510" s="1027"/>
      <c r="R510" s="1022"/>
      <c r="S510" s="1130">
        <v>303</v>
      </c>
      <c r="T510" s="1156">
        <v>99000000</v>
      </c>
    </row>
    <row r="511" spans="1:103" s="995" customFormat="1" ht="89.25" x14ac:dyDescent="0.25">
      <c r="A511" s="1023">
        <v>2022505</v>
      </c>
      <c r="B511" s="1023">
        <v>7658</v>
      </c>
      <c r="C511" s="1098" t="s">
        <v>681</v>
      </c>
      <c r="D511" s="1039" t="s">
        <v>700</v>
      </c>
      <c r="E511" s="1040">
        <v>80111600</v>
      </c>
      <c r="F511" s="1026" t="s">
        <v>1139</v>
      </c>
      <c r="G511" s="1041" t="s">
        <v>1440</v>
      </c>
      <c r="H511" s="1028" t="s">
        <v>1440</v>
      </c>
      <c r="I511" s="1042" t="s">
        <v>1493</v>
      </c>
      <c r="J511" s="1043" t="s">
        <v>1479</v>
      </c>
      <c r="K511" s="1027" t="s">
        <v>676</v>
      </c>
      <c r="L511" s="1029" t="s">
        <v>677</v>
      </c>
      <c r="M511" s="1030">
        <v>94760000</v>
      </c>
      <c r="N511" s="1083" t="s">
        <v>1578</v>
      </c>
      <c r="O511" s="1083" t="s">
        <v>1499</v>
      </c>
      <c r="P511" s="1083"/>
      <c r="Q511" s="1027"/>
      <c r="R511" s="1022"/>
      <c r="S511" s="1130">
        <v>455</v>
      </c>
      <c r="T511" s="1156">
        <v>90640000</v>
      </c>
    </row>
    <row r="512" spans="1:103" s="995" customFormat="1" ht="89.25" x14ac:dyDescent="0.25">
      <c r="A512" s="1023">
        <v>2022506</v>
      </c>
      <c r="B512" s="1023">
        <v>7658</v>
      </c>
      <c r="C512" s="1098" t="s">
        <v>681</v>
      </c>
      <c r="D512" s="1039" t="s">
        <v>700</v>
      </c>
      <c r="E512" s="1040">
        <v>80111600</v>
      </c>
      <c r="F512" s="1026" t="s">
        <v>1140</v>
      </c>
      <c r="G512" s="1041" t="s">
        <v>1440</v>
      </c>
      <c r="H512" s="1028" t="s">
        <v>1440</v>
      </c>
      <c r="I512" s="1042" t="s">
        <v>1493</v>
      </c>
      <c r="J512" s="1043" t="s">
        <v>1479</v>
      </c>
      <c r="K512" s="1027" t="s">
        <v>676</v>
      </c>
      <c r="L512" s="1027" t="s">
        <v>677</v>
      </c>
      <c r="M512" s="1030">
        <f>97175000-20700000-13225000</f>
        <v>63250000</v>
      </c>
      <c r="N512" s="1083" t="s">
        <v>726</v>
      </c>
      <c r="O512" s="1083" t="s">
        <v>1499</v>
      </c>
      <c r="P512" s="1083"/>
      <c r="Q512" s="1027"/>
      <c r="R512" s="1022"/>
      <c r="S512" s="1130">
        <v>442</v>
      </c>
      <c r="T512" s="1156">
        <v>60500000</v>
      </c>
    </row>
    <row r="513" spans="1:20" s="995" customFormat="1" ht="89.25" x14ac:dyDescent="0.25">
      <c r="A513" s="1023">
        <v>2022507</v>
      </c>
      <c r="B513" s="1023">
        <v>7658</v>
      </c>
      <c r="C513" s="1098" t="s">
        <v>681</v>
      </c>
      <c r="D513" s="1039" t="s">
        <v>700</v>
      </c>
      <c r="E513" s="1040">
        <v>80111600</v>
      </c>
      <c r="F513" s="1026" t="s">
        <v>1141</v>
      </c>
      <c r="G513" s="1041" t="s">
        <v>1440</v>
      </c>
      <c r="H513" s="1028" t="s">
        <v>1440</v>
      </c>
      <c r="I513" s="1042" t="s">
        <v>1493</v>
      </c>
      <c r="J513" s="1043" t="s">
        <v>1479</v>
      </c>
      <c r="K513" s="1027" t="s">
        <v>676</v>
      </c>
      <c r="L513" s="1029" t="s">
        <v>677</v>
      </c>
      <c r="M513" s="1030">
        <v>82915000</v>
      </c>
      <c r="N513" s="1083" t="s">
        <v>726</v>
      </c>
      <c r="O513" s="1083" t="s">
        <v>1499</v>
      </c>
      <c r="P513" s="1083"/>
      <c r="Q513" s="1027"/>
      <c r="R513" s="1022"/>
      <c r="S513" s="1130">
        <v>383</v>
      </c>
      <c r="T513" s="1156">
        <v>79310000</v>
      </c>
    </row>
    <row r="514" spans="1:20" s="995" customFormat="1" ht="89.25" x14ac:dyDescent="0.25">
      <c r="A514" s="1023">
        <v>2022508</v>
      </c>
      <c r="B514" s="1023">
        <v>7658</v>
      </c>
      <c r="C514" s="1098" t="s">
        <v>681</v>
      </c>
      <c r="D514" s="1039" t="s">
        <v>700</v>
      </c>
      <c r="E514" s="1040">
        <v>80111600</v>
      </c>
      <c r="F514" s="1026" t="s">
        <v>1142</v>
      </c>
      <c r="G514" s="1041" t="s">
        <v>1440</v>
      </c>
      <c r="H514" s="1028" t="s">
        <v>1440</v>
      </c>
      <c r="I514" s="1042" t="s">
        <v>1493</v>
      </c>
      <c r="J514" s="1043" t="s">
        <v>1479</v>
      </c>
      <c r="K514" s="1027" t="s">
        <v>676</v>
      </c>
      <c r="L514" s="1029" t="s">
        <v>677</v>
      </c>
      <c r="M514" s="1030">
        <v>32200000</v>
      </c>
      <c r="N514" s="1083" t="s">
        <v>726</v>
      </c>
      <c r="O514" s="1083" t="s">
        <v>1499</v>
      </c>
      <c r="P514" s="1083"/>
      <c r="Q514" s="1027"/>
      <c r="R514" s="1022"/>
      <c r="S514" s="1130">
        <v>111</v>
      </c>
      <c r="T514" s="1156">
        <v>16800000</v>
      </c>
    </row>
    <row r="515" spans="1:20" s="995" customFormat="1" ht="89.25" x14ac:dyDescent="0.25">
      <c r="A515" s="1023">
        <v>2022509</v>
      </c>
      <c r="B515" s="1023">
        <v>7658</v>
      </c>
      <c r="C515" s="1098" t="s">
        <v>681</v>
      </c>
      <c r="D515" s="1039" t="s">
        <v>700</v>
      </c>
      <c r="E515" s="1040">
        <v>80111600</v>
      </c>
      <c r="F515" s="1026" t="s">
        <v>1143</v>
      </c>
      <c r="G515" s="1041" t="s">
        <v>1440</v>
      </c>
      <c r="H515" s="1028" t="s">
        <v>1440</v>
      </c>
      <c r="I515" s="1042" t="s">
        <v>1493</v>
      </c>
      <c r="J515" s="1043" t="s">
        <v>1479</v>
      </c>
      <c r="K515" s="1027" t="s">
        <v>676</v>
      </c>
      <c r="L515" s="1029" t="s">
        <v>677</v>
      </c>
      <c r="M515" s="1030">
        <v>36685000</v>
      </c>
      <c r="N515" s="1083" t="s">
        <v>1578</v>
      </c>
      <c r="O515" s="1083" t="s">
        <v>1499</v>
      </c>
      <c r="P515" s="1083"/>
      <c r="Q515" s="1027"/>
      <c r="R515" s="1022"/>
      <c r="S515" s="1130">
        <v>233</v>
      </c>
      <c r="T515" s="1156">
        <v>35090000</v>
      </c>
    </row>
    <row r="516" spans="1:20" s="995" customFormat="1" ht="89.25" x14ac:dyDescent="0.25">
      <c r="A516" s="1023">
        <v>2022510</v>
      </c>
      <c r="B516" s="1023">
        <v>7658</v>
      </c>
      <c r="C516" s="1098" t="s">
        <v>681</v>
      </c>
      <c r="D516" s="1039" t="s">
        <v>700</v>
      </c>
      <c r="E516" s="1040">
        <v>80111600</v>
      </c>
      <c r="F516" s="1026" t="s">
        <v>1144</v>
      </c>
      <c r="G516" s="1041" t="s">
        <v>1440</v>
      </c>
      <c r="H516" s="1028" t="s">
        <v>1440</v>
      </c>
      <c r="I516" s="1042" t="s">
        <v>1493</v>
      </c>
      <c r="J516" s="1043" t="s">
        <v>1479</v>
      </c>
      <c r="K516" s="1027" t="s">
        <v>676</v>
      </c>
      <c r="L516" s="1029" t="s">
        <v>677</v>
      </c>
      <c r="M516" s="1030">
        <v>97175000</v>
      </c>
      <c r="N516" s="1083" t="s">
        <v>1578</v>
      </c>
      <c r="O516" s="1083" t="s">
        <v>1499</v>
      </c>
      <c r="P516" s="1083"/>
      <c r="Q516" s="1027"/>
      <c r="R516" s="1022"/>
      <c r="S516" s="1130">
        <v>69</v>
      </c>
      <c r="T516" s="1156">
        <v>92950000</v>
      </c>
    </row>
    <row r="517" spans="1:20" s="995" customFormat="1" ht="89.25" x14ac:dyDescent="0.25">
      <c r="A517" s="1023">
        <v>2022511</v>
      </c>
      <c r="B517" s="1023">
        <v>7658</v>
      </c>
      <c r="C517" s="1098" t="s">
        <v>681</v>
      </c>
      <c r="D517" s="1039" t="s">
        <v>700</v>
      </c>
      <c r="E517" s="1040">
        <v>80111600</v>
      </c>
      <c r="F517" s="1026" t="s">
        <v>1145</v>
      </c>
      <c r="G517" s="1041" t="s">
        <v>1440</v>
      </c>
      <c r="H517" s="1028" t="s">
        <v>1440</v>
      </c>
      <c r="I517" s="1042" t="s">
        <v>1493</v>
      </c>
      <c r="J517" s="1043" t="s">
        <v>1479</v>
      </c>
      <c r="K517" s="1027" t="s">
        <v>676</v>
      </c>
      <c r="L517" s="1029" t="s">
        <v>677</v>
      </c>
      <c r="M517" s="1030">
        <v>45655000</v>
      </c>
      <c r="N517" s="1083" t="s">
        <v>1578</v>
      </c>
      <c r="O517" s="1083" t="s">
        <v>1499</v>
      </c>
      <c r="P517" s="1083"/>
      <c r="Q517" s="1027"/>
      <c r="R517" s="1022"/>
      <c r="S517" s="1130">
        <v>148</v>
      </c>
      <c r="T517" s="1156">
        <v>43670000</v>
      </c>
    </row>
    <row r="518" spans="1:20" s="995" customFormat="1" ht="89.25" x14ac:dyDescent="0.25">
      <c r="A518" s="1023">
        <v>2022512</v>
      </c>
      <c r="B518" s="1023">
        <v>7658</v>
      </c>
      <c r="C518" s="1098" t="s">
        <v>681</v>
      </c>
      <c r="D518" s="1039" t="s">
        <v>700</v>
      </c>
      <c r="E518" s="1040">
        <v>80111600</v>
      </c>
      <c r="F518" s="1026" t="s">
        <v>1141</v>
      </c>
      <c r="G518" s="1041" t="s">
        <v>1440</v>
      </c>
      <c r="H518" s="1028" t="s">
        <v>1440</v>
      </c>
      <c r="I518" s="1042" t="s">
        <v>1493</v>
      </c>
      <c r="J518" s="1043" t="s">
        <v>1479</v>
      </c>
      <c r="K518" s="1027" t="s">
        <v>676</v>
      </c>
      <c r="L518" s="1029" t="s">
        <v>677</v>
      </c>
      <c r="M518" s="1030">
        <v>82915000</v>
      </c>
      <c r="N518" s="1083" t="s">
        <v>726</v>
      </c>
      <c r="O518" s="1083" t="s">
        <v>1499</v>
      </c>
      <c r="P518" s="1083"/>
      <c r="Q518" s="1027"/>
      <c r="R518" s="1022"/>
      <c r="S518" s="1130">
        <v>276</v>
      </c>
      <c r="T518" s="1156">
        <v>79310000</v>
      </c>
    </row>
    <row r="519" spans="1:20" s="995" customFormat="1" ht="89.25" x14ac:dyDescent="0.25">
      <c r="A519" s="1023">
        <v>2022513</v>
      </c>
      <c r="B519" s="1023">
        <v>7658</v>
      </c>
      <c r="C519" s="1098" t="s">
        <v>681</v>
      </c>
      <c r="D519" s="1039" t="s">
        <v>700</v>
      </c>
      <c r="E519" s="1040">
        <v>80111600</v>
      </c>
      <c r="F519" s="1026" t="s">
        <v>1588</v>
      </c>
      <c r="G519" s="1041" t="s">
        <v>1440</v>
      </c>
      <c r="H519" s="1028" t="s">
        <v>1440</v>
      </c>
      <c r="I519" s="1042" t="s">
        <v>1493</v>
      </c>
      <c r="J519" s="1043" t="s">
        <v>1479</v>
      </c>
      <c r="K519" s="1027" t="s">
        <v>676</v>
      </c>
      <c r="L519" s="1029" t="s">
        <v>677</v>
      </c>
      <c r="M519" s="1030">
        <v>28175000</v>
      </c>
      <c r="N519" s="1083" t="s">
        <v>726</v>
      </c>
      <c r="O519" s="1083" t="s">
        <v>1499</v>
      </c>
      <c r="P519" s="1083"/>
      <c r="Q519" s="1027"/>
      <c r="R519" s="1022"/>
      <c r="S519" s="1130">
        <v>399</v>
      </c>
      <c r="T519" s="1156">
        <v>26950000</v>
      </c>
    </row>
    <row r="520" spans="1:20" s="995" customFormat="1" ht="89.25" x14ac:dyDescent="0.25">
      <c r="A520" s="1023">
        <v>2022514</v>
      </c>
      <c r="B520" s="1023">
        <v>7658</v>
      </c>
      <c r="C520" s="1098" t="s">
        <v>681</v>
      </c>
      <c r="D520" s="1039" t="s">
        <v>700</v>
      </c>
      <c r="E520" s="1040">
        <v>80111600</v>
      </c>
      <c r="F520" s="1026" t="s">
        <v>1147</v>
      </c>
      <c r="G520" s="1041" t="s">
        <v>1440</v>
      </c>
      <c r="H520" s="1028" t="s">
        <v>1440</v>
      </c>
      <c r="I520" s="1042" t="s">
        <v>1493</v>
      </c>
      <c r="J520" s="1043" t="s">
        <v>1479</v>
      </c>
      <c r="K520" s="1027" t="s">
        <v>676</v>
      </c>
      <c r="L520" s="1029" t="s">
        <v>677</v>
      </c>
      <c r="M520" s="1030">
        <v>45655000</v>
      </c>
      <c r="N520" s="1083" t="s">
        <v>1578</v>
      </c>
      <c r="O520" s="1083" t="s">
        <v>1499</v>
      </c>
      <c r="P520" s="1083"/>
      <c r="Q520" s="1027"/>
      <c r="R520" s="1022"/>
      <c r="S520" s="1130">
        <v>365</v>
      </c>
      <c r="T520" s="1156">
        <v>43670000</v>
      </c>
    </row>
    <row r="521" spans="1:20" s="995" customFormat="1" ht="89.25" x14ac:dyDescent="0.25">
      <c r="A521" s="1023">
        <v>2022515</v>
      </c>
      <c r="B521" s="1023">
        <v>7658</v>
      </c>
      <c r="C521" s="1098" t="s">
        <v>681</v>
      </c>
      <c r="D521" s="1039" t="s">
        <v>700</v>
      </c>
      <c r="E521" s="1040">
        <v>80111600</v>
      </c>
      <c r="F521" s="1026" t="s">
        <v>1148</v>
      </c>
      <c r="G521" s="1041" t="s">
        <v>1440</v>
      </c>
      <c r="H521" s="1028" t="s">
        <v>1440</v>
      </c>
      <c r="I521" s="1042" t="s">
        <v>1493</v>
      </c>
      <c r="J521" s="1043" t="s">
        <v>1479</v>
      </c>
      <c r="K521" s="1027" t="s">
        <v>676</v>
      </c>
      <c r="L521" s="1029" t="s">
        <v>677</v>
      </c>
      <c r="M521" s="1030">
        <v>36685000</v>
      </c>
      <c r="N521" s="1083" t="s">
        <v>726</v>
      </c>
      <c r="O521" s="1083" t="s">
        <v>1499</v>
      </c>
      <c r="P521" s="1083"/>
      <c r="Q521" s="1027"/>
      <c r="R521" s="1022"/>
      <c r="S521" s="1130">
        <v>263</v>
      </c>
      <c r="T521" s="1156">
        <v>35090000</v>
      </c>
    </row>
    <row r="522" spans="1:20" s="995" customFormat="1" ht="89.25" x14ac:dyDescent="0.25">
      <c r="A522" s="1023">
        <v>2022516</v>
      </c>
      <c r="B522" s="1023">
        <v>7658</v>
      </c>
      <c r="C522" s="1098" t="s">
        <v>681</v>
      </c>
      <c r="D522" s="1039" t="s">
        <v>700</v>
      </c>
      <c r="E522" s="1040">
        <v>80111600</v>
      </c>
      <c r="F522" s="1026" t="s">
        <v>1149</v>
      </c>
      <c r="G522" s="1041" t="s">
        <v>1440</v>
      </c>
      <c r="H522" s="1028" t="s">
        <v>1440</v>
      </c>
      <c r="I522" s="1042" t="s">
        <v>1493</v>
      </c>
      <c r="J522" s="1043" t="s">
        <v>1479</v>
      </c>
      <c r="K522" s="1027" t="s">
        <v>676</v>
      </c>
      <c r="L522" s="1029" t="s">
        <v>677</v>
      </c>
      <c r="M522" s="1030">
        <v>28175000</v>
      </c>
      <c r="N522" s="1083" t="s">
        <v>1578</v>
      </c>
      <c r="O522" s="1083" t="s">
        <v>1499</v>
      </c>
      <c r="P522" s="1083"/>
      <c r="Q522" s="1027"/>
      <c r="R522" s="1022"/>
      <c r="S522" s="1130">
        <v>139</v>
      </c>
      <c r="T522" s="1156">
        <v>26950000</v>
      </c>
    </row>
    <row r="523" spans="1:20" s="995" customFormat="1" ht="89.25" x14ac:dyDescent="0.25">
      <c r="A523" s="1023">
        <v>2022517</v>
      </c>
      <c r="B523" s="1023">
        <v>7658</v>
      </c>
      <c r="C523" s="1098" t="s">
        <v>681</v>
      </c>
      <c r="D523" s="1039" t="s">
        <v>700</v>
      </c>
      <c r="E523" s="1040">
        <v>80111600</v>
      </c>
      <c r="F523" s="1026" t="s">
        <v>1150</v>
      </c>
      <c r="G523" s="1041" t="s">
        <v>1440</v>
      </c>
      <c r="H523" s="1028" t="s">
        <v>1440</v>
      </c>
      <c r="I523" s="1042" t="s">
        <v>1493</v>
      </c>
      <c r="J523" s="1043" t="s">
        <v>1479</v>
      </c>
      <c r="K523" s="1027" t="s">
        <v>676</v>
      </c>
      <c r="L523" s="1029" t="s">
        <v>677</v>
      </c>
      <c r="M523" s="1030">
        <v>36685000</v>
      </c>
      <c r="N523" s="1083" t="s">
        <v>726</v>
      </c>
      <c r="O523" s="1083" t="s">
        <v>1499</v>
      </c>
      <c r="P523" s="1083"/>
      <c r="Q523" s="1027"/>
      <c r="R523" s="1022"/>
      <c r="S523" s="1130">
        <v>364</v>
      </c>
      <c r="T523" s="1156">
        <v>35090000</v>
      </c>
    </row>
    <row r="524" spans="1:20" s="995" customFormat="1" ht="114.75" x14ac:dyDescent="0.25">
      <c r="A524" s="1023">
        <v>2022518</v>
      </c>
      <c r="B524" s="1023">
        <v>7658</v>
      </c>
      <c r="C524" s="1098" t="s">
        <v>681</v>
      </c>
      <c r="D524" s="1039" t="s">
        <v>700</v>
      </c>
      <c r="E524" s="1040">
        <v>80111600</v>
      </c>
      <c r="F524" s="1026" t="s">
        <v>1151</v>
      </c>
      <c r="G524" s="1041" t="s">
        <v>1440</v>
      </c>
      <c r="H524" s="1028" t="s">
        <v>1440</v>
      </c>
      <c r="I524" s="1042" t="s">
        <v>1493</v>
      </c>
      <c r="J524" s="1043" t="s">
        <v>1479</v>
      </c>
      <c r="K524" s="1027" t="s">
        <v>676</v>
      </c>
      <c r="L524" s="1027" t="s">
        <v>677</v>
      </c>
      <c r="M524" s="1030">
        <v>51750000</v>
      </c>
      <c r="N524" s="1083" t="s">
        <v>726</v>
      </c>
      <c r="O524" s="1083" t="s">
        <v>1499</v>
      </c>
      <c r="P524" s="1083"/>
      <c r="Q524" s="1027"/>
      <c r="R524" s="1022"/>
      <c r="S524" s="1130">
        <v>234</v>
      </c>
      <c r="T524" s="1156">
        <v>51700000</v>
      </c>
    </row>
    <row r="525" spans="1:20" s="995" customFormat="1" ht="114.75" x14ac:dyDescent="0.25">
      <c r="A525" s="1023">
        <v>2022519</v>
      </c>
      <c r="B525" s="1023">
        <v>7658</v>
      </c>
      <c r="C525" s="1098" t="s">
        <v>681</v>
      </c>
      <c r="D525" s="1039" t="s">
        <v>700</v>
      </c>
      <c r="E525" s="1040">
        <v>80111600</v>
      </c>
      <c r="F525" s="1026" t="s">
        <v>1152</v>
      </c>
      <c r="G525" s="1041" t="s">
        <v>1440</v>
      </c>
      <c r="H525" s="1028" t="s">
        <v>1440</v>
      </c>
      <c r="I525" s="1042" t="s">
        <v>1493</v>
      </c>
      <c r="J525" s="1043" t="s">
        <v>1479</v>
      </c>
      <c r="K525" s="1027" t="s">
        <v>676</v>
      </c>
      <c r="L525" s="1029" t="s">
        <v>677</v>
      </c>
      <c r="M525" s="1030">
        <v>54050000</v>
      </c>
      <c r="N525" s="1083" t="s">
        <v>1578</v>
      </c>
      <c r="O525" s="1083" t="s">
        <v>1499</v>
      </c>
      <c r="P525" s="1083"/>
      <c r="Q525" s="1027"/>
      <c r="R525" s="1022"/>
      <c r="S525" s="1130">
        <v>165</v>
      </c>
      <c r="T525" s="1156">
        <v>49500000</v>
      </c>
    </row>
    <row r="526" spans="1:20" s="995" customFormat="1" ht="89.25" x14ac:dyDescent="0.25">
      <c r="A526" s="1023">
        <v>2022520</v>
      </c>
      <c r="B526" s="1023">
        <v>7658</v>
      </c>
      <c r="C526" s="1098" t="s">
        <v>681</v>
      </c>
      <c r="D526" s="1039" t="s">
        <v>700</v>
      </c>
      <c r="E526" s="1040">
        <v>80111600</v>
      </c>
      <c r="F526" s="1026" t="s">
        <v>1153</v>
      </c>
      <c r="G526" s="1041" t="s">
        <v>1440</v>
      </c>
      <c r="H526" s="1028" t="s">
        <v>1440</v>
      </c>
      <c r="I526" s="1042" t="s">
        <v>1493</v>
      </c>
      <c r="J526" s="1043" t="s">
        <v>1479</v>
      </c>
      <c r="K526" s="1027" t="s">
        <v>676</v>
      </c>
      <c r="L526" s="1029" t="s">
        <v>677</v>
      </c>
      <c r="M526" s="1030">
        <v>51750000</v>
      </c>
      <c r="N526" s="1083" t="s">
        <v>726</v>
      </c>
      <c r="O526" s="1083" t="s">
        <v>1499</v>
      </c>
      <c r="P526" s="1083"/>
      <c r="Q526" s="1027"/>
      <c r="R526" s="1022"/>
      <c r="S526" s="1130">
        <v>220</v>
      </c>
      <c r="T526" s="1156">
        <v>49500000</v>
      </c>
    </row>
    <row r="527" spans="1:20" s="995" customFormat="1" ht="89.25" x14ac:dyDescent="0.25">
      <c r="A527" s="1023">
        <v>2022521</v>
      </c>
      <c r="B527" s="1023">
        <v>7658</v>
      </c>
      <c r="C527" s="1098" t="s">
        <v>681</v>
      </c>
      <c r="D527" s="1039" t="s">
        <v>700</v>
      </c>
      <c r="E527" s="1040">
        <v>80111600</v>
      </c>
      <c r="F527" s="1026" t="s">
        <v>1154</v>
      </c>
      <c r="G527" s="1041" t="s">
        <v>1440</v>
      </c>
      <c r="H527" s="1028" t="s">
        <v>1440</v>
      </c>
      <c r="I527" s="1042" t="s">
        <v>1493</v>
      </c>
      <c r="J527" s="1043" t="s">
        <v>1479</v>
      </c>
      <c r="K527" s="1027" t="s">
        <v>676</v>
      </c>
      <c r="L527" s="1029" t="s">
        <v>677</v>
      </c>
      <c r="M527" s="1030">
        <v>45655000</v>
      </c>
      <c r="N527" s="1083" t="s">
        <v>726</v>
      </c>
      <c r="O527" s="1083" t="s">
        <v>1499</v>
      </c>
      <c r="P527" s="1083"/>
      <c r="Q527" s="1027"/>
      <c r="R527" s="1022"/>
      <c r="S527" s="1130">
        <v>384</v>
      </c>
      <c r="T527" s="1156">
        <v>43670000</v>
      </c>
    </row>
    <row r="528" spans="1:20" s="995" customFormat="1" ht="89.25" x14ac:dyDescent="0.25">
      <c r="A528" s="1023">
        <v>2022522</v>
      </c>
      <c r="B528" s="1023">
        <v>7658</v>
      </c>
      <c r="C528" s="1098" t="s">
        <v>681</v>
      </c>
      <c r="D528" s="1039" t="s">
        <v>700</v>
      </c>
      <c r="E528" s="1040">
        <v>80111600</v>
      </c>
      <c r="F528" s="1026" t="s">
        <v>1141</v>
      </c>
      <c r="G528" s="1041" t="s">
        <v>1440</v>
      </c>
      <c r="H528" s="1028" t="s">
        <v>1440</v>
      </c>
      <c r="I528" s="1042" t="s">
        <v>1493</v>
      </c>
      <c r="J528" s="1043" t="s">
        <v>1479</v>
      </c>
      <c r="K528" s="1027" t="s">
        <v>676</v>
      </c>
      <c r="L528" s="1029" t="s">
        <v>677</v>
      </c>
      <c r="M528" s="1030">
        <v>82915000</v>
      </c>
      <c r="N528" s="1083" t="s">
        <v>726</v>
      </c>
      <c r="O528" s="1083" t="s">
        <v>1499</v>
      </c>
      <c r="P528" s="1083"/>
      <c r="Q528" s="1027"/>
      <c r="R528" s="1022"/>
      <c r="S528" s="1130">
        <v>114</v>
      </c>
      <c r="T528" s="1156">
        <v>79310000</v>
      </c>
    </row>
    <row r="529" spans="1:20" s="995" customFormat="1" ht="89.25" x14ac:dyDescent="0.25">
      <c r="A529" s="1023">
        <v>2022523</v>
      </c>
      <c r="B529" s="1023">
        <v>7658</v>
      </c>
      <c r="C529" s="1098" t="s">
        <v>681</v>
      </c>
      <c r="D529" s="1039" t="s">
        <v>700</v>
      </c>
      <c r="E529" s="1040">
        <v>80111600</v>
      </c>
      <c r="F529" s="1026" t="s">
        <v>1155</v>
      </c>
      <c r="G529" s="1041" t="s">
        <v>1440</v>
      </c>
      <c r="H529" s="1028" t="s">
        <v>1440</v>
      </c>
      <c r="I529" s="1042" t="s">
        <v>1493</v>
      </c>
      <c r="J529" s="1043" t="s">
        <v>1479</v>
      </c>
      <c r="K529" s="1027" t="s">
        <v>676</v>
      </c>
      <c r="L529" s="1029" t="s">
        <v>784</v>
      </c>
      <c r="M529" s="1030">
        <v>54510000</v>
      </c>
      <c r="N529" s="1083" t="s">
        <v>1578</v>
      </c>
      <c r="O529" s="1083" t="s">
        <v>1499</v>
      </c>
      <c r="P529" s="1083"/>
      <c r="Q529" s="1027"/>
      <c r="R529" s="1022"/>
      <c r="S529" s="1130">
        <v>302</v>
      </c>
      <c r="T529" s="1156">
        <v>84700000</v>
      </c>
    </row>
    <row r="530" spans="1:20" s="995" customFormat="1" ht="89.25" x14ac:dyDescent="0.25">
      <c r="A530" s="1023">
        <v>2022524</v>
      </c>
      <c r="B530" s="1023">
        <v>7658</v>
      </c>
      <c r="C530" s="1098" t="s">
        <v>681</v>
      </c>
      <c r="D530" s="1039" t="s">
        <v>700</v>
      </c>
      <c r="E530" s="1040">
        <v>80111600</v>
      </c>
      <c r="F530" s="1026" t="s">
        <v>1156</v>
      </c>
      <c r="G530" s="1041" t="s">
        <v>1440</v>
      </c>
      <c r="H530" s="1028" t="s">
        <v>1440</v>
      </c>
      <c r="I530" s="1042" t="s">
        <v>1493</v>
      </c>
      <c r="J530" s="1043" t="s">
        <v>1479</v>
      </c>
      <c r="K530" s="1027" t="s">
        <v>676</v>
      </c>
      <c r="L530" s="1029" t="s">
        <v>677</v>
      </c>
      <c r="M530" s="1030">
        <v>36685000</v>
      </c>
      <c r="N530" s="1083" t="s">
        <v>726</v>
      </c>
      <c r="O530" s="1083" t="s">
        <v>1499</v>
      </c>
      <c r="P530" s="1083"/>
      <c r="Q530" s="1027"/>
      <c r="R530" s="1022"/>
      <c r="S530" s="1130">
        <v>480</v>
      </c>
      <c r="T530" s="1156">
        <v>35090000</v>
      </c>
    </row>
    <row r="531" spans="1:20" s="995" customFormat="1" ht="89.25" x14ac:dyDescent="0.25">
      <c r="A531" s="1023">
        <v>2022525</v>
      </c>
      <c r="B531" s="1023">
        <v>7658</v>
      </c>
      <c r="C531" s="1098" t="s">
        <v>681</v>
      </c>
      <c r="D531" s="1039" t="s">
        <v>700</v>
      </c>
      <c r="E531" s="1040">
        <v>80111600</v>
      </c>
      <c r="F531" s="1026" t="s">
        <v>1157</v>
      </c>
      <c r="G531" s="1041" t="s">
        <v>1440</v>
      </c>
      <c r="H531" s="1028" t="s">
        <v>1440</v>
      </c>
      <c r="I531" s="1042" t="s">
        <v>1493</v>
      </c>
      <c r="J531" s="1043" t="s">
        <v>1479</v>
      </c>
      <c r="K531" s="1027" t="s">
        <v>676</v>
      </c>
      <c r="L531" s="1029" t="s">
        <v>677</v>
      </c>
      <c r="M531" s="1030">
        <v>54050000</v>
      </c>
      <c r="N531" s="1083" t="s">
        <v>726</v>
      </c>
      <c r="O531" s="1083" t="s">
        <v>1499</v>
      </c>
      <c r="P531" s="1083"/>
      <c r="Q531" s="1027"/>
      <c r="R531" s="1022"/>
      <c r="S531" s="1130">
        <v>293</v>
      </c>
      <c r="T531" s="1156">
        <v>51700000</v>
      </c>
    </row>
    <row r="532" spans="1:20" s="995" customFormat="1" ht="89.25" x14ac:dyDescent="0.25">
      <c r="A532" s="1023">
        <v>2022526</v>
      </c>
      <c r="B532" s="1023">
        <v>7658</v>
      </c>
      <c r="C532" s="1098" t="s">
        <v>681</v>
      </c>
      <c r="D532" s="1039" t="s">
        <v>700</v>
      </c>
      <c r="E532" s="1040">
        <v>80111600</v>
      </c>
      <c r="F532" s="1026" t="s">
        <v>1158</v>
      </c>
      <c r="G532" s="1041" t="s">
        <v>1440</v>
      </c>
      <c r="H532" s="1028" t="s">
        <v>1440</v>
      </c>
      <c r="I532" s="1042" t="s">
        <v>1493</v>
      </c>
      <c r="J532" s="1043" t="s">
        <v>1479</v>
      </c>
      <c r="K532" s="1027" t="s">
        <v>676</v>
      </c>
      <c r="L532" s="1029" t="s">
        <v>677</v>
      </c>
      <c r="M532" s="1030">
        <v>28175000</v>
      </c>
      <c r="N532" s="1083" t="s">
        <v>726</v>
      </c>
      <c r="O532" s="1083" t="s">
        <v>1499</v>
      </c>
      <c r="P532" s="1083"/>
      <c r="Q532" s="1027"/>
      <c r="R532" s="1022"/>
      <c r="S532" s="1130">
        <v>128</v>
      </c>
      <c r="T532" s="1156">
        <v>26950000</v>
      </c>
    </row>
    <row r="533" spans="1:20" s="995" customFormat="1" ht="89.25" x14ac:dyDescent="0.25">
      <c r="A533" s="1023">
        <v>2022527</v>
      </c>
      <c r="B533" s="1023">
        <v>7658</v>
      </c>
      <c r="C533" s="1098" t="s">
        <v>681</v>
      </c>
      <c r="D533" s="1039" t="s">
        <v>700</v>
      </c>
      <c r="E533" s="1040">
        <v>80111600</v>
      </c>
      <c r="F533" s="1026" t="s">
        <v>1159</v>
      </c>
      <c r="G533" s="1041" t="s">
        <v>1440</v>
      </c>
      <c r="H533" s="1028" t="s">
        <v>1440</v>
      </c>
      <c r="I533" s="1042" t="s">
        <v>1493</v>
      </c>
      <c r="J533" s="1043" t="s">
        <v>1479</v>
      </c>
      <c r="K533" s="1027" t="s">
        <v>676</v>
      </c>
      <c r="L533" s="1029" t="s">
        <v>677</v>
      </c>
      <c r="M533" s="1030">
        <v>36685000</v>
      </c>
      <c r="N533" s="1083" t="s">
        <v>726</v>
      </c>
      <c r="O533" s="1083" t="s">
        <v>1499</v>
      </c>
      <c r="P533" s="1083"/>
      <c r="Q533" s="1027"/>
      <c r="R533" s="1022"/>
      <c r="S533" s="1130">
        <v>445</v>
      </c>
      <c r="T533" s="1156">
        <v>30250000</v>
      </c>
    </row>
    <row r="534" spans="1:20" s="995" customFormat="1" ht="89.25" x14ac:dyDescent="0.25">
      <c r="A534" s="1023">
        <v>2022528</v>
      </c>
      <c r="B534" s="1023">
        <v>7658</v>
      </c>
      <c r="C534" s="1098" t="s">
        <v>681</v>
      </c>
      <c r="D534" s="1039" t="s">
        <v>700</v>
      </c>
      <c r="E534" s="1040">
        <v>80111600</v>
      </c>
      <c r="F534" s="1026" t="s">
        <v>1160</v>
      </c>
      <c r="G534" s="1041" t="s">
        <v>1440</v>
      </c>
      <c r="H534" s="1028" t="s">
        <v>1440</v>
      </c>
      <c r="I534" s="1042" t="s">
        <v>1493</v>
      </c>
      <c r="J534" s="1043" t="s">
        <v>1479</v>
      </c>
      <c r="K534" s="1027" t="s">
        <v>676</v>
      </c>
      <c r="L534" s="1029" t="s">
        <v>677</v>
      </c>
      <c r="M534" s="1030">
        <v>51750000</v>
      </c>
      <c r="N534" s="1083" t="s">
        <v>726</v>
      </c>
      <c r="O534" s="1083" t="s">
        <v>1499</v>
      </c>
      <c r="P534" s="1083"/>
      <c r="Q534" s="1027"/>
      <c r="R534" s="1022"/>
      <c r="S534" s="1130">
        <v>405</v>
      </c>
      <c r="T534" s="1156">
        <v>49500000</v>
      </c>
    </row>
    <row r="535" spans="1:20" s="995" customFormat="1" ht="89.25" x14ac:dyDescent="0.25">
      <c r="A535" s="1023">
        <v>2022529</v>
      </c>
      <c r="B535" s="1023">
        <v>7658</v>
      </c>
      <c r="C535" s="1098" t="s">
        <v>681</v>
      </c>
      <c r="D535" s="1039" t="s">
        <v>700</v>
      </c>
      <c r="E535" s="1040">
        <v>80111600</v>
      </c>
      <c r="F535" s="1026" t="s">
        <v>1161</v>
      </c>
      <c r="G535" s="1041" t="s">
        <v>1440</v>
      </c>
      <c r="H535" s="1028" t="s">
        <v>1440</v>
      </c>
      <c r="I535" s="1042" t="s">
        <v>1493</v>
      </c>
      <c r="J535" s="1043" t="s">
        <v>1479</v>
      </c>
      <c r="K535" s="1027" t="s">
        <v>676</v>
      </c>
      <c r="L535" s="1027" t="s">
        <v>677</v>
      </c>
      <c r="M535" s="1030">
        <f>48300000+20700000</f>
        <v>69000000</v>
      </c>
      <c r="N535" s="1083" t="s">
        <v>726</v>
      </c>
      <c r="O535" s="1083" t="s">
        <v>1499</v>
      </c>
      <c r="P535" s="1083"/>
      <c r="Q535" s="1027"/>
      <c r="R535" s="1022"/>
      <c r="S535" s="1130">
        <v>478</v>
      </c>
      <c r="T535" s="1156">
        <v>27000000</v>
      </c>
    </row>
    <row r="536" spans="1:20" s="995" customFormat="1" ht="89.25" x14ac:dyDescent="0.25">
      <c r="A536" s="1023">
        <v>2022530</v>
      </c>
      <c r="B536" s="1023">
        <v>7658</v>
      </c>
      <c r="C536" s="1098" t="s">
        <v>681</v>
      </c>
      <c r="D536" s="1039" t="s">
        <v>700</v>
      </c>
      <c r="E536" s="1040">
        <v>80111600</v>
      </c>
      <c r="F536" s="1026" t="s">
        <v>1141</v>
      </c>
      <c r="G536" s="1041" t="s">
        <v>1440</v>
      </c>
      <c r="H536" s="1028" t="s">
        <v>1440</v>
      </c>
      <c r="I536" s="1042" t="s">
        <v>1493</v>
      </c>
      <c r="J536" s="1043" t="s">
        <v>1479</v>
      </c>
      <c r="K536" s="1027" t="s">
        <v>676</v>
      </c>
      <c r="L536" s="1029" t="s">
        <v>677</v>
      </c>
      <c r="M536" s="1030">
        <v>82915000</v>
      </c>
      <c r="N536" s="1083" t="s">
        <v>726</v>
      </c>
      <c r="O536" s="1083" t="s">
        <v>1499</v>
      </c>
      <c r="P536" s="1083"/>
      <c r="Q536" s="1027"/>
      <c r="R536" s="1022"/>
      <c r="S536" s="1130">
        <v>129</v>
      </c>
      <c r="T536" s="1156">
        <v>79310000</v>
      </c>
    </row>
    <row r="537" spans="1:20" s="995" customFormat="1" ht="89.25" x14ac:dyDescent="0.25">
      <c r="A537" s="1023">
        <v>2022531</v>
      </c>
      <c r="B537" s="1023">
        <v>7658</v>
      </c>
      <c r="C537" s="1098" t="s">
        <v>681</v>
      </c>
      <c r="D537" s="1039" t="s">
        <v>700</v>
      </c>
      <c r="E537" s="1040">
        <v>80111600</v>
      </c>
      <c r="F537" s="1026" t="s">
        <v>1162</v>
      </c>
      <c r="G537" s="1041" t="s">
        <v>1440</v>
      </c>
      <c r="H537" s="1028" t="s">
        <v>1440</v>
      </c>
      <c r="I537" s="1042" t="s">
        <v>1493</v>
      </c>
      <c r="J537" s="1043" t="s">
        <v>1479</v>
      </c>
      <c r="K537" s="1027" t="s">
        <v>676</v>
      </c>
      <c r="L537" s="1029" t="s">
        <v>677</v>
      </c>
      <c r="M537" s="1030">
        <v>45655000</v>
      </c>
      <c r="N537" s="1083" t="s">
        <v>1578</v>
      </c>
      <c r="O537" s="1083" t="s">
        <v>1499</v>
      </c>
      <c r="P537" s="1083"/>
      <c r="Q537" s="1027"/>
      <c r="R537" s="1022"/>
      <c r="S537" s="1130">
        <v>414</v>
      </c>
      <c r="T537" s="1156">
        <v>43670000</v>
      </c>
    </row>
    <row r="538" spans="1:20" s="995" customFormat="1" ht="89.25" x14ac:dyDescent="0.25">
      <c r="A538" s="1023">
        <v>2022532</v>
      </c>
      <c r="B538" s="1023">
        <v>7658</v>
      </c>
      <c r="C538" s="1098" t="s">
        <v>681</v>
      </c>
      <c r="D538" s="1039" t="s">
        <v>700</v>
      </c>
      <c r="E538" s="1040">
        <v>80111600</v>
      </c>
      <c r="F538" s="1026" t="s">
        <v>1163</v>
      </c>
      <c r="G538" s="1041" t="s">
        <v>1440</v>
      </c>
      <c r="H538" s="1028" t="s">
        <v>1440</v>
      </c>
      <c r="I538" s="1042" t="s">
        <v>1493</v>
      </c>
      <c r="J538" s="1043" t="s">
        <v>1479</v>
      </c>
      <c r="K538" s="1027" t="s">
        <v>676</v>
      </c>
      <c r="L538" s="1029" t="s">
        <v>677</v>
      </c>
      <c r="M538" s="1030">
        <v>47380000</v>
      </c>
      <c r="N538" s="1083" t="s">
        <v>1578</v>
      </c>
      <c r="O538" s="1083" t="s">
        <v>1499</v>
      </c>
      <c r="P538" s="1083"/>
      <c r="Q538" s="1027"/>
      <c r="R538" s="1022"/>
      <c r="S538" s="1130">
        <v>413</v>
      </c>
      <c r="T538" s="1156">
        <v>45320000</v>
      </c>
    </row>
    <row r="539" spans="1:20" s="995" customFormat="1" ht="114.75" x14ac:dyDescent="0.25">
      <c r="A539" s="1023">
        <v>2022533</v>
      </c>
      <c r="B539" s="1023">
        <v>7658</v>
      </c>
      <c r="C539" s="1098" t="s">
        <v>681</v>
      </c>
      <c r="D539" s="1039" t="s">
        <v>700</v>
      </c>
      <c r="E539" s="1040">
        <v>80111600</v>
      </c>
      <c r="F539" s="1026" t="s">
        <v>1164</v>
      </c>
      <c r="G539" s="1041" t="s">
        <v>1440</v>
      </c>
      <c r="H539" s="1028" t="s">
        <v>1440</v>
      </c>
      <c r="I539" s="1042" t="s">
        <v>1493</v>
      </c>
      <c r="J539" s="1043" t="s">
        <v>1479</v>
      </c>
      <c r="K539" s="1027" t="s">
        <v>676</v>
      </c>
      <c r="L539" s="1029" t="s">
        <v>677</v>
      </c>
      <c r="M539" s="1030">
        <v>54050000</v>
      </c>
      <c r="N539" s="1083" t="s">
        <v>1578</v>
      </c>
      <c r="O539" s="1083" t="s">
        <v>1499</v>
      </c>
      <c r="P539" s="1083"/>
      <c r="Q539" s="1027"/>
      <c r="R539" s="1022"/>
      <c r="S539" s="1130">
        <v>366</v>
      </c>
      <c r="T539" s="1156">
        <v>51700000</v>
      </c>
    </row>
    <row r="540" spans="1:20" s="995" customFormat="1" ht="89.25" x14ac:dyDescent="0.25">
      <c r="A540" s="1023">
        <v>2022534</v>
      </c>
      <c r="B540" s="1023">
        <v>7658</v>
      </c>
      <c r="C540" s="1098" t="s">
        <v>681</v>
      </c>
      <c r="D540" s="1039" t="s">
        <v>700</v>
      </c>
      <c r="E540" s="1040">
        <v>80111600</v>
      </c>
      <c r="F540" s="1026" t="s">
        <v>1165</v>
      </c>
      <c r="G540" s="1041" t="s">
        <v>1440</v>
      </c>
      <c r="H540" s="1028" t="s">
        <v>1440</v>
      </c>
      <c r="I540" s="1042" t="s">
        <v>1493</v>
      </c>
      <c r="J540" s="1043" t="s">
        <v>1479</v>
      </c>
      <c r="K540" s="1027" t="s">
        <v>676</v>
      </c>
      <c r="L540" s="1029" t="s">
        <v>784</v>
      </c>
      <c r="M540" s="1030">
        <v>88550000</v>
      </c>
      <c r="N540" s="1083" t="s">
        <v>726</v>
      </c>
      <c r="O540" s="1083" t="s">
        <v>1499</v>
      </c>
      <c r="P540" s="1083"/>
      <c r="Q540" s="1027"/>
      <c r="R540" s="1022"/>
      <c r="S540" s="1130">
        <v>285</v>
      </c>
      <c r="T540" s="1156">
        <v>52140000</v>
      </c>
    </row>
    <row r="541" spans="1:20" s="995" customFormat="1" ht="89.25" x14ac:dyDescent="0.25">
      <c r="A541" s="1023">
        <v>2022535</v>
      </c>
      <c r="B541" s="1023">
        <v>7658</v>
      </c>
      <c r="C541" s="1098" t="s">
        <v>681</v>
      </c>
      <c r="D541" s="1039" t="s">
        <v>700</v>
      </c>
      <c r="E541" s="1040">
        <v>80111600</v>
      </c>
      <c r="F541" s="1026" t="s">
        <v>1166</v>
      </c>
      <c r="G541" s="1041" t="s">
        <v>1440</v>
      </c>
      <c r="H541" s="1028" t="s">
        <v>1440</v>
      </c>
      <c r="I541" s="1042" t="s">
        <v>1493</v>
      </c>
      <c r="J541" s="1043" t="s">
        <v>1479</v>
      </c>
      <c r="K541" s="1027" t="s">
        <v>676</v>
      </c>
      <c r="L541" s="1029" t="s">
        <v>677</v>
      </c>
      <c r="M541" s="1030">
        <v>38525000</v>
      </c>
      <c r="N541" s="1083" t="s">
        <v>726</v>
      </c>
      <c r="O541" s="1083" t="s">
        <v>1499</v>
      </c>
      <c r="P541" s="1083"/>
      <c r="Q541" s="1027"/>
      <c r="R541" s="1022"/>
      <c r="S541" s="1130">
        <v>295</v>
      </c>
      <c r="T541" s="1156">
        <v>36850000</v>
      </c>
    </row>
    <row r="542" spans="1:20" s="995" customFormat="1" ht="89.25" x14ac:dyDescent="0.25">
      <c r="A542" s="1023">
        <v>2022536</v>
      </c>
      <c r="B542" s="1023">
        <v>7658</v>
      </c>
      <c r="C542" s="1098" t="s">
        <v>681</v>
      </c>
      <c r="D542" s="1039" t="s">
        <v>700</v>
      </c>
      <c r="E542" s="1040">
        <v>80111600</v>
      </c>
      <c r="F542" s="1026" t="s">
        <v>1167</v>
      </c>
      <c r="G542" s="1041" t="s">
        <v>1440</v>
      </c>
      <c r="H542" s="1028" t="s">
        <v>1440</v>
      </c>
      <c r="I542" s="1042" t="s">
        <v>1493</v>
      </c>
      <c r="J542" s="1043" t="s">
        <v>1479</v>
      </c>
      <c r="K542" s="1027" t="s">
        <v>676</v>
      </c>
      <c r="L542" s="1029" t="s">
        <v>677</v>
      </c>
      <c r="M542" s="1030">
        <v>38525000</v>
      </c>
      <c r="N542" s="1083" t="s">
        <v>726</v>
      </c>
      <c r="O542" s="1083" t="s">
        <v>1499</v>
      </c>
      <c r="P542" s="1083"/>
      <c r="Q542" s="1027"/>
      <c r="R542" s="1022"/>
      <c r="S542" s="1130">
        <v>423</v>
      </c>
      <c r="T542" s="1156">
        <v>37400000</v>
      </c>
    </row>
    <row r="543" spans="1:20" s="995" customFormat="1" ht="89.25" x14ac:dyDescent="0.25">
      <c r="A543" s="1023">
        <v>2022537</v>
      </c>
      <c r="B543" s="1023">
        <v>7658</v>
      </c>
      <c r="C543" s="1098" t="s">
        <v>681</v>
      </c>
      <c r="D543" s="1039" t="s">
        <v>700</v>
      </c>
      <c r="E543" s="1040">
        <v>80111600</v>
      </c>
      <c r="F543" s="1026" t="s">
        <v>1168</v>
      </c>
      <c r="G543" s="1041" t="s">
        <v>1440</v>
      </c>
      <c r="H543" s="1028" t="s">
        <v>1440</v>
      </c>
      <c r="I543" s="1042" t="s">
        <v>1493</v>
      </c>
      <c r="J543" s="1043" t="s">
        <v>1479</v>
      </c>
      <c r="K543" s="1027" t="s">
        <v>676</v>
      </c>
      <c r="L543" s="1027" t="s">
        <v>677</v>
      </c>
      <c r="M543" s="1030">
        <f>48300000+13225000+7475000</f>
        <v>69000000</v>
      </c>
      <c r="N543" s="1083" t="s">
        <v>1578</v>
      </c>
      <c r="O543" s="1083" t="s">
        <v>1499</v>
      </c>
      <c r="P543" s="1083"/>
      <c r="Q543" s="1027"/>
      <c r="R543" s="1022"/>
      <c r="S543" s="1130">
        <v>477</v>
      </c>
      <c r="T543" s="1156">
        <v>66000000</v>
      </c>
    </row>
    <row r="544" spans="1:20" s="995" customFormat="1" ht="89.25" x14ac:dyDescent="0.25">
      <c r="A544" s="1023">
        <v>2022538</v>
      </c>
      <c r="B544" s="1023">
        <v>7658</v>
      </c>
      <c r="C544" s="1023" t="s">
        <v>681</v>
      </c>
      <c r="D544" s="1039" t="s">
        <v>700</v>
      </c>
      <c r="E544" s="1040">
        <v>80111600</v>
      </c>
      <c r="F544" s="1026" t="s">
        <v>1169</v>
      </c>
      <c r="G544" s="1041" t="s">
        <v>1440</v>
      </c>
      <c r="H544" s="1028" t="s">
        <v>1440</v>
      </c>
      <c r="I544" s="1042" t="s">
        <v>1493</v>
      </c>
      <c r="J544" s="1043" t="s">
        <v>1479</v>
      </c>
      <c r="K544" s="1027" t="s">
        <v>676</v>
      </c>
      <c r="L544" s="1029" t="s">
        <v>677</v>
      </c>
      <c r="M544" s="1030">
        <v>65550000</v>
      </c>
      <c r="N544" s="1083" t="s">
        <v>726</v>
      </c>
      <c r="O544" s="1083" t="s">
        <v>1499</v>
      </c>
      <c r="P544" s="1083"/>
      <c r="Q544" s="1027"/>
      <c r="R544" s="1022"/>
      <c r="S544" s="1130">
        <v>468</v>
      </c>
      <c r="T544" s="1156">
        <v>42350000</v>
      </c>
    </row>
    <row r="545" spans="1:20" s="995" customFormat="1" ht="89.25" x14ac:dyDescent="0.25">
      <c r="A545" s="1023">
        <v>2022539</v>
      </c>
      <c r="B545" s="1023">
        <v>7658</v>
      </c>
      <c r="C545" s="1023" t="s">
        <v>681</v>
      </c>
      <c r="D545" s="1039" t="s">
        <v>700</v>
      </c>
      <c r="E545" s="1040">
        <v>80111600</v>
      </c>
      <c r="F545" s="1026" t="s">
        <v>1170</v>
      </c>
      <c r="G545" s="1041" t="s">
        <v>1440</v>
      </c>
      <c r="H545" s="1028" t="s">
        <v>1440</v>
      </c>
      <c r="I545" s="1042" t="s">
        <v>1493</v>
      </c>
      <c r="J545" s="1043" t="s">
        <v>1479</v>
      </c>
      <c r="K545" s="1027" t="s">
        <v>676</v>
      </c>
      <c r="L545" s="1029" t="s">
        <v>677</v>
      </c>
      <c r="M545" s="1030">
        <v>69000000</v>
      </c>
      <c r="N545" s="1083" t="s">
        <v>726</v>
      </c>
      <c r="O545" s="1083" t="s">
        <v>1499</v>
      </c>
      <c r="P545" s="1083"/>
      <c r="Q545" s="1027"/>
      <c r="R545" s="1022"/>
      <c r="S545" s="1130">
        <v>336</v>
      </c>
      <c r="T545" s="1156">
        <v>66000000</v>
      </c>
    </row>
    <row r="546" spans="1:20" s="995" customFormat="1" ht="89.25" x14ac:dyDescent="0.25">
      <c r="A546" s="1023">
        <v>2022540</v>
      </c>
      <c r="B546" s="1023">
        <v>7658</v>
      </c>
      <c r="C546" s="1023" t="s">
        <v>681</v>
      </c>
      <c r="D546" s="1039" t="s">
        <v>700</v>
      </c>
      <c r="E546" s="1040">
        <v>80111600</v>
      </c>
      <c r="F546" s="1026" t="s">
        <v>1171</v>
      </c>
      <c r="G546" s="1041" t="s">
        <v>1440</v>
      </c>
      <c r="H546" s="1028" t="s">
        <v>1440</v>
      </c>
      <c r="I546" s="1042" t="s">
        <v>1493</v>
      </c>
      <c r="J546" s="1043" t="s">
        <v>1479</v>
      </c>
      <c r="K546" s="1027" t="s">
        <v>676</v>
      </c>
      <c r="L546" s="1029" t="s">
        <v>677</v>
      </c>
      <c r="M546" s="1030">
        <v>39100000</v>
      </c>
      <c r="N546" s="1083" t="s">
        <v>726</v>
      </c>
      <c r="O546" s="1083" t="s">
        <v>1499</v>
      </c>
      <c r="P546" s="1083"/>
      <c r="Q546" s="1027"/>
      <c r="R546" s="1022"/>
      <c r="S546" s="1130">
        <v>422</v>
      </c>
      <c r="T546" s="1156">
        <v>35200000</v>
      </c>
    </row>
    <row r="547" spans="1:20" s="995" customFormat="1" ht="89.25" x14ac:dyDescent="0.25">
      <c r="A547" s="1023">
        <v>2022541</v>
      </c>
      <c r="B547" s="1023">
        <v>7658</v>
      </c>
      <c r="C547" s="1023" t="s">
        <v>681</v>
      </c>
      <c r="D547" s="1039" t="s">
        <v>700</v>
      </c>
      <c r="E547" s="1040">
        <v>80111600</v>
      </c>
      <c r="F547" s="1026" t="s">
        <v>1172</v>
      </c>
      <c r="G547" s="1041" t="s">
        <v>1440</v>
      </c>
      <c r="H547" s="1028" t="s">
        <v>1440</v>
      </c>
      <c r="I547" s="1042" t="s">
        <v>1493</v>
      </c>
      <c r="J547" s="1043" t="s">
        <v>1479</v>
      </c>
      <c r="K547" s="1027" t="s">
        <v>676</v>
      </c>
      <c r="L547" s="1029" t="s">
        <v>677</v>
      </c>
      <c r="M547" s="1030">
        <v>36685000</v>
      </c>
      <c r="N547" s="1083" t="s">
        <v>726</v>
      </c>
      <c r="O547" s="1083" t="s">
        <v>1499</v>
      </c>
      <c r="P547" s="1083"/>
      <c r="Q547" s="1027"/>
      <c r="R547" s="1022"/>
      <c r="S547" s="1130">
        <v>398</v>
      </c>
      <c r="T547" s="1156">
        <v>35090000</v>
      </c>
    </row>
    <row r="548" spans="1:20" ht="51" x14ac:dyDescent="0.2">
      <c r="A548" s="1013">
        <v>2022542</v>
      </c>
      <c r="B548" s="1075" t="s">
        <v>459</v>
      </c>
      <c r="C548" s="1075"/>
      <c r="D548" s="1045" t="s">
        <v>691</v>
      </c>
      <c r="E548" s="1099" t="s">
        <v>1173</v>
      </c>
      <c r="F548" s="1074" t="s">
        <v>1174</v>
      </c>
      <c r="G548" s="1096" t="s">
        <v>1548</v>
      </c>
      <c r="H548" s="1096" t="s">
        <v>1548</v>
      </c>
      <c r="I548" s="1096" t="s">
        <v>1589</v>
      </c>
      <c r="J548" s="1096" t="s">
        <v>1456</v>
      </c>
      <c r="K548" s="1017" t="s">
        <v>43</v>
      </c>
      <c r="L548" s="1100"/>
      <c r="M548" s="1101">
        <v>4200000</v>
      </c>
      <c r="N548" s="1037"/>
      <c r="O548" s="1037"/>
      <c r="P548" s="1037"/>
      <c r="Q548" s="1102"/>
      <c r="R548" s="1022"/>
      <c r="S548" s="1130"/>
      <c r="T548" s="1156"/>
    </row>
    <row r="549" spans="1:20" ht="38.25" x14ac:dyDescent="0.2">
      <c r="A549" s="1013">
        <v>2022543</v>
      </c>
      <c r="B549" s="1075" t="s">
        <v>459</v>
      </c>
      <c r="C549" s="1075"/>
      <c r="D549" s="1045" t="s">
        <v>691</v>
      </c>
      <c r="E549" s="1099" t="s">
        <v>1173</v>
      </c>
      <c r="F549" s="1074" t="s">
        <v>1175</v>
      </c>
      <c r="G549" s="1096" t="s">
        <v>1549</v>
      </c>
      <c r="H549" s="1096" t="s">
        <v>1549</v>
      </c>
      <c r="I549" s="1096" t="s">
        <v>1590</v>
      </c>
      <c r="J549" s="1096" t="s">
        <v>1456</v>
      </c>
      <c r="K549" s="1017" t="s">
        <v>43</v>
      </c>
      <c r="L549" s="1100"/>
      <c r="M549" s="1101">
        <v>6799000</v>
      </c>
      <c r="N549" s="1037"/>
      <c r="O549" s="1037"/>
      <c r="P549" s="1037"/>
      <c r="Q549" s="1102"/>
      <c r="R549" s="1022"/>
      <c r="S549" s="1130"/>
      <c r="T549" s="1156"/>
    </row>
    <row r="550" spans="1:20" ht="51" x14ac:dyDescent="0.2">
      <c r="A550" s="1013">
        <v>2022544</v>
      </c>
      <c r="B550" s="1075" t="s">
        <v>459</v>
      </c>
      <c r="C550" s="1075"/>
      <c r="D550" s="1045" t="s">
        <v>691</v>
      </c>
      <c r="E550" s="1099" t="s">
        <v>1173</v>
      </c>
      <c r="F550" s="1074" t="s">
        <v>989</v>
      </c>
      <c r="G550" s="1096" t="s">
        <v>1548</v>
      </c>
      <c r="H550" s="1096" t="s">
        <v>1548</v>
      </c>
      <c r="I550" s="1096" t="s">
        <v>1526</v>
      </c>
      <c r="J550" s="1096" t="s">
        <v>1501</v>
      </c>
      <c r="K550" s="1017" t="s">
        <v>43</v>
      </c>
      <c r="L550" s="1100"/>
      <c r="M550" s="1101">
        <v>10000000</v>
      </c>
      <c r="N550" s="1037"/>
      <c r="O550" s="1037"/>
      <c r="P550" s="1037"/>
      <c r="Q550" s="1102"/>
      <c r="R550" s="1022"/>
      <c r="S550" s="1130"/>
      <c r="T550" s="1156"/>
    </row>
    <row r="551" spans="1:20" ht="38.25" x14ac:dyDescent="0.2">
      <c r="A551" s="1013">
        <v>2022545</v>
      </c>
      <c r="B551" s="1075" t="s">
        <v>459</v>
      </c>
      <c r="C551" s="1075"/>
      <c r="D551" s="1045" t="s">
        <v>691</v>
      </c>
      <c r="E551" s="1099" t="s">
        <v>1173</v>
      </c>
      <c r="F551" s="1074" t="s">
        <v>1176</v>
      </c>
      <c r="G551" s="1096" t="s">
        <v>1548</v>
      </c>
      <c r="H551" s="1096" t="s">
        <v>1548</v>
      </c>
      <c r="I551" s="1096" t="s">
        <v>1496</v>
      </c>
      <c r="J551" s="1096" t="s">
        <v>1501</v>
      </c>
      <c r="K551" s="1017" t="s">
        <v>43</v>
      </c>
      <c r="L551" s="1100"/>
      <c r="M551" s="1101">
        <v>87000000</v>
      </c>
      <c r="N551" s="1037"/>
      <c r="O551" s="1037"/>
      <c r="P551" s="1037"/>
      <c r="Q551" s="1102"/>
      <c r="R551" s="1022"/>
      <c r="S551" s="1130"/>
      <c r="T551" s="1156"/>
    </row>
    <row r="552" spans="1:20" ht="51" x14ac:dyDescent="0.2">
      <c r="A552" s="1013">
        <v>2022546</v>
      </c>
      <c r="B552" s="1075" t="s">
        <v>459</v>
      </c>
      <c r="C552" s="1075"/>
      <c r="D552" s="1045" t="s">
        <v>691</v>
      </c>
      <c r="E552" s="1099" t="s">
        <v>1173</v>
      </c>
      <c r="F552" s="1074" t="s">
        <v>1174</v>
      </c>
      <c r="G552" s="1096" t="s">
        <v>1548</v>
      </c>
      <c r="H552" s="1096" t="s">
        <v>1548</v>
      </c>
      <c r="I552" s="1096" t="s">
        <v>1589</v>
      </c>
      <c r="J552" s="1096" t="s">
        <v>1456</v>
      </c>
      <c r="K552" s="1017" t="s">
        <v>43</v>
      </c>
      <c r="L552" s="1100"/>
      <c r="M552" s="1101">
        <v>5600000</v>
      </c>
      <c r="N552" s="1037"/>
      <c r="O552" s="1037"/>
      <c r="P552" s="1037"/>
      <c r="Q552" s="1102"/>
      <c r="R552" s="1022"/>
      <c r="S552" s="1130"/>
      <c r="T552" s="1156"/>
    </row>
    <row r="553" spans="1:20" ht="38.25" x14ac:dyDescent="0.2">
      <c r="A553" s="1013">
        <v>2022547</v>
      </c>
      <c r="B553" s="1075" t="s">
        <v>459</v>
      </c>
      <c r="C553" s="1075"/>
      <c r="D553" s="1045" t="s">
        <v>691</v>
      </c>
      <c r="E553" s="1099" t="s">
        <v>1173</v>
      </c>
      <c r="F553" s="1074" t="s">
        <v>1177</v>
      </c>
      <c r="G553" s="1096" t="s">
        <v>1549</v>
      </c>
      <c r="H553" s="1096" t="s">
        <v>1549</v>
      </c>
      <c r="I553" s="1096" t="s">
        <v>1590</v>
      </c>
      <c r="J553" s="1096" t="s">
        <v>1456</v>
      </c>
      <c r="K553" s="1017" t="s">
        <v>43</v>
      </c>
      <c r="L553" s="1100"/>
      <c r="M553" s="1101">
        <v>28400000</v>
      </c>
      <c r="N553" s="1037"/>
      <c r="O553" s="1037"/>
      <c r="P553" s="1037"/>
      <c r="Q553" s="1102"/>
      <c r="R553" s="1022"/>
      <c r="S553" s="1130"/>
      <c r="T553" s="1156"/>
    </row>
    <row r="554" spans="1:20" s="1106" customFormat="1" ht="38.25" x14ac:dyDescent="0.2">
      <c r="A554" s="1013">
        <v>2022548</v>
      </c>
      <c r="B554" s="1096" t="s">
        <v>459</v>
      </c>
      <c r="C554" s="1075"/>
      <c r="D554" s="1045" t="s">
        <v>691</v>
      </c>
      <c r="E554" s="1099" t="s">
        <v>1178</v>
      </c>
      <c r="F554" s="1074" t="s">
        <v>1179</v>
      </c>
      <c r="G554" s="1096" t="s">
        <v>1548</v>
      </c>
      <c r="H554" s="1096" t="s">
        <v>1548</v>
      </c>
      <c r="I554" s="1096" t="s">
        <v>1496</v>
      </c>
      <c r="J554" s="1096" t="s">
        <v>1501</v>
      </c>
      <c r="K554" s="1017" t="s">
        <v>43</v>
      </c>
      <c r="L554" s="1104"/>
      <c r="M554" s="1105">
        <v>100000000</v>
      </c>
      <c r="N554" s="1037"/>
      <c r="O554" s="1037"/>
      <c r="P554" s="1037"/>
      <c r="Q554" s="1102"/>
      <c r="R554" s="1022"/>
      <c r="S554" s="1130"/>
      <c r="T554" s="1156"/>
    </row>
    <row r="555" spans="1:20" s="1106" customFormat="1" ht="38.25" x14ac:dyDescent="0.2">
      <c r="A555" s="1013">
        <v>2022549</v>
      </c>
      <c r="B555" s="1096" t="s">
        <v>459</v>
      </c>
      <c r="C555" s="1075"/>
      <c r="D555" s="1045" t="s">
        <v>691</v>
      </c>
      <c r="E555" s="1099" t="s">
        <v>1178</v>
      </c>
      <c r="F555" s="1074" t="s">
        <v>1180</v>
      </c>
      <c r="G555" s="1096" t="s">
        <v>1549</v>
      </c>
      <c r="H555" s="1096" t="s">
        <v>1549</v>
      </c>
      <c r="I555" s="1096" t="s">
        <v>1590</v>
      </c>
      <c r="J555" s="1096" t="s">
        <v>1456</v>
      </c>
      <c r="K555" s="1017" t="s">
        <v>43</v>
      </c>
      <c r="L555" s="1104"/>
      <c r="M555" s="1105">
        <v>10000000</v>
      </c>
      <c r="N555" s="1037"/>
      <c r="O555" s="1037"/>
      <c r="P555" s="1037"/>
      <c r="Q555" s="1102"/>
      <c r="R555" s="1022"/>
      <c r="S555" s="1130"/>
      <c r="T555" s="1156"/>
    </row>
    <row r="556" spans="1:20" ht="38.25" x14ac:dyDescent="0.2">
      <c r="A556" s="1013">
        <v>2022550</v>
      </c>
      <c r="B556" s="1075" t="s">
        <v>459</v>
      </c>
      <c r="C556" s="1075"/>
      <c r="D556" s="1045" t="s">
        <v>691</v>
      </c>
      <c r="E556" s="1099" t="s">
        <v>1173</v>
      </c>
      <c r="F556" s="1074" t="s">
        <v>991</v>
      </c>
      <c r="G556" s="1096" t="s">
        <v>1548</v>
      </c>
      <c r="H556" s="1096" t="s">
        <v>1548</v>
      </c>
      <c r="I556" s="1096" t="s">
        <v>1496</v>
      </c>
      <c r="J556" s="1096" t="s">
        <v>1501</v>
      </c>
      <c r="K556" s="1017" t="s">
        <v>43</v>
      </c>
      <c r="L556" s="1100"/>
      <c r="M556" s="1101">
        <v>42542000</v>
      </c>
      <c r="N556" s="1037"/>
      <c r="O556" s="1037"/>
      <c r="P556" s="1037"/>
      <c r="Q556" s="1102"/>
      <c r="R556" s="1022"/>
      <c r="S556" s="1130"/>
      <c r="T556" s="1156"/>
    </row>
    <row r="557" spans="1:20" ht="51" x14ac:dyDescent="0.2">
      <c r="A557" s="1013">
        <v>2022551</v>
      </c>
      <c r="B557" s="1075" t="s">
        <v>459</v>
      </c>
      <c r="C557" s="1075"/>
      <c r="D557" s="1045" t="s">
        <v>691</v>
      </c>
      <c r="E557" s="1099" t="s">
        <v>1173</v>
      </c>
      <c r="F557" s="1074" t="s">
        <v>989</v>
      </c>
      <c r="G557" s="1096" t="s">
        <v>1548</v>
      </c>
      <c r="H557" s="1096" t="s">
        <v>1548</v>
      </c>
      <c r="I557" s="1096" t="s">
        <v>1526</v>
      </c>
      <c r="J557" s="1096" t="s">
        <v>1501</v>
      </c>
      <c r="K557" s="1017" t="s">
        <v>43</v>
      </c>
      <c r="L557" s="1100"/>
      <c r="M557" s="1101">
        <v>2345000</v>
      </c>
      <c r="N557" s="1037"/>
      <c r="O557" s="1037"/>
      <c r="P557" s="1037"/>
      <c r="Q557" s="1102"/>
      <c r="R557" s="1022"/>
      <c r="S557" s="1130"/>
      <c r="T557" s="1156"/>
    </row>
    <row r="558" spans="1:20" ht="51" x14ac:dyDescent="0.2">
      <c r="A558" s="1013">
        <v>2022552</v>
      </c>
      <c r="B558" s="1075" t="s">
        <v>459</v>
      </c>
      <c r="C558" s="1075"/>
      <c r="D558" s="1045" t="s">
        <v>691</v>
      </c>
      <c r="E558" s="1099" t="s">
        <v>1173</v>
      </c>
      <c r="F558" s="1074" t="s">
        <v>989</v>
      </c>
      <c r="G558" s="1096" t="s">
        <v>1548</v>
      </c>
      <c r="H558" s="1096" t="s">
        <v>1548</v>
      </c>
      <c r="I558" s="1096" t="s">
        <v>1526</v>
      </c>
      <c r="J558" s="1096" t="s">
        <v>1501</v>
      </c>
      <c r="K558" s="1017" t="s">
        <v>43</v>
      </c>
      <c r="L558" s="1100"/>
      <c r="M558" s="1101">
        <v>1450000</v>
      </c>
      <c r="N558" s="1037"/>
      <c r="O558" s="1037"/>
      <c r="P558" s="1037"/>
      <c r="Q558" s="1102"/>
      <c r="R558" s="1022"/>
      <c r="S558" s="1130"/>
      <c r="T558" s="1156"/>
    </row>
    <row r="559" spans="1:20" ht="38.25" x14ac:dyDescent="0.2">
      <c r="A559" s="1013">
        <v>2022553</v>
      </c>
      <c r="B559" s="1075" t="s">
        <v>459</v>
      </c>
      <c r="C559" s="1075"/>
      <c r="D559" s="1045" t="s">
        <v>691</v>
      </c>
      <c r="E559" s="1099" t="s">
        <v>1173</v>
      </c>
      <c r="F559" s="1074" t="s">
        <v>991</v>
      </c>
      <c r="G559" s="1096" t="s">
        <v>1548</v>
      </c>
      <c r="H559" s="1096" t="s">
        <v>1548</v>
      </c>
      <c r="I559" s="1096" t="s">
        <v>1496</v>
      </c>
      <c r="J559" s="1096" t="s">
        <v>1501</v>
      </c>
      <c r="K559" s="1017" t="s">
        <v>43</v>
      </c>
      <c r="L559" s="1100"/>
      <c r="M559" s="1101">
        <v>11550000</v>
      </c>
      <c r="N559" s="1037"/>
      <c r="O559" s="1037"/>
      <c r="P559" s="1037"/>
      <c r="Q559" s="1102"/>
      <c r="R559" s="1022"/>
      <c r="S559" s="1130"/>
      <c r="T559" s="1156"/>
    </row>
    <row r="560" spans="1:20" ht="51" x14ac:dyDescent="0.2">
      <c r="A560" s="1013">
        <v>2022554</v>
      </c>
      <c r="B560" s="1075" t="s">
        <v>459</v>
      </c>
      <c r="C560" s="1075"/>
      <c r="D560" s="1045" t="s">
        <v>691</v>
      </c>
      <c r="E560" s="1099" t="s">
        <v>1173</v>
      </c>
      <c r="F560" s="1074" t="s">
        <v>1174</v>
      </c>
      <c r="G560" s="1096" t="s">
        <v>1548</v>
      </c>
      <c r="H560" s="1096" t="s">
        <v>1548</v>
      </c>
      <c r="I560" s="1096" t="s">
        <v>1589</v>
      </c>
      <c r="J560" s="1096" t="s">
        <v>1456</v>
      </c>
      <c r="K560" s="1017" t="s">
        <v>43</v>
      </c>
      <c r="L560" s="1100"/>
      <c r="M560" s="1101">
        <v>2800000</v>
      </c>
      <c r="N560" s="1037"/>
      <c r="O560" s="1037"/>
      <c r="P560" s="1037"/>
      <c r="Q560" s="1102"/>
      <c r="R560" s="1022"/>
      <c r="S560" s="1130"/>
      <c r="T560" s="1156"/>
    </row>
    <row r="561" spans="1:20" ht="38.25" x14ac:dyDescent="0.2">
      <c r="A561" s="1013">
        <v>2022555</v>
      </c>
      <c r="B561" s="1075" t="s">
        <v>459</v>
      </c>
      <c r="C561" s="1075"/>
      <c r="D561" s="1045" t="s">
        <v>691</v>
      </c>
      <c r="E561" s="1099" t="s">
        <v>1173</v>
      </c>
      <c r="F561" s="1074" t="s">
        <v>1181</v>
      </c>
      <c r="G561" s="1096" t="s">
        <v>1549</v>
      </c>
      <c r="H561" s="1096" t="s">
        <v>1549</v>
      </c>
      <c r="I561" s="1096" t="s">
        <v>1590</v>
      </c>
      <c r="J561" s="1096" t="s">
        <v>1456</v>
      </c>
      <c r="K561" s="1017" t="s">
        <v>43</v>
      </c>
      <c r="L561" s="1100"/>
      <c r="M561" s="1101">
        <v>5204000</v>
      </c>
      <c r="N561" s="1037"/>
      <c r="O561" s="1037"/>
      <c r="P561" s="1037"/>
      <c r="Q561" s="1102"/>
      <c r="R561" s="1022"/>
      <c r="S561" s="1130"/>
      <c r="T561" s="1156"/>
    </row>
    <row r="562" spans="1:20" ht="51" x14ac:dyDescent="0.2">
      <c r="A562" s="1013">
        <v>2022556</v>
      </c>
      <c r="B562" s="1075" t="s">
        <v>459</v>
      </c>
      <c r="C562" s="1075"/>
      <c r="D562" s="1045" t="s">
        <v>691</v>
      </c>
      <c r="E562" s="1099" t="s">
        <v>1173</v>
      </c>
      <c r="F562" s="1074" t="s">
        <v>989</v>
      </c>
      <c r="G562" s="1096" t="s">
        <v>1548</v>
      </c>
      <c r="H562" s="1096" t="s">
        <v>1548</v>
      </c>
      <c r="I562" s="1096" t="s">
        <v>1526</v>
      </c>
      <c r="J562" s="1096" t="s">
        <v>1501</v>
      </c>
      <c r="K562" s="1017" t="s">
        <v>43</v>
      </c>
      <c r="L562" s="1100"/>
      <c r="M562" s="1101">
        <v>1308000</v>
      </c>
      <c r="N562" s="1037"/>
      <c r="O562" s="1037"/>
      <c r="P562" s="1037"/>
      <c r="Q562" s="1102"/>
      <c r="R562" s="1022"/>
      <c r="S562" s="1130"/>
      <c r="T562" s="1156"/>
    </row>
    <row r="563" spans="1:20" ht="38.25" x14ac:dyDescent="0.2">
      <c r="A563" s="1013">
        <v>2022557</v>
      </c>
      <c r="B563" s="1075" t="s">
        <v>459</v>
      </c>
      <c r="C563" s="1075"/>
      <c r="D563" s="1045" t="s">
        <v>691</v>
      </c>
      <c r="E563" s="1099" t="s">
        <v>1173</v>
      </c>
      <c r="F563" s="1074" t="s">
        <v>991</v>
      </c>
      <c r="G563" s="1096" t="s">
        <v>1548</v>
      </c>
      <c r="H563" s="1096" t="s">
        <v>1548</v>
      </c>
      <c r="I563" s="1096" t="s">
        <v>1496</v>
      </c>
      <c r="J563" s="1096" t="s">
        <v>1501</v>
      </c>
      <c r="K563" s="1017" t="s">
        <v>43</v>
      </c>
      <c r="L563" s="1100"/>
      <c r="M563" s="1101">
        <v>14692000</v>
      </c>
      <c r="N563" s="1037"/>
      <c r="O563" s="1037"/>
      <c r="P563" s="1037"/>
      <c r="Q563" s="1102"/>
      <c r="R563" s="1022"/>
      <c r="S563" s="1130"/>
      <c r="T563" s="1156"/>
    </row>
    <row r="564" spans="1:20" ht="51" x14ac:dyDescent="0.2">
      <c r="A564" s="1013">
        <v>2022558</v>
      </c>
      <c r="B564" s="1075" t="s">
        <v>459</v>
      </c>
      <c r="C564" s="1075"/>
      <c r="D564" s="1045" t="s">
        <v>691</v>
      </c>
      <c r="E564" s="1099" t="s">
        <v>1173</v>
      </c>
      <c r="F564" s="1074" t="s">
        <v>1182</v>
      </c>
      <c r="G564" s="1096" t="s">
        <v>1548</v>
      </c>
      <c r="H564" s="1096" t="s">
        <v>1548</v>
      </c>
      <c r="I564" s="1096" t="s">
        <v>1589</v>
      </c>
      <c r="J564" s="1096" t="s">
        <v>1456</v>
      </c>
      <c r="K564" s="1017" t="s">
        <v>43</v>
      </c>
      <c r="L564" s="1100"/>
      <c r="M564" s="1101">
        <v>1400000</v>
      </c>
      <c r="N564" s="1037"/>
      <c r="O564" s="1037"/>
      <c r="P564" s="1037"/>
      <c r="Q564" s="1102"/>
      <c r="R564" s="1022"/>
      <c r="S564" s="1130"/>
      <c r="T564" s="1156"/>
    </row>
    <row r="565" spans="1:20" ht="38.25" x14ac:dyDescent="0.2">
      <c r="A565" s="1013">
        <v>2022559</v>
      </c>
      <c r="B565" s="1075" t="s">
        <v>459</v>
      </c>
      <c r="C565" s="1075"/>
      <c r="D565" s="1045" t="s">
        <v>691</v>
      </c>
      <c r="E565" s="1099" t="s">
        <v>1173</v>
      </c>
      <c r="F565" s="1074" t="s">
        <v>1181</v>
      </c>
      <c r="G565" s="1096" t="s">
        <v>1549</v>
      </c>
      <c r="H565" s="1096" t="s">
        <v>1549</v>
      </c>
      <c r="I565" s="1096" t="s">
        <v>1590</v>
      </c>
      <c r="J565" s="1096" t="s">
        <v>1456</v>
      </c>
      <c r="K565" s="1017" t="s">
        <v>43</v>
      </c>
      <c r="L565" s="1100"/>
      <c r="M565" s="1101">
        <v>9600000</v>
      </c>
      <c r="N565" s="1037"/>
      <c r="O565" s="1037"/>
      <c r="P565" s="1037"/>
      <c r="Q565" s="1102"/>
      <c r="R565" s="1022"/>
      <c r="S565" s="1130"/>
      <c r="T565" s="1156"/>
    </row>
    <row r="566" spans="1:20" ht="140.25" x14ac:dyDescent="0.2">
      <c r="A566" s="1013">
        <v>2022560</v>
      </c>
      <c r="B566" s="1075" t="s">
        <v>459</v>
      </c>
      <c r="C566" s="1075"/>
      <c r="D566" s="1045" t="s">
        <v>691</v>
      </c>
      <c r="E566" s="1107" t="s">
        <v>1183</v>
      </c>
      <c r="F566" s="1074" t="s">
        <v>1184</v>
      </c>
      <c r="G566" s="1096" t="s">
        <v>1564</v>
      </c>
      <c r="H566" s="1096" t="s">
        <v>1564</v>
      </c>
      <c r="I566" s="1096" t="s">
        <v>1591</v>
      </c>
      <c r="J566" s="1096" t="s">
        <v>1592</v>
      </c>
      <c r="K566" s="1017" t="s">
        <v>43</v>
      </c>
      <c r="L566" s="1100"/>
      <c r="M566" s="1101">
        <v>79500000</v>
      </c>
      <c r="N566" s="1037"/>
      <c r="O566" s="1037"/>
      <c r="P566" s="1037"/>
      <c r="Q566" s="1102"/>
      <c r="R566" s="1022"/>
      <c r="S566" s="1130"/>
      <c r="T566" s="1156"/>
    </row>
    <row r="567" spans="1:20" ht="165.75" x14ac:dyDescent="0.2">
      <c r="A567" s="1013">
        <v>2022561</v>
      </c>
      <c r="B567" s="1075" t="s">
        <v>459</v>
      </c>
      <c r="C567" s="1075"/>
      <c r="D567" s="1045" t="s">
        <v>691</v>
      </c>
      <c r="E567" s="1107" t="s">
        <v>1183</v>
      </c>
      <c r="F567" s="1074" t="s">
        <v>1185</v>
      </c>
      <c r="G567" s="1096" t="s">
        <v>1553</v>
      </c>
      <c r="H567" s="1096" t="s">
        <v>1553</v>
      </c>
      <c r="I567" s="1096" t="s">
        <v>1593</v>
      </c>
      <c r="J567" s="1096" t="s">
        <v>1592</v>
      </c>
      <c r="K567" s="1017" t="s">
        <v>43</v>
      </c>
      <c r="L567" s="1100"/>
      <c r="M567" s="1101">
        <v>41500000</v>
      </c>
      <c r="N567" s="1037"/>
      <c r="O567" s="1037"/>
      <c r="P567" s="1037"/>
      <c r="Q567" s="1102"/>
      <c r="R567" s="1022"/>
      <c r="S567" s="1130"/>
      <c r="T567" s="1156"/>
    </row>
    <row r="568" spans="1:20" ht="38.25" x14ac:dyDescent="0.2">
      <c r="A568" s="1013">
        <v>2022562</v>
      </c>
      <c r="B568" s="1075" t="s">
        <v>459</v>
      </c>
      <c r="C568" s="1075"/>
      <c r="D568" s="1045" t="s">
        <v>691</v>
      </c>
      <c r="E568" s="1099" t="s">
        <v>1186</v>
      </c>
      <c r="F568" s="1074" t="s">
        <v>1187</v>
      </c>
      <c r="G568" s="1096" t="s">
        <v>1553</v>
      </c>
      <c r="H568" s="1096" t="s">
        <v>1553</v>
      </c>
      <c r="I568" s="1096" t="s">
        <v>1594</v>
      </c>
      <c r="J568" s="1096" t="s">
        <v>1595</v>
      </c>
      <c r="K568" s="1017" t="s">
        <v>43</v>
      </c>
      <c r="L568" s="1100"/>
      <c r="M568" s="1101">
        <v>1500000000</v>
      </c>
      <c r="N568" s="1037"/>
      <c r="O568" s="1037"/>
      <c r="P568" s="1037"/>
      <c r="Q568" s="1102"/>
      <c r="R568" s="1022"/>
      <c r="S568" s="1130"/>
      <c r="T568" s="1156"/>
    </row>
    <row r="569" spans="1:20" ht="38.25" x14ac:dyDescent="0.2">
      <c r="A569" s="1013">
        <v>2022563</v>
      </c>
      <c r="B569" s="1075" t="s">
        <v>459</v>
      </c>
      <c r="C569" s="1075"/>
      <c r="D569" s="1045" t="s">
        <v>691</v>
      </c>
      <c r="E569" s="1099" t="s">
        <v>1186</v>
      </c>
      <c r="F569" s="1074" t="s">
        <v>1187</v>
      </c>
      <c r="G569" s="1096" t="s">
        <v>1553</v>
      </c>
      <c r="H569" s="1096" t="s">
        <v>1553</v>
      </c>
      <c r="I569" s="1096" t="s">
        <v>1594</v>
      </c>
      <c r="J569" s="1096" t="s">
        <v>1595</v>
      </c>
      <c r="K569" s="1017" t="s">
        <v>43</v>
      </c>
      <c r="L569" s="1100"/>
      <c r="M569" s="1101">
        <v>550000000</v>
      </c>
      <c r="N569" s="1037"/>
      <c r="O569" s="1037"/>
      <c r="P569" s="1037"/>
      <c r="Q569" s="1102"/>
      <c r="R569" s="1022"/>
      <c r="S569" s="1130"/>
      <c r="T569" s="1156"/>
    </row>
    <row r="570" spans="1:20" ht="38.25" x14ac:dyDescent="0.2">
      <c r="A570" s="1013">
        <v>2022564</v>
      </c>
      <c r="B570" s="1075" t="s">
        <v>459</v>
      </c>
      <c r="C570" s="1075"/>
      <c r="D570" s="1045" t="s">
        <v>691</v>
      </c>
      <c r="E570" s="1099" t="s">
        <v>1186</v>
      </c>
      <c r="F570" s="1074" t="s">
        <v>1187</v>
      </c>
      <c r="G570" s="1096" t="s">
        <v>1553</v>
      </c>
      <c r="H570" s="1096" t="s">
        <v>1553</v>
      </c>
      <c r="I570" s="1096" t="s">
        <v>1594</v>
      </c>
      <c r="J570" s="1096" t="s">
        <v>1595</v>
      </c>
      <c r="K570" s="1017" t="s">
        <v>43</v>
      </c>
      <c r="L570" s="1100"/>
      <c r="M570" s="1101">
        <v>733000000</v>
      </c>
      <c r="N570" s="1037"/>
      <c r="O570" s="1037"/>
      <c r="P570" s="1037"/>
      <c r="Q570" s="1102"/>
      <c r="R570" s="1022"/>
      <c r="S570" s="1130"/>
      <c r="T570" s="1156"/>
    </row>
    <row r="571" spans="1:20" ht="38.25" x14ac:dyDescent="0.2">
      <c r="A571" s="1013">
        <v>2022565</v>
      </c>
      <c r="B571" s="1075" t="s">
        <v>459</v>
      </c>
      <c r="C571" s="1075"/>
      <c r="D571" s="1045" t="s">
        <v>691</v>
      </c>
      <c r="E571" s="1099" t="s">
        <v>1186</v>
      </c>
      <c r="F571" s="1074" t="s">
        <v>1187</v>
      </c>
      <c r="G571" s="1096" t="s">
        <v>1553</v>
      </c>
      <c r="H571" s="1096" t="s">
        <v>1553</v>
      </c>
      <c r="I571" s="1096" t="s">
        <v>1594</v>
      </c>
      <c r="J571" s="1096" t="s">
        <v>1595</v>
      </c>
      <c r="K571" s="1017" t="s">
        <v>43</v>
      </c>
      <c r="L571" s="1100"/>
      <c r="M571" s="1101">
        <v>150000000</v>
      </c>
      <c r="N571" s="1037"/>
      <c r="O571" s="1037"/>
      <c r="P571" s="1037"/>
      <c r="Q571" s="1102"/>
      <c r="R571" s="1022"/>
      <c r="S571" s="1130"/>
      <c r="T571" s="1156"/>
    </row>
    <row r="572" spans="1:20" ht="38.25" x14ac:dyDescent="0.2">
      <c r="A572" s="1013">
        <v>2022566</v>
      </c>
      <c r="B572" s="1075" t="s">
        <v>459</v>
      </c>
      <c r="C572" s="1075"/>
      <c r="D572" s="1045" t="s">
        <v>691</v>
      </c>
      <c r="E572" s="1099" t="s">
        <v>1186</v>
      </c>
      <c r="F572" s="1074" t="s">
        <v>1187</v>
      </c>
      <c r="G572" s="1096" t="s">
        <v>1553</v>
      </c>
      <c r="H572" s="1096" t="s">
        <v>1553</v>
      </c>
      <c r="I572" s="1096" t="s">
        <v>1594</v>
      </c>
      <c r="J572" s="1096" t="s">
        <v>1595</v>
      </c>
      <c r="K572" s="1017" t="s">
        <v>43</v>
      </c>
      <c r="L572" s="1100"/>
      <c r="M572" s="1101">
        <v>300000000</v>
      </c>
      <c r="N572" s="1037"/>
      <c r="O572" s="1037"/>
      <c r="P572" s="1037"/>
      <c r="Q572" s="1102"/>
      <c r="R572" s="1022"/>
      <c r="S572" s="1130"/>
      <c r="T572" s="1156"/>
    </row>
    <row r="573" spans="1:20" ht="38.25" x14ac:dyDescent="0.2">
      <c r="A573" s="1013">
        <v>2022567</v>
      </c>
      <c r="B573" s="1075" t="s">
        <v>459</v>
      </c>
      <c r="C573" s="1075"/>
      <c r="D573" s="1045" t="s">
        <v>691</v>
      </c>
      <c r="E573" s="1099" t="s">
        <v>1186</v>
      </c>
      <c r="F573" s="1074" t="s">
        <v>1187</v>
      </c>
      <c r="G573" s="1096" t="s">
        <v>1553</v>
      </c>
      <c r="H573" s="1096" t="s">
        <v>1553</v>
      </c>
      <c r="I573" s="1096" t="s">
        <v>1594</v>
      </c>
      <c r="J573" s="1096" t="s">
        <v>1595</v>
      </c>
      <c r="K573" s="1017" t="s">
        <v>43</v>
      </c>
      <c r="L573" s="1100"/>
      <c r="M573" s="1101">
        <v>67000000</v>
      </c>
      <c r="N573" s="1037"/>
      <c r="O573" s="1037"/>
      <c r="P573" s="1037"/>
      <c r="Q573" s="1102"/>
      <c r="R573" s="1022"/>
      <c r="S573" s="1130"/>
      <c r="T573" s="1156"/>
    </row>
    <row r="574" spans="1:20" ht="38.25" x14ac:dyDescent="0.2">
      <c r="A574" s="1013">
        <v>2022568</v>
      </c>
      <c r="B574" s="1075" t="s">
        <v>459</v>
      </c>
      <c r="C574" s="1075"/>
      <c r="D574" s="1045" t="s">
        <v>691</v>
      </c>
      <c r="E574" s="1107" t="s">
        <v>1188</v>
      </c>
      <c r="F574" s="1074" t="s">
        <v>1189</v>
      </c>
      <c r="G574" s="1096" t="s">
        <v>1559</v>
      </c>
      <c r="H574" s="1096" t="s">
        <v>1559</v>
      </c>
      <c r="I574" s="1096" t="s">
        <v>1591</v>
      </c>
      <c r="J574" s="1096" t="s">
        <v>1592</v>
      </c>
      <c r="K574" s="1017" t="s">
        <v>43</v>
      </c>
      <c r="L574" s="1100"/>
      <c r="M574" s="1101">
        <v>124000000</v>
      </c>
      <c r="N574" s="1037"/>
      <c r="O574" s="1037"/>
      <c r="P574" s="1037"/>
      <c r="Q574" s="1102"/>
      <c r="R574" s="1022"/>
      <c r="S574" s="1130"/>
      <c r="T574" s="1156"/>
    </row>
    <row r="575" spans="1:20" ht="38.25" x14ac:dyDescent="0.2">
      <c r="A575" s="1013">
        <v>2022569</v>
      </c>
      <c r="B575" s="1075" t="s">
        <v>459</v>
      </c>
      <c r="C575" s="1075"/>
      <c r="D575" s="1045" t="s">
        <v>691</v>
      </c>
      <c r="E575" s="1107" t="s">
        <v>1188</v>
      </c>
      <c r="F575" s="1074" t="s">
        <v>1190</v>
      </c>
      <c r="G575" s="1096" t="s">
        <v>1548</v>
      </c>
      <c r="H575" s="1096" t="s">
        <v>1548</v>
      </c>
      <c r="I575" s="1096" t="s">
        <v>1594</v>
      </c>
      <c r="J575" s="1096" t="s">
        <v>1592</v>
      </c>
      <c r="K575" s="1017" t="s">
        <v>43</v>
      </c>
      <c r="L575" s="1100"/>
      <c r="M575" s="1101">
        <v>109000000</v>
      </c>
      <c r="N575" s="1037"/>
      <c r="O575" s="1037"/>
      <c r="P575" s="1037"/>
      <c r="Q575" s="1102"/>
      <c r="R575" s="1022"/>
      <c r="S575" s="1130"/>
      <c r="T575" s="1156"/>
    </row>
    <row r="576" spans="1:20" ht="51" x14ac:dyDescent="0.2">
      <c r="A576" s="1013">
        <v>2022570</v>
      </c>
      <c r="B576" s="1075" t="s">
        <v>459</v>
      </c>
      <c r="C576" s="1075"/>
      <c r="D576" s="1045" t="s">
        <v>691</v>
      </c>
      <c r="E576" s="1107" t="s">
        <v>782</v>
      </c>
      <c r="F576" s="1074" t="s">
        <v>1191</v>
      </c>
      <c r="G576" s="1096" t="s">
        <v>1565</v>
      </c>
      <c r="H576" s="1096" t="s">
        <v>1565</v>
      </c>
      <c r="I576" s="1096" t="s">
        <v>1596</v>
      </c>
      <c r="J576" s="1096" t="s">
        <v>1592</v>
      </c>
      <c r="K576" s="1017" t="s">
        <v>43</v>
      </c>
      <c r="L576" s="1100"/>
      <c r="M576" s="1101">
        <v>350000000</v>
      </c>
      <c r="N576" s="1037"/>
      <c r="O576" s="1037"/>
      <c r="P576" s="1037"/>
      <c r="Q576" s="1102"/>
      <c r="R576" s="1022"/>
      <c r="S576" s="1130"/>
      <c r="T576" s="1156"/>
    </row>
    <row r="577" spans="1:20" ht="63.75" x14ac:dyDescent="0.2">
      <c r="A577" s="1013">
        <v>2022571</v>
      </c>
      <c r="B577" s="1075" t="s">
        <v>459</v>
      </c>
      <c r="C577" s="1075"/>
      <c r="D577" s="1045" t="s">
        <v>691</v>
      </c>
      <c r="E577" s="1099" t="s">
        <v>985</v>
      </c>
      <c r="F577" s="1074" t="s">
        <v>1192</v>
      </c>
      <c r="G577" s="1096" t="s">
        <v>1554</v>
      </c>
      <c r="H577" s="1096" t="s">
        <v>1554</v>
      </c>
      <c r="I577" s="1096" t="s">
        <v>1597</v>
      </c>
      <c r="J577" s="1096" t="s">
        <v>1595</v>
      </c>
      <c r="K577" s="1017" t="s">
        <v>43</v>
      </c>
      <c r="L577" s="1100"/>
      <c r="M577" s="1101">
        <v>756263000</v>
      </c>
      <c r="N577" s="1037"/>
      <c r="O577" s="1037"/>
      <c r="P577" s="1037"/>
      <c r="Q577" s="1102"/>
      <c r="R577" s="1022"/>
      <c r="S577" s="1130"/>
      <c r="T577" s="1156"/>
    </row>
    <row r="578" spans="1:20" ht="51" x14ac:dyDescent="0.2">
      <c r="A578" s="1013">
        <v>2022572</v>
      </c>
      <c r="B578" s="1075" t="s">
        <v>459</v>
      </c>
      <c r="C578" s="1075"/>
      <c r="D578" s="1045" t="s">
        <v>691</v>
      </c>
      <c r="E578" s="1099" t="s">
        <v>1173</v>
      </c>
      <c r="F578" s="1074" t="s">
        <v>989</v>
      </c>
      <c r="G578" s="1096" t="s">
        <v>1548</v>
      </c>
      <c r="H578" s="1096" t="s">
        <v>1548</v>
      </c>
      <c r="I578" s="1096" t="s">
        <v>1526</v>
      </c>
      <c r="J578" s="1096" t="s">
        <v>1501</v>
      </c>
      <c r="K578" s="1017" t="s">
        <v>43</v>
      </c>
      <c r="L578" s="1100"/>
      <c r="M578" s="1101">
        <v>37063000</v>
      </c>
      <c r="N578" s="1037"/>
      <c r="O578" s="1037"/>
      <c r="P578" s="1037"/>
      <c r="Q578" s="1102"/>
      <c r="R578" s="1022"/>
      <c r="S578" s="1130"/>
      <c r="T578" s="1156"/>
    </row>
    <row r="579" spans="1:20" ht="38.25" x14ac:dyDescent="0.2">
      <c r="A579" s="1013">
        <v>2022573</v>
      </c>
      <c r="B579" s="1075" t="s">
        <v>459</v>
      </c>
      <c r="C579" s="1075"/>
      <c r="D579" s="1045" t="s">
        <v>691</v>
      </c>
      <c r="E579" s="1099" t="s">
        <v>1173</v>
      </c>
      <c r="F579" s="1074" t="s">
        <v>991</v>
      </c>
      <c r="G579" s="1096" t="s">
        <v>1548</v>
      </c>
      <c r="H579" s="1096" t="s">
        <v>1548</v>
      </c>
      <c r="I579" s="1096" t="s">
        <v>1496</v>
      </c>
      <c r="J579" s="1096" t="s">
        <v>1501</v>
      </c>
      <c r="K579" s="1017" t="s">
        <v>43</v>
      </c>
      <c r="L579" s="1100"/>
      <c r="M579" s="1101">
        <v>382937000</v>
      </c>
      <c r="N579" s="1037"/>
      <c r="O579" s="1037"/>
      <c r="P579" s="1037"/>
      <c r="Q579" s="1102"/>
      <c r="R579" s="1022"/>
      <c r="S579" s="1130"/>
      <c r="T579" s="1156"/>
    </row>
    <row r="580" spans="1:20" ht="38.25" x14ac:dyDescent="0.2">
      <c r="A580" s="1013">
        <v>2022574</v>
      </c>
      <c r="B580" s="1075" t="s">
        <v>459</v>
      </c>
      <c r="C580" s="1075"/>
      <c r="D580" s="1045" t="s">
        <v>691</v>
      </c>
      <c r="E580" s="1099" t="s">
        <v>1193</v>
      </c>
      <c r="F580" s="1074" t="s">
        <v>1598</v>
      </c>
      <c r="G580" s="1096" t="s">
        <v>1548</v>
      </c>
      <c r="H580" s="1096" t="s">
        <v>1548</v>
      </c>
      <c r="I580" s="1096" t="s">
        <v>1590</v>
      </c>
      <c r="J580" s="1096" t="s">
        <v>1592</v>
      </c>
      <c r="K580" s="1017" t="s">
        <v>43</v>
      </c>
      <c r="L580" s="1100"/>
      <c r="M580" s="1101">
        <v>4019274</v>
      </c>
      <c r="N580" s="1037"/>
      <c r="O580" s="1037"/>
      <c r="P580" s="1037"/>
      <c r="Q580" s="1102"/>
      <c r="R580" s="1022"/>
      <c r="S580" s="1130"/>
      <c r="T580" s="1156"/>
    </row>
    <row r="581" spans="1:20" ht="51" x14ac:dyDescent="0.2">
      <c r="A581" s="1013">
        <v>2022575</v>
      </c>
      <c r="B581" s="1075" t="s">
        <v>459</v>
      </c>
      <c r="C581" s="1075"/>
      <c r="D581" s="1045" t="s">
        <v>691</v>
      </c>
      <c r="E581" s="1107" t="s">
        <v>1195</v>
      </c>
      <c r="F581" s="1074" t="s">
        <v>1196</v>
      </c>
      <c r="G581" s="1096" t="s">
        <v>1548</v>
      </c>
      <c r="H581" s="1096" t="s">
        <v>1548</v>
      </c>
      <c r="I581" s="1096" t="s">
        <v>1599</v>
      </c>
      <c r="J581" s="1096" t="s">
        <v>1592</v>
      </c>
      <c r="K581" s="1017" t="s">
        <v>43</v>
      </c>
      <c r="L581" s="1100"/>
      <c r="M581" s="1101">
        <v>8664250</v>
      </c>
      <c r="N581" s="1037"/>
      <c r="O581" s="1037"/>
      <c r="P581" s="1037"/>
      <c r="Q581" s="1102"/>
      <c r="R581" s="1022"/>
      <c r="S581" s="1130"/>
      <c r="T581" s="1156"/>
    </row>
    <row r="582" spans="1:20" ht="38.25" x14ac:dyDescent="0.2">
      <c r="A582" s="1013">
        <v>2022576</v>
      </c>
      <c r="B582" s="1075" t="s">
        <v>459</v>
      </c>
      <c r="C582" s="1075"/>
      <c r="D582" s="1045" t="s">
        <v>691</v>
      </c>
      <c r="E582" s="1107" t="s">
        <v>1193</v>
      </c>
      <c r="F582" s="1074" t="s">
        <v>1197</v>
      </c>
      <c r="G582" s="1096" t="s">
        <v>1559</v>
      </c>
      <c r="H582" s="1096" t="s">
        <v>1559</v>
      </c>
      <c r="I582" s="1096" t="s">
        <v>1600</v>
      </c>
      <c r="J582" s="1096" t="s">
        <v>1592</v>
      </c>
      <c r="K582" s="1017" t="s">
        <v>43</v>
      </c>
      <c r="L582" s="1100"/>
      <c r="M582" s="1101">
        <v>13335750</v>
      </c>
      <c r="N582" s="1037"/>
      <c r="O582" s="1037"/>
      <c r="P582" s="1037"/>
      <c r="Q582" s="1102"/>
      <c r="R582" s="1022"/>
      <c r="S582" s="1130"/>
      <c r="T582" s="1156"/>
    </row>
    <row r="583" spans="1:20" ht="38.25" x14ac:dyDescent="0.2">
      <c r="A583" s="1013">
        <v>2022577</v>
      </c>
      <c r="B583" s="1075" t="s">
        <v>459</v>
      </c>
      <c r="C583" s="1075"/>
      <c r="D583" s="1045" t="s">
        <v>691</v>
      </c>
      <c r="E583" s="1107" t="s">
        <v>1195</v>
      </c>
      <c r="F583" s="1074" t="s">
        <v>1194</v>
      </c>
      <c r="G583" s="1096" t="s">
        <v>1562</v>
      </c>
      <c r="H583" s="1096" t="s">
        <v>1562</v>
      </c>
      <c r="I583" s="1096" t="s">
        <v>1590</v>
      </c>
      <c r="J583" s="1096" t="s">
        <v>1592</v>
      </c>
      <c r="K583" s="1017" t="s">
        <v>43</v>
      </c>
      <c r="L583" s="1100"/>
      <c r="M583" s="1101">
        <v>3980726</v>
      </c>
      <c r="N583" s="1037"/>
      <c r="O583" s="1037"/>
      <c r="P583" s="1037"/>
      <c r="Q583" s="1102"/>
      <c r="R583" s="1022"/>
      <c r="S583" s="1130"/>
      <c r="T583" s="1156"/>
    </row>
    <row r="584" spans="1:20" ht="63.75" x14ac:dyDescent="0.2">
      <c r="A584" s="1013">
        <v>2022578</v>
      </c>
      <c r="B584" s="1075" t="s">
        <v>459</v>
      </c>
      <c r="C584" s="1075"/>
      <c r="D584" s="1045" t="s">
        <v>691</v>
      </c>
      <c r="E584" s="1099" t="s">
        <v>810</v>
      </c>
      <c r="F584" s="1074" t="s">
        <v>811</v>
      </c>
      <c r="G584" s="1096" t="s">
        <v>1548</v>
      </c>
      <c r="H584" s="1096" t="s">
        <v>1548</v>
      </c>
      <c r="I584" s="1096">
        <v>0</v>
      </c>
      <c r="J584" s="1096" t="s">
        <v>1601</v>
      </c>
      <c r="K584" s="1017" t="s">
        <v>43</v>
      </c>
      <c r="L584" s="1100"/>
      <c r="M584" s="1101">
        <v>20000000</v>
      </c>
      <c r="N584" s="1037"/>
      <c r="O584" s="1037"/>
      <c r="P584" s="1037"/>
      <c r="Q584" s="1102"/>
      <c r="R584" s="1022"/>
      <c r="S584" s="1130"/>
      <c r="T584" s="1156"/>
    </row>
    <row r="585" spans="1:20" ht="51" x14ac:dyDescent="0.2">
      <c r="A585" s="1013">
        <v>2022579</v>
      </c>
      <c r="B585" s="1075" t="s">
        <v>459</v>
      </c>
      <c r="C585" s="1075"/>
      <c r="D585" s="1045" t="s">
        <v>691</v>
      </c>
      <c r="E585" s="1099" t="s">
        <v>810</v>
      </c>
      <c r="F585" s="1074" t="s">
        <v>1198</v>
      </c>
      <c r="G585" s="1096" t="s">
        <v>1548</v>
      </c>
      <c r="H585" s="1096" t="s">
        <v>1548</v>
      </c>
      <c r="I585" s="1096" t="s">
        <v>1602</v>
      </c>
      <c r="J585" s="1096" t="s">
        <v>1601</v>
      </c>
      <c r="K585" s="1017" t="s">
        <v>43</v>
      </c>
      <c r="L585" s="1100"/>
      <c r="M585" s="1101">
        <v>130000000</v>
      </c>
      <c r="N585" s="1037"/>
      <c r="O585" s="1037"/>
      <c r="P585" s="1037"/>
      <c r="Q585" s="1102"/>
      <c r="R585" s="1022"/>
      <c r="S585" s="1130"/>
      <c r="T585" s="1156"/>
    </row>
    <row r="586" spans="1:20" ht="38.25" x14ac:dyDescent="0.2">
      <c r="A586" s="1013">
        <v>2022580</v>
      </c>
      <c r="B586" s="1075" t="s">
        <v>459</v>
      </c>
      <c r="C586" s="1075"/>
      <c r="D586" s="1045" t="s">
        <v>684</v>
      </c>
      <c r="E586" s="1096" t="s">
        <v>782</v>
      </c>
      <c r="F586" s="1074" t="s">
        <v>1199</v>
      </c>
      <c r="G586" s="1081" t="s">
        <v>1548</v>
      </c>
      <c r="H586" s="1081" t="s">
        <v>1548</v>
      </c>
      <c r="I586" s="1096" t="s">
        <v>1603</v>
      </c>
      <c r="J586" s="1096" t="s">
        <v>1592</v>
      </c>
      <c r="K586" s="1017" t="s">
        <v>43</v>
      </c>
      <c r="L586" s="1100"/>
      <c r="M586" s="1101">
        <v>85650000</v>
      </c>
      <c r="N586" s="1037"/>
      <c r="O586" s="1037"/>
      <c r="P586" s="1037"/>
      <c r="Q586" s="1102"/>
      <c r="R586" s="1022"/>
      <c r="S586" s="1130"/>
      <c r="T586" s="1156"/>
    </row>
    <row r="587" spans="1:20" ht="51" x14ac:dyDescent="0.2">
      <c r="A587" s="1013">
        <v>2022581</v>
      </c>
      <c r="B587" s="1075" t="s">
        <v>459</v>
      </c>
      <c r="C587" s="1075"/>
      <c r="D587" s="1045" t="s">
        <v>684</v>
      </c>
      <c r="E587" s="1096" t="s">
        <v>782</v>
      </c>
      <c r="F587" s="1074" t="s">
        <v>1200</v>
      </c>
      <c r="G587" s="1081" t="s">
        <v>1548</v>
      </c>
      <c r="H587" s="1081" t="s">
        <v>1548</v>
      </c>
      <c r="I587" s="1096" t="s">
        <v>1603</v>
      </c>
      <c r="J587" s="1096" t="s">
        <v>1592</v>
      </c>
      <c r="K587" s="1017" t="s">
        <v>43</v>
      </c>
      <c r="L587" s="1100"/>
      <c r="M587" s="1101">
        <v>55350000</v>
      </c>
      <c r="N587" s="1037"/>
      <c r="O587" s="1037"/>
      <c r="P587" s="1037"/>
      <c r="Q587" s="1102"/>
      <c r="R587" s="1022"/>
      <c r="S587" s="1130"/>
      <c r="T587" s="1156"/>
    </row>
    <row r="588" spans="1:20" ht="51" x14ac:dyDescent="0.2">
      <c r="A588" s="1013">
        <v>2022582</v>
      </c>
      <c r="B588" s="1075" t="s">
        <v>459</v>
      </c>
      <c r="C588" s="1075"/>
      <c r="D588" s="1045" t="s">
        <v>684</v>
      </c>
      <c r="E588" s="1096" t="s">
        <v>782</v>
      </c>
      <c r="F588" s="1074" t="s">
        <v>1201</v>
      </c>
      <c r="G588" s="1081" t="s">
        <v>1548</v>
      </c>
      <c r="H588" s="1081" t="s">
        <v>1548</v>
      </c>
      <c r="I588" s="1096" t="s">
        <v>1500</v>
      </c>
      <c r="J588" s="1096" t="s">
        <v>1592</v>
      </c>
      <c r="K588" s="1017" t="s">
        <v>43</v>
      </c>
      <c r="L588" s="1100"/>
      <c r="M588" s="1101">
        <v>99000000</v>
      </c>
      <c r="N588" s="1037"/>
      <c r="O588" s="1037"/>
      <c r="P588" s="1037"/>
      <c r="Q588" s="1102"/>
      <c r="R588" s="1022"/>
      <c r="S588" s="1130"/>
      <c r="T588" s="1156"/>
    </row>
    <row r="589" spans="1:20" ht="89.25" x14ac:dyDescent="0.2">
      <c r="A589" s="1013">
        <v>2022583</v>
      </c>
      <c r="B589" s="1075" t="s">
        <v>459</v>
      </c>
      <c r="C589" s="1075"/>
      <c r="D589" s="1045" t="s">
        <v>700</v>
      </c>
      <c r="E589" s="1096" t="s">
        <v>1202</v>
      </c>
      <c r="F589" s="1074" t="s">
        <v>1203</v>
      </c>
      <c r="G589" s="1081" t="s">
        <v>1548</v>
      </c>
      <c r="H589" s="1081" t="s">
        <v>1548</v>
      </c>
      <c r="I589" s="1096" t="s">
        <v>1485</v>
      </c>
      <c r="J589" s="1096" t="s">
        <v>1604</v>
      </c>
      <c r="K589" s="1017" t="s">
        <v>43</v>
      </c>
      <c r="L589" s="1100"/>
      <c r="M589" s="1101">
        <v>22000000</v>
      </c>
      <c r="N589" s="1037"/>
      <c r="O589" s="1037"/>
      <c r="P589" s="1037"/>
      <c r="Q589" s="1102"/>
      <c r="R589" s="1022"/>
      <c r="S589" s="1130"/>
      <c r="T589" s="1156"/>
    </row>
    <row r="590" spans="1:20" ht="25.5" x14ac:dyDescent="0.2">
      <c r="A590" s="1013">
        <v>2022584</v>
      </c>
      <c r="B590" s="1075" t="s">
        <v>459</v>
      </c>
      <c r="C590" s="1075"/>
      <c r="D590" s="1045" t="s">
        <v>703</v>
      </c>
      <c r="E590" s="1108" t="s">
        <v>1204</v>
      </c>
      <c r="F590" s="1074" t="s">
        <v>1205</v>
      </c>
      <c r="G590" s="1096" t="s">
        <v>1553</v>
      </c>
      <c r="H590" s="1096" t="s">
        <v>1553</v>
      </c>
      <c r="I590" s="1096" t="s">
        <v>1590</v>
      </c>
      <c r="J590" s="1096" t="s">
        <v>1592</v>
      </c>
      <c r="K590" s="1017" t="s">
        <v>43</v>
      </c>
      <c r="L590" s="1100"/>
      <c r="M590" s="1101">
        <v>700102000</v>
      </c>
      <c r="N590" s="1037"/>
      <c r="O590" s="1037"/>
      <c r="P590" s="1037"/>
      <c r="Q590" s="1102"/>
      <c r="R590" s="1022"/>
      <c r="S590" s="1130"/>
      <c r="T590" s="1156"/>
    </row>
    <row r="591" spans="1:20" ht="216.75" x14ac:dyDescent="0.2">
      <c r="A591" s="1013">
        <v>2022585</v>
      </c>
      <c r="B591" s="1075" t="s">
        <v>459</v>
      </c>
      <c r="C591" s="1075"/>
      <c r="D591" s="1045" t="s">
        <v>697</v>
      </c>
      <c r="E591" s="1099" t="s">
        <v>1206</v>
      </c>
      <c r="F591" s="1074" t="s">
        <v>1207</v>
      </c>
      <c r="G591" s="1096" t="s">
        <v>1559</v>
      </c>
      <c r="H591" s="1096" t="s">
        <v>1559</v>
      </c>
      <c r="I591" s="1096" t="s">
        <v>1590</v>
      </c>
      <c r="J591" s="1096" t="s">
        <v>1595</v>
      </c>
      <c r="K591" s="1017" t="s">
        <v>43</v>
      </c>
      <c r="L591" s="1100"/>
      <c r="M591" s="1101">
        <v>40000000</v>
      </c>
      <c r="N591" s="1037"/>
      <c r="O591" s="1037"/>
      <c r="P591" s="1037"/>
      <c r="Q591" s="1102"/>
      <c r="R591" s="1022"/>
      <c r="S591" s="1130"/>
      <c r="T591" s="1156"/>
    </row>
    <row r="592" spans="1:20" ht="51" x14ac:dyDescent="0.2">
      <c r="A592" s="1013">
        <v>2022586</v>
      </c>
      <c r="B592" s="1075" t="s">
        <v>459</v>
      </c>
      <c r="C592" s="1075"/>
      <c r="D592" s="1045" t="s">
        <v>697</v>
      </c>
      <c r="E592" s="1108" t="s">
        <v>1208</v>
      </c>
      <c r="F592" s="1074" t="s">
        <v>1209</v>
      </c>
      <c r="G592" s="1096" t="s">
        <v>1549</v>
      </c>
      <c r="H592" s="1096" t="s">
        <v>1549</v>
      </c>
      <c r="I592" s="1096" t="s">
        <v>1600</v>
      </c>
      <c r="J592" s="1096" t="s">
        <v>1595</v>
      </c>
      <c r="K592" s="1017" t="s">
        <v>43</v>
      </c>
      <c r="L592" s="1100"/>
      <c r="M592" s="1101">
        <v>870000000</v>
      </c>
      <c r="N592" s="1037"/>
      <c r="O592" s="1037"/>
      <c r="P592" s="1037"/>
      <c r="Q592" s="1102"/>
      <c r="R592" s="1022"/>
      <c r="S592" s="1130"/>
      <c r="T592" s="1156"/>
    </row>
    <row r="593" spans="1:20" ht="25.5" x14ac:dyDescent="0.2">
      <c r="A593" s="1013">
        <v>2022587</v>
      </c>
      <c r="B593" s="1075" t="s">
        <v>459</v>
      </c>
      <c r="C593" s="1075"/>
      <c r="D593" s="1045" t="s">
        <v>697</v>
      </c>
      <c r="E593" s="1096" t="s">
        <v>1210</v>
      </c>
      <c r="F593" s="1074" t="s">
        <v>1211</v>
      </c>
      <c r="G593" s="1096" t="s">
        <v>1605</v>
      </c>
      <c r="H593" s="1096" t="s">
        <v>1605</v>
      </c>
      <c r="I593" s="1096" t="s">
        <v>1212</v>
      </c>
      <c r="J593" s="1096"/>
      <c r="K593" s="1017" t="s">
        <v>43</v>
      </c>
      <c r="L593" s="1100"/>
      <c r="M593" s="1101">
        <v>150000000</v>
      </c>
      <c r="N593" s="1037"/>
      <c r="O593" s="1037"/>
      <c r="P593" s="1037"/>
      <c r="Q593" s="1102"/>
      <c r="R593" s="1022"/>
      <c r="S593" s="1130"/>
      <c r="T593" s="1156"/>
    </row>
    <row r="594" spans="1:20" ht="25.5" x14ac:dyDescent="0.2">
      <c r="A594" s="1013">
        <v>2022588</v>
      </c>
      <c r="B594" s="1075" t="s">
        <v>459</v>
      </c>
      <c r="C594" s="1075"/>
      <c r="D594" s="1045" t="s">
        <v>697</v>
      </c>
      <c r="E594" s="1099" t="s">
        <v>1213</v>
      </c>
      <c r="F594" s="1074" t="s">
        <v>1214</v>
      </c>
      <c r="G594" s="1096" t="s">
        <v>1564</v>
      </c>
      <c r="H594" s="1096" t="s">
        <v>1564</v>
      </c>
      <c r="I594" s="1096" t="s">
        <v>1591</v>
      </c>
      <c r="J594" s="1096" t="s">
        <v>1601</v>
      </c>
      <c r="K594" s="1017" t="s">
        <v>43</v>
      </c>
      <c r="L594" s="1100"/>
      <c r="M594" s="1101">
        <v>250000000</v>
      </c>
      <c r="N594" s="1037"/>
      <c r="O594" s="1037"/>
      <c r="P594" s="1037"/>
      <c r="Q594" s="1102"/>
      <c r="R594" s="1022"/>
      <c r="S594" s="1130"/>
      <c r="T594" s="1156"/>
    </row>
    <row r="595" spans="1:20" ht="89.25" x14ac:dyDescent="0.2">
      <c r="A595" s="1013">
        <v>2022589</v>
      </c>
      <c r="B595" s="1075" t="s">
        <v>459</v>
      </c>
      <c r="C595" s="1075"/>
      <c r="D595" s="1045" t="s">
        <v>697</v>
      </c>
      <c r="E595" s="1099" t="s">
        <v>1215</v>
      </c>
      <c r="F595" s="1074" t="s">
        <v>1216</v>
      </c>
      <c r="G595" s="1096" t="s">
        <v>1549</v>
      </c>
      <c r="H595" s="1096" t="s">
        <v>1549</v>
      </c>
      <c r="I595" s="1096" t="s">
        <v>1600</v>
      </c>
      <c r="J595" s="1096" t="s">
        <v>1604</v>
      </c>
      <c r="K595" s="1017" t="s">
        <v>43</v>
      </c>
      <c r="L595" s="1100"/>
      <c r="M595" s="1101">
        <v>50000000</v>
      </c>
      <c r="N595" s="1037"/>
      <c r="O595" s="1037"/>
      <c r="P595" s="1037"/>
      <c r="Q595" s="1102"/>
      <c r="R595" s="1022"/>
      <c r="S595" s="1130"/>
      <c r="T595" s="1156"/>
    </row>
    <row r="596" spans="1:20" ht="76.5" x14ac:dyDescent="0.2">
      <c r="A596" s="1013">
        <v>2022590</v>
      </c>
      <c r="B596" s="1075" t="s">
        <v>459</v>
      </c>
      <c r="C596" s="1075"/>
      <c r="D596" s="1045" t="s">
        <v>697</v>
      </c>
      <c r="E596" s="1096" t="s">
        <v>1212</v>
      </c>
      <c r="F596" s="1074" t="s">
        <v>1217</v>
      </c>
      <c r="G596" s="1096" t="s">
        <v>1553</v>
      </c>
      <c r="H596" s="1096" t="s">
        <v>1553</v>
      </c>
      <c r="I596" s="1096" t="s">
        <v>1594</v>
      </c>
      <c r="J596" s="1096" t="s">
        <v>1606</v>
      </c>
      <c r="K596" s="1017" t="s">
        <v>43</v>
      </c>
      <c r="L596" s="1104"/>
      <c r="M596" s="1105">
        <v>2476000000</v>
      </c>
      <c r="N596" s="1037"/>
      <c r="O596" s="1037"/>
      <c r="P596" s="1037"/>
      <c r="Q596" s="1102"/>
      <c r="R596" s="1022"/>
      <c r="S596" s="1130"/>
      <c r="T596" s="1156"/>
    </row>
    <row r="597" spans="1:20" ht="84" customHeight="1" x14ac:dyDescent="0.2">
      <c r="A597" s="1013">
        <v>2022591</v>
      </c>
      <c r="B597" s="1075" t="s">
        <v>459</v>
      </c>
      <c r="C597" s="1075"/>
      <c r="D597" s="1014" t="s">
        <v>673</v>
      </c>
      <c r="E597" s="1096" t="s">
        <v>1218</v>
      </c>
      <c r="F597" s="1074" t="s">
        <v>1607</v>
      </c>
      <c r="G597" s="1096" t="s">
        <v>1548</v>
      </c>
      <c r="H597" s="1096" t="s">
        <v>1548</v>
      </c>
      <c r="I597" s="1096" t="s">
        <v>1608</v>
      </c>
      <c r="J597" s="1096" t="s">
        <v>1592</v>
      </c>
      <c r="K597" s="1017" t="s">
        <v>43</v>
      </c>
      <c r="L597" s="1104"/>
      <c r="M597" s="1105">
        <v>35000000</v>
      </c>
      <c r="N597" s="1037"/>
      <c r="O597" s="1037"/>
      <c r="P597" s="1037"/>
      <c r="Q597" s="1047">
        <v>44600</v>
      </c>
      <c r="R597" s="1022"/>
      <c r="S597" s="1130"/>
      <c r="T597" s="1156"/>
    </row>
    <row r="598" spans="1:20" ht="51" x14ac:dyDescent="0.2">
      <c r="A598" s="1013">
        <v>2022592</v>
      </c>
      <c r="B598" s="1075" t="s">
        <v>459</v>
      </c>
      <c r="C598" s="1075"/>
      <c r="D598" s="1014" t="s">
        <v>673</v>
      </c>
      <c r="E598" s="1096" t="s">
        <v>1218</v>
      </c>
      <c r="F598" s="1074" t="s">
        <v>1220</v>
      </c>
      <c r="G598" s="1096" t="s">
        <v>1548</v>
      </c>
      <c r="H598" s="1096" t="s">
        <v>1548</v>
      </c>
      <c r="I598" s="1096" t="s">
        <v>1608</v>
      </c>
      <c r="J598" s="1096" t="s">
        <v>1609</v>
      </c>
      <c r="K598" s="1017" t="s">
        <v>43</v>
      </c>
      <c r="L598" s="1104"/>
      <c r="M598" s="1105">
        <v>19810000</v>
      </c>
      <c r="N598" s="1037"/>
      <c r="O598" s="1037"/>
      <c r="P598" s="1037"/>
      <c r="Q598" s="1047">
        <v>44600</v>
      </c>
      <c r="R598" s="1022"/>
      <c r="S598" s="1130"/>
      <c r="T598" s="1156"/>
    </row>
    <row r="599" spans="1:20" ht="63.75" x14ac:dyDescent="0.2">
      <c r="A599" s="1013">
        <v>2022593</v>
      </c>
      <c r="B599" s="1075" t="s">
        <v>459</v>
      </c>
      <c r="C599" s="1075"/>
      <c r="D599" s="1014" t="s">
        <v>673</v>
      </c>
      <c r="E599" s="1099" t="s">
        <v>1221</v>
      </c>
      <c r="F599" s="1074" t="s">
        <v>1222</v>
      </c>
      <c r="G599" s="1096" t="s">
        <v>1548</v>
      </c>
      <c r="H599" s="1096" t="s">
        <v>1548</v>
      </c>
      <c r="I599" s="1096" t="s">
        <v>1610</v>
      </c>
      <c r="J599" s="1096" t="s">
        <v>1592</v>
      </c>
      <c r="K599" s="1017" t="s">
        <v>43</v>
      </c>
      <c r="L599" s="1104"/>
      <c r="M599" s="1105">
        <v>10000000</v>
      </c>
      <c r="N599" s="1037"/>
      <c r="O599" s="1037"/>
      <c r="P599" s="1037"/>
      <c r="Q599" s="1102"/>
      <c r="R599" s="1022"/>
      <c r="S599" s="1130"/>
      <c r="T599" s="1156"/>
    </row>
    <row r="600" spans="1:20" ht="38.25" x14ac:dyDescent="0.2">
      <c r="A600" s="1013">
        <v>2022594</v>
      </c>
      <c r="B600" s="1075" t="s">
        <v>459</v>
      </c>
      <c r="C600" s="1075"/>
      <c r="D600" s="1014" t="s">
        <v>673</v>
      </c>
      <c r="E600" s="1099" t="s">
        <v>1223</v>
      </c>
      <c r="F600" s="1074" t="s">
        <v>1611</v>
      </c>
      <c r="G600" s="1096" t="s">
        <v>1548</v>
      </c>
      <c r="H600" s="1096" t="s">
        <v>1548</v>
      </c>
      <c r="I600" s="1096" t="s">
        <v>1590</v>
      </c>
      <c r="J600" s="1096" t="s">
        <v>1592</v>
      </c>
      <c r="K600" s="1017" t="s">
        <v>43</v>
      </c>
      <c r="L600" s="1104"/>
      <c r="M600" s="1105">
        <v>8386190</v>
      </c>
      <c r="N600" s="1037"/>
      <c r="O600" s="1037"/>
      <c r="P600" s="1037"/>
      <c r="Q600" s="1102"/>
      <c r="R600" s="1022"/>
      <c r="S600" s="1130"/>
      <c r="T600" s="1156"/>
    </row>
    <row r="601" spans="1:20" ht="38.25" x14ac:dyDescent="0.2">
      <c r="A601" s="1013">
        <v>2022595</v>
      </c>
      <c r="B601" s="1075" t="s">
        <v>459</v>
      </c>
      <c r="C601" s="1075"/>
      <c r="D601" s="1014" t="s">
        <v>673</v>
      </c>
      <c r="E601" s="1099" t="s">
        <v>1225</v>
      </c>
      <c r="F601" s="1074" t="s">
        <v>1226</v>
      </c>
      <c r="G601" s="1096" t="s">
        <v>1565</v>
      </c>
      <c r="H601" s="1096" t="s">
        <v>1565</v>
      </c>
      <c r="I601" s="1096" t="s">
        <v>1594</v>
      </c>
      <c r="J601" s="1096" t="s">
        <v>1592</v>
      </c>
      <c r="K601" s="1017" t="s">
        <v>43</v>
      </c>
      <c r="L601" s="1104"/>
      <c r="M601" s="1105">
        <v>35000000</v>
      </c>
      <c r="N601" s="1037"/>
      <c r="O601" s="1037"/>
      <c r="P601" s="1037"/>
      <c r="Q601" s="1102"/>
      <c r="R601" s="1022"/>
      <c r="S601" s="1130"/>
      <c r="T601" s="1156"/>
    </row>
    <row r="602" spans="1:20" ht="38.25" x14ac:dyDescent="0.2">
      <c r="A602" s="1013">
        <v>2022596</v>
      </c>
      <c r="B602" s="1075" t="s">
        <v>459</v>
      </c>
      <c r="C602" s="1075"/>
      <c r="D602" s="1014" t="s">
        <v>673</v>
      </c>
      <c r="E602" s="1099" t="s">
        <v>1227</v>
      </c>
      <c r="F602" s="1074" t="s">
        <v>1612</v>
      </c>
      <c r="G602" s="1096" t="s">
        <v>1564</v>
      </c>
      <c r="H602" s="1096" t="s">
        <v>1564</v>
      </c>
      <c r="I602" s="1096" t="s">
        <v>1608</v>
      </c>
      <c r="J602" s="1096" t="s">
        <v>1501</v>
      </c>
      <c r="K602" s="1017" t="s">
        <v>43</v>
      </c>
      <c r="L602" s="1104"/>
      <c r="M602" s="1105">
        <v>35000000</v>
      </c>
      <c r="N602" s="1037"/>
      <c r="O602" s="1037"/>
      <c r="P602" s="1037"/>
      <c r="Q602" s="1102"/>
      <c r="R602" s="1022"/>
      <c r="S602" s="1130"/>
      <c r="T602" s="1156"/>
    </row>
    <row r="603" spans="1:20" ht="102" x14ac:dyDescent="0.2">
      <c r="A603" s="1013">
        <v>2022597</v>
      </c>
      <c r="B603" s="1075" t="s">
        <v>459</v>
      </c>
      <c r="C603" s="1075"/>
      <c r="D603" s="1014" t="s">
        <v>673</v>
      </c>
      <c r="E603" s="1096" t="s">
        <v>1229</v>
      </c>
      <c r="F603" s="1074" t="s">
        <v>1613</v>
      </c>
      <c r="G603" s="1096" t="s">
        <v>1548</v>
      </c>
      <c r="H603" s="1096" t="s">
        <v>1548</v>
      </c>
      <c r="I603" s="1096" t="s">
        <v>1614</v>
      </c>
      <c r="J603" s="1096" t="s">
        <v>1501</v>
      </c>
      <c r="K603" s="1017" t="s">
        <v>43</v>
      </c>
      <c r="L603" s="1104"/>
      <c r="M603" s="1105">
        <f>300000000-81890487</f>
        <v>218109513</v>
      </c>
      <c r="N603" s="1037"/>
      <c r="O603" s="1037"/>
      <c r="P603" s="1037"/>
      <c r="Q603" s="1047">
        <v>44600</v>
      </c>
      <c r="R603" s="1022"/>
      <c r="S603" s="1130"/>
      <c r="T603" s="1156"/>
    </row>
    <row r="604" spans="1:20" ht="63.75" x14ac:dyDescent="0.2">
      <c r="A604" s="1013">
        <v>2022598</v>
      </c>
      <c r="B604" s="1075" t="s">
        <v>459</v>
      </c>
      <c r="C604" s="1075"/>
      <c r="D604" s="1014" t="s">
        <v>673</v>
      </c>
      <c r="E604" s="1096" t="s">
        <v>1231</v>
      </c>
      <c r="F604" s="1074" t="s">
        <v>1232</v>
      </c>
      <c r="G604" s="1096" t="s">
        <v>1548</v>
      </c>
      <c r="H604" s="1096" t="s">
        <v>1548</v>
      </c>
      <c r="I604" s="1096" t="s">
        <v>1614</v>
      </c>
      <c r="J604" s="1096" t="s">
        <v>1592</v>
      </c>
      <c r="K604" s="1017" t="s">
        <v>43</v>
      </c>
      <c r="L604" s="1104"/>
      <c r="M604" s="1105">
        <v>120473160</v>
      </c>
      <c r="N604" s="1037"/>
      <c r="O604" s="1037"/>
      <c r="P604" s="1037"/>
      <c r="Q604" s="1102"/>
      <c r="R604" s="1022"/>
      <c r="S604" s="1130"/>
      <c r="T604" s="1156"/>
    </row>
    <row r="605" spans="1:20" ht="51" x14ac:dyDescent="0.2">
      <c r="A605" s="1013">
        <v>2022599</v>
      </c>
      <c r="B605" s="1075" t="s">
        <v>459</v>
      </c>
      <c r="C605" s="1075"/>
      <c r="D605" s="1014" t="s">
        <v>673</v>
      </c>
      <c r="E605" s="1096" t="s">
        <v>1231</v>
      </c>
      <c r="F605" s="1074" t="s">
        <v>1234</v>
      </c>
      <c r="G605" s="1096" t="s">
        <v>1559</v>
      </c>
      <c r="H605" s="1096" t="s">
        <v>1559</v>
      </c>
      <c r="I605" s="1096" t="s">
        <v>1615</v>
      </c>
      <c r="J605" s="1096" t="s">
        <v>1592</v>
      </c>
      <c r="K605" s="1017" t="s">
        <v>43</v>
      </c>
      <c r="L605" s="1104"/>
      <c r="M605" s="1105">
        <v>171518585</v>
      </c>
      <c r="N605" s="1037"/>
      <c r="O605" s="1037"/>
      <c r="P605" s="1037"/>
      <c r="Q605" s="1102"/>
      <c r="R605" s="1022"/>
      <c r="S605" s="1130"/>
      <c r="T605" s="1156"/>
    </row>
    <row r="606" spans="1:20" ht="25.5" x14ac:dyDescent="0.2">
      <c r="A606" s="1013">
        <v>2022600</v>
      </c>
      <c r="B606" s="1075" t="s">
        <v>459</v>
      </c>
      <c r="C606" s="1075"/>
      <c r="D606" s="1014" t="s">
        <v>673</v>
      </c>
      <c r="E606" s="1096" t="s">
        <v>1212</v>
      </c>
      <c r="F606" s="1074" t="s">
        <v>1235</v>
      </c>
      <c r="G606" s="1096" t="s">
        <v>1212</v>
      </c>
      <c r="H606" s="1096" t="s">
        <v>1212</v>
      </c>
      <c r="I606" s="1096" t="s">
        <v>1212</v>
      </c>
      <c r="J606" s="1096" t="s">
        <v>1212</v>
      </c>
      <c r="K606" s="1017"/>
      <c r="L606" s="1104"/>
      <c r="M606" s="1105">
        <v>1613810</v>
      </c>
      <c r="N606" s="1037"/>
      <c r="O606" s="1037"/>
      <c r="P606" s="1037"/>
      <c r="Q606" s="1102"/>
      <c r="R606" s="1022"/>
      <c r="S606" s="1130"/>
      <c r="T606" s="1156"/>
    </row>
    <row r="607" spans="1:20" ht="25.5" x14ac:dyDescent="0.2">
      <c r="A607" s="1013">
        <v>2022601</v>
      </c>
      <c r="B607" s="1075" t="s">
        <v>459</v>
      </c>
      <c r="C607" s="1075"/>
      <c r="D607" s="1014" t="s">
        <v>673</v>
      </c>
      <c r="E607" s="1096" t="s">
        <v>1212</v>
      </c>
      <c r="F607" s="1074" t="s">
        <v>1236</v>
      </c>
      <c r="G607" s="1096" t="s">
        <v>1212</v>
      </c>
      <c r="H607" s="1096" t="s">
        <v>1212</v>
      </c>
      <c r="I607" s="1096" t="s">
        <v>1212</v>
      </c>
      <c r="J607" s="1096" t="s">
        <v>1212</v>
      </c>
      <c r="K607" s="1017"/>
      <c r="L607" s="1104"/>
      <c r="M607" s="1105">
        <v>8008255</v>
      </c>
      <c r="N607" s="1037"/>
      <c r="O607" s="1037"/>
      <c r="P607" s="1037"/>
      <c r="Q607" s="1102"/>
      <c r="R607" s="1022"/>
      <c r="S607" s="1130"/>
      <c r="T607" s="1156"/>
    </row>
    <row r="608" spans="1:20" s="1110" customFormat="1" ht="127.5" x14ac:dyDescent="0.25">
      <c r="A608" s="1013">
        <v>2022602</v>
      </c>
      <c r="B608" s="1096">
        <v>7637</v>
      </c>
      <c r="C608" s="1013" t="s">
        <v>645</v>
      </c>
      <c r="D608" s="1014" t="s">
        <v>673</v>
      </c>
      <c r="E608" s="1096">
        <v>80111600</v>
      </c>
      <c r="F608" s="1074" t="s">
        <v>1237</v>
      </c>
      <c r="G608" s="1096" t="s">
        <v>1440</v>
      </c>
      <c r="H608" s="1096" t="s">
        <v>1440</v>
      </c>
      <c r="I608" s="1096" t="s">
        <v>1616</v>
      </c>
      <c r="J608" s="1096" t="s">
        <v>1479</v>
      </c>
      <c r="K608" s="1017" t="s">
        <v>676</v>
      </c>
      <c r="L608" s="1109" t="s">
        <v>677</v>
      </c>
      <c r="M608" s="1105">
        <v>3500000</v>
      </c>
      <c r="N608" s="1037" t="s">
        <v>734</v>
      </c>
      <c r="O608" s="1037" t="s">
        <v>1411</v>
      </c>
      <c r="P608" s="1037"/>
      <c r="Q608" s="977"/>
      <c r="R608" s="1022"/>
      <c r="S608" s="1130"/>
      <c r="T608" s="1156"/>
    </row>
    <row r="609" spans="1:20" ht="102" x14ac:dyDescent="0.2">
      <c r="A609" s="1111">
        <v>2022603</v>
      </c>
      <c r="B609" s="1111">
        <v>7655</v>
      </c>
      <c r="C609" s="1111" t="s">
        <v>670</v>
      </c>
      <c r="D609" s="1112" t="s">
        <v>673</v>
      </c>
      <c r="E609" s="1111">
        <v>80111600</v>
      </c>
      <c r="F609" s="1068" t="s">
        <v>1238</v>
      </c>
      <c r="G609" s="1078" t="s">
        <v>1440</v>
      </c>
      <c r="H609" s="1054" t="s">
        <v>1440</v>
      </c>
      <c r="I609" s="1113" t="s">
        <v>1481</v>
      </c>
      <c r="J609" s="1114" t="s">
        <v>1479</v>
      </c>
      <c r="K609" s="1098" t="s">
        <v>676</v>
      </c>
      <c r="L609" s="1098" t="s">
        <v>677</v>
      </c>
      <c r="M609" s="1115">
        <v>42000000</v>
      </c>
      <c r="N609" s="1116" t="s">
        <v>728</v>
      </c>
      <c r="O609" s="1056" t="s">
        <v>1480</v>
      </c>
      <c r="P609" s="1056"/>
      <c r="Q609" s="1117"/>
      <c r="R609" s="1022"/>
      <c r="S609" s="1130">
        <v>453</v>
      </c>
      <c r="T609" s="1156">
        <v>42000000</v>
      </c>
    </row>
    <row r="610" spans="1:20" ht="60.6" customHeight="1" x14ac:dyDescent="0.2">
      <c r="A610" s="1111">
        <v>2022604</v>
      </c>
      <c r="B610" s="1111">
        <v>7655</v>
      </c>
      <c r="C610" s="1111" t="s">
        <v>670</v>
      </c>
      <c r="D610" s="1112" t="s">
        <v>684</v>
      </c>
      <c r="E610" s="1111">
        <v>80111600</v>
      </c>
      <c r="F610" s="1068" t="s">
        <v>1239</v>
      </c>
      <c r="G610" s="1078">
        <v>44578</v>
      </c>
      <c r="H610" s="1078">
        <v>44578</v>
      </c>
      <c r="I610" s="1118" t="s">
        <v>1617</v>
      </c>
      <c r="J610" s="1114" t="s">
        <v>1479</v>
      </c>
      <c r="K610" s="1098" t="s">
        <v>676</v>
      </c>
      <c r="L610" s="1098" t="s">
        <v>677</v>
      </c>
      <c r="M610" s="1115">
        <v>28175000</v>
      </c>
      <c r="N610" s="1044" t="s">
        <v>732</v>
      </c>
      <c r="O610" s="1044" t="s">
        <v>1480</v>
      </c>
      <c r="P610" s="1044"/>
      <c r="Q610" s="1117"/>
      <c r="R610" s="1022"/>
      <c r="S610" s="1130">
        <v>407</v>
      </c>
      <c r="T610" s="1156">
        <v>28175000</v>
      </c>
    </row>
    <row r="611" spans="1:20" ht="63.75" x14ac:dyDescent="0.2">
      <c r="A611" s="1023">
        <v>2022605</v>
      </c>
      <c r="B611" s="1023">
        <v>7655</v>
      </c>
      <c r="C611" s="1023" t="s">
        <v>670</v>
      </c>
      <c r="D611" s="1039" t="s">
        <v>673</v>
      </c>
      <c r="E611" s="1023">
        <v>80111600</v>
      </c>
      <c r="F611" s="1026" t="s">
        <v>1240</v>
      </c>
      <c r="G611" s="1041" t="s">
        <v>1440</v>
      </c>
      <c r="H611" s="1028" t="s">
        <v>1440</v>
      </c>
      <c r="I611" s="1119" t="s">
        <v>1484</v>
      </c>
      <c r="J611" s="1043" t="s">
        <v>1479</v>
      </c>
      <c r="K611" s="1027" t="s">
        <v>676</v>
      </c>
      <c r="L611" s="1027" t="s">
        <v>677</v>
      </c>
      <c r="M611" s="1030">
        <f>10*4500000</f>
        <v>45000000</v>
      </c>
      <c r="N611" s="1044" t="s">
        <v>732</v>
      </c>
      <c r="O611" s="1056" t="s">
        <v>1480</v>
      </c>
      <c r="P611" s="1056"/>
      <c r="Q611" s="1117"/>
      <c r="R611" s="1022"/>
      <c r="S611" s="1130">
        <v>464</v>
      </c>
      <c r="T611" s="1156">
        <v>36000000</v>
      </c>
    </row>
    <row r="612" spans="1:20" ht="63.75" x14ac:dyDescent="0.2">
      <c r="A612" s="1111">
        <v>2022606</v>
      </c>
      <c r="B612" s="1111">
        <v>7655</v>
      </c>
      <c r="C612" s="1111" t="s">
        <v>670</v>
      </c>
      <c r="D612" s="1112" t="s">
        <v>684</v>
      </c>
      <c r="E612" s="1111">
        <v>80111600</v>
      </c>
      <c r="F612" s="1068" t="s">
        <v>1241</v>
      </c>
      <c r="G612" s="1120">
        <v>44582</v>
      </c>
      <c r="H612" s="1120">
        <v>44582</v>
      </c>
      <c r="I612" s="1098" t="s">
        <v>1590</v>
      </c>
      <c r="J612" s="1114" t="s">
        <v>1479</v>
      </c>
      <c r="K612" s="1098" t="s">
        <v>676</v>
      </c>
      <c r="L612" s="1098" t="s">
        <v>677</v>
      </c>
      <c r="M612" s="1115">
        <v>19200000</v>
      </c>
      <c r="N612" s="1044" t="s">
        <v>732</v>
      </c>
      <c r="O612" s="1056" t="s">
        <v>1480</v>
      </c>
      <c r="P612" s="1056"/>
      <c r="Q612" s="1117"/>
      <c r="R612" s="1022"/>
      <c r="S612" s="1130">
        <v>444</v>
      </c>
      <c r="T612" s="1156">
        <v>19200000</v>
      </c>
    </row>
    <row r="613" spans="1:20" s="1106" customFormat="1" ht="127.5" x14ac:dyDescent="0.2">
      <c r="A613" s="1013">
        <v>2022607</v>
      </c>
      <c r="B613" s="1096" t="s">
        <v>97</v>
      </c>
      <c r="C613" s="1096" t="s">
        <v>97</v>
      </c>
      <c r="D613" s="1045" t="s">
        <v>691</v>
      </c>
      <c r="E613" s="1099" t="s">
        <v>1242</v>
      </c>
      <c r="F613" s="1074" t="s">
        <v>1243</v>
      </c>
      <c r="G613" s="1081">
        <v>44606</v>
      </c>
      <c r="H613" s="1096"/>
      <c r="I613" s="1096" t="s">
        <v>1618</v>
      </c>
      <c r="J613" s="1096" t="s">
        <v>1619</v>
      </c>
      <c r="K613" s="1017" t="s">
        <v>97</v>
      </c>
      <c r="L613" s="1104" t="s">
        <v>97</v>
      </c>
      <c r="M613" s="1105">
        <v>0</v>
      </c>
      <c r="N613" s="1037" t="s">
        <v>97</v>
      </c>
      <c r="O613" s="1037" t="s">
        <v>97</v>
      </c>
      <c r="P613" s="1037"/>
      <c r="Q613" s="1102"/>
      <c r="R613" s="1022"/>
      <c r="S613" s="1130"/>
      <c r="T613" s="1156"/>
    </row>
    <row r="614" spans="1:20" ht="89.25" x14ac:dyDescent="0.2">
      <c r="A614" s="1023">
        <v>2022608</v>
      </c>
      <c r="B614" s="1023">
        <v>7637</v>
      </c>
      <c r="C614" s="1023" t="s">
        <v>645</v>
      </c>
      <c r="D614" s="1024" t="s">
        <v>673</v>
      </c>
      <c r="E614" s="1031">
        <v>80111600</v>
      </c>
      <c r="F614" s="1024" t="s">
        <v>1244</v>
      </c>
      <c r="G614" s="1027" t="s">
        <v>1440</v>
      </c>
      <c r="H614" s="1027" t="s">
        <v>1440</v>
      </c>
      <c r="I614" s="1027">
        <v>10</v>
      </c>
      <c r="J614" s="1027" t="s">
        <v>1441</v>
      </c>
      <c r="K614" s="1027" t="s">
        <v>676</v>
      </c>
      <c r="L614" s="1029" t="s">
        <v>677</v>
      </c>
      <c r="M614" s="1030">
        <v>23400000</v>
      </c>
      <c r="N614" s="1044" t="s">
        <v>734</v>
      </c>
      <c r="O614" s="1044" t="s">
        <v>1411</v>
      </c>
      <c r="P614" s="1044"/>
      <c r="Q614" s="1117"/>
      <c r="R614" s="1022"/>
      <c r="S614" s="1130">
        <v>437</v>
      </c>
      <c r="T614" s="1156">
        <v>23400000</v>
      </c>
    </row>
    <row r="615" spans="1:20" s="1124" customFormat="1" ht="102" x14ac:dyDescent="0.25">
      <c r="A615" s="1121">
        <v>2022609</v>
      </c>
      <c r="B615" s="1121">
        <v>7658</v>
      </c>
      <c r="C615" s="1121" t="s">
        <v>681</v>
      </c>
      <c r="D615" s="1121" t="s">
        <v>694</v>
      </c>
      <c r="E615" s="1122" t="s">
        <v>1472</v>
      </c>
      <c r="F615" s="1121" t="s">
        <v>765</v>
      </c>
      <c r="G615" s="1121" t="s">
        <v>1440</v>
      </c>
      <c r="H615" s="1121" t="s">
        <v>1440</v>
      </c>
      <c r="I615" s="1121" t="s">
        <v>1620</v>
      </c>
      <c r="J615" s="1121" t="s">
        <v>1462</v>
      </c>
      <c r="K615" s="1121" t="s">
        <v>676</v>
      </c>
      <c r="L615" s="1121" t="s">
        <v>677</v>
      </c>
      <c r="M615" s="1123">
        <f>181080376-104794000</f>
        <v>76286376</v>
      </c>
      <c r="N615" s="1121" t="s">
        <v>743</v>
      </c>
      <c r="O615" s="1121" t="s">
        <v>1551</v>
      </c>
      <c r="P615" s="1121"/>
      <c r="Q615" s="1081">
        <v>44600</v>
      </c>
      <c r="R615" s="1022"/>
      <c r="S615" s="1130"/>
      <c r="T615" s="1156"/>
    </row>
    <row r="616" spans="1:20" ht="127.5" x14ac:dyDescent="0.2">
      <c r="A616" s="1013">
        <v>2022610</v>
      </c>
      <c r="B616" s="1075" t="s">
        <v>459</v>
      </c>
      <c r="C616" s="1075"/>
      <c r="D616" s="1014" t="s">
        <v>673</v>
      </c>
      <c r="E616" s="1013" t="s">
        <v>1229</v>
      </c>
      <c r="F616" s="1074" t="s">
        <v>1247</v>
      </c>
      <c r="G616" s="1096" t="s">
        <v>1553</v>
      </c>
      <c r="H616" s="1096" t="s">
        <v>1553</v>
      </c>
      <c r="I616" s="1125" t="s">
        <v>1621</v>
      </c>
      <c r="J616" s="1096" t="s">
        <v>1501</v>
      </c>
      <c r="K616" s="1017" t="s">
        <v>43</v>
      </c>
      <c r="L616" s="1104"/>
      <c r="M616" s="1105">
        <v>81890487</v>
      </c>
      <c r="N616" s="1037"/>
      <c r="O616" s="1037"/>
      <c r="P616" s="1037"/>
      <c r="Q616" s="1047">
        <v>44600</v>
      </c>
      <c r="R616" s="1022"/>
      <c r="S616" s="1130"/>
      <c r="T616" s="1156"/>
    </row>
    <row r="619" spans="1:20" x14ac:dyDescent="0.2">
      <c r="M619" s="1128">
        <f>SUBTOTAL(9,M7:M618)</f>
        <v>67248064999.699997</v>
      </c>
      <c r="T619" s="1128">
        <f>SUBTOTAL(9,T7:T618)</f>
        <v>20624701535</v>
      </c>
    </row>
    <row r="621" spans="1:20" x14ac:dyDescent="0.2">
      <c r="M621" s="1129"/>
    </row>
    <row r="623" spans="1:20" x14ac:dyDescent="0.2">
      <c r="M623" s="112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xr:uid="{00000000-0002-0000-0800-000000000000}">
      <formula1>tec</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6" ma:contentTypeDescription="Crear nuevo documento." ma:contentTypeScope="" ma:versionID="b11025218fa34ab61a620cc225f70040">
  <xsd:schema xmlns:xsd="http://www.w3.org/2001/XMLSchema" xmlns:xs="http://www.w3.org/2001/XMLSchema" xmlns:p="http://schemas.microsoft.com/office/2006/metadata/properties" xmlns:ns1="http://schemas.microsoft.com/sharepoint/v3" xmlns:ns3="09d6c875-bcbc-458c-a626-c910af1d48c9" xmlns:ns4="357bdbef-269f-4dc7-9a12-0770e15f24ee" targetNamespace="http://schemas.microsoft.com/office/2006/metadata/properties" ma:root="true" ma:fieldsID="5f17086afd6571a317a89df83be7d49e" ns1:_="" ns3:_="" ns4:_="">
    <xsd:import namespace="http://schemas.microsoft.com/sharepoint/v3"/>
    <xsd:import namespace="09d6c875-bcbc-458c-a626-c910af1d48c9"/>
    <xsd:import namespace="357bdbef-269f-4dc7-9a12-0770e15f24e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37AFD5D-F000-4BAE-BE0C-AB98017F49D9}">
  <ds:schemaRefs>
    <ds:schemaRef ds:uri="http://schemas.microsoft.com/sharepoint/v3/contenttype/forms"/>
  </ds:schemaRefs>
</ds:datastoreItem>
</file>

<file path=customXml/itemProps2.xml><?xml version="1.0" encoding="utf-8"?>
<ds:datastoreItem xmlns:ds="http://schemas.openxmlformats.org/officeDocument/2006/customXml" ds:itemID="{CCA7AF63-610A-4ACA-AC7C-A319E55C8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d6c875-bcbc-458c-a626-c910af1d48c9"/>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289DFB-B309-452E-A882-026C7499B430}">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SEGUIMIENTO CON PAA </vt:lpstr>
      <vt:lpstr>EN PLATAFORMA</vt:lpstr>
      <vt:lpstr>Tras 1</vt:lpstr>
      <vt:lpstr>Tras 3</vt:lpstr>
      <vt:lpstr>Tras 5</vt:lpstr>
      <vt:lpstr>PPTO 2021 REPROGRAMACION (2)</vt:lpstr>
      <vt:lpstr>PPTO 2021 REPROGRAMACION</vt:lpstr>
      <vt:lpstr>PAA V21</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Neyfy Liliana Agudelo Zapata</cp:lastModifiedBy>
  <cp:revision/>
  <dcterms:created xsi:type="dcterms:W3CDTF">2020-09-23T17:41:29Z</dcterms:created>
  <dcterms:modified xsi:type="dcterms:W3CDTF">2022-09-12T15:34:31Z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